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ml.chartshapes+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9031" windowHeight="12695" firstSheet="2" activeTab="12"/>
  </bookViews>
  <sheets>
    <sheet name="Maintenance" sheetId="13" state="hidden" r:id="rId1"/>
    <sheet name="Disclaimer" sheetId="9" r:id="rId2"/>
    <sheet name="Inputs" sheetId="1" r:id="rId3"/>
    <sheet name="Outputs" sheetId="14" r:id="rId4"/>
    <sheet name="Spectra" sheetId="6" state="hidden" r:id="rId5"/>
    <sheet name="Physics" sheetId="12" state="hidden" r:id="rId6"/>
    <sheet name="Photobiology" sheetId="4" state="hidden" r:id="rId7"/>
    <sheet name="Calculations" sheetId="11" state="hidden" r:id="rId8"/>
    <sheet name="Charts" sheetId="3" r:id="rId9"/>
    <sheet name="Action spectra" sheetId="16" r:id="rId10"/>
    <sheet name="Glossary" sheetId="8" r:id="rId11"/>
    <sheet name="Advanced Inputs" sheetId="15" state="hidden" r:id="rId12"/>
    <sheet name="Advanced Outputs" sheetId="2" r:id="rId13"/>
    <sheet name="Transmittance" sheetId="5" state="hidden" r:id="rId14"/>
  </sheets>
  <definedNames>
    <definedName name="_xlnm.Print_Titles" localSheetId="9">'Action spectra'!$19:$20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<sst xmlns="http://schemas.openxmlformats.org/spreadsheetml/2006/main" count="976" uniqueCount="472">
  <si>
    <t>Maintenance</t>
  </si>
  <si>
    <t>Deliberately not accessible.</t>
  </si>
  <si>
    <t>Display length</t>
  </si>
  <si>
    <t>Use 43 to include yyyy/mm, 24 for Powerpoint images</t>
  </si>
  <si>
    <t>Hide from here down and G:G right when updates complete and proceed to Disclaimer, and then Hide this tab, as well as Spectra, Physics, Photobiology and Calculations tabs</t>
  </si>
  <si>
    <t>Code</t>
  </si>
  <si>
    <t>Status</t>
  </si>
  <si>
    <t>Date</t>
  </si>
  <si>
    <t>Comments</t>
  </si>
  <si>
    <t>Showing updates from 1.045:</t>
  </si>
  <si>
    <t>LP1</t>
  </si>
  <si>
    <t>Changed</t>
  </si>
  <si>
    <t>Unlocked and unhidden created</t>
  </si>
  <si>
    <t>LP2</t>
  </si>
  <si>
    <t>Updated version number to 1.047 and date to 2019/11/11 on Disclaimer sheet</t>
  </si>
  <si>
    <t>LP3</t>
  </si>
  <si>
    <t>Error markers on Inputs sheet changed to vertical centred 18 pt, cells D11, D12, D13 and D17. Visible row heights all set at 15, except row 1.</t>
  </si>
  <si>
    <t>LP4</t>
  </si>
  <si>
    <t>Correct display of illuminance Outputs D15 and Advanced Outputs H17, H18 to 2 d.p.</t>
  </si>
  <si>
    <t>LP5</t>
  </si>
  <si>
    <t>Correct title for "a-opic photon irradiance in standard notation" Ouputs B41</t>
  </si>
  <si>
    <t>LP6</t>
  </si>
  <si>
    <r>
      <rPr>
        <sz val="11"/>
        <color theme="1"/>
        <rFont val="宋体"/>
        <charset val="134"/>
        <scheme val="minor"/>
      </rPr>
      <t xml:space="preserve">Updated version number to 1.048, title to </t>
    </r>
    <r>
      <rPr>
        <sz val="11"/>
        <color theme="1"/>
        <rFont val="Calibri"/>
        <charset val="134"/>
      </rPr>
      <t>α</t>
    </r>
    <r>
      <rPr>
        <sz val="11"/>
        <color theme="1"/>
        <rFont val="宋体"/>
        <charset val="134"/>
        <scheme val="minor"/>
      </rPr>
      <t>-opic Toolbox (from EDI Toolbox),date to 2020/02/19 on Disclaimer sheet and updated the main message from CB agreed Powerpoint slide</t>
    </r>
  </si>
  <si>
    <t>LP7</t>
  </si>
  <si>
    <t>Added</t>
  </si>
  <si>
    <t>Added display length input in Maintenance to support version-free Powerpoint images, and updated B1 formula in all other sheets</t>
  </si>
  <si>
    <t>LP8</t>
  </si>
  <si>
    <t>Updated the EDI Toolbox text in Ouputs!C3, and linked Charts, Action spectra, Glossary and Advanced Warnings cells C3 to Ouputs!C3</t>
  </si>
  <si>
    <t>LP9</t>
  </si>
  <si>
    <t>Calculations: Spectral conversion to radiometric corrected from SI Brochure error - refractive index goes in denomintor of this factor</t>
  </si>
  <si>
    <t>LP10</t>
  </si>
  <si>
    <t>Not changed</t>
  </si>
  <si>
    <t>Dependency of chart title. Quantity value and units match the photometric units selected on advanced outputs, which can lead to zeros.</t>
  </si>
  <si>
    <t>However, changing this to be overridden by another option, e.g. main input units if these are photometric, requires a change to the calculations.</t>
  </si>
  <si>
    <t>The simplest option would be to add a futher scaling factor and quantity value for the chart versions of Test and Ref on the calculations sheet.</t>
  </si>
  <si>
    <t>Another option would be to allow user control on the charts sheet itself, requiring additional calculation columns as well.</t>
  </si>
  <si>
    <t xml:space="preserve">This is left until a later version if necessary. </t>
  </si>
  <si>
    <t>LP11</t>
  </si>
  <si>
    <t>Number format validation added to numerical input cells: C17&gt;=-1 and C24:C424&lt;999999.999999 (and allow blanks)</t>
  </si>
  <si>
    <t>LP12</t>
  </si>
  <si>
    <t>Added text</t>
  </si>
  <si>
    <t>Added "The units used on the y-axis depend on the prefixes selected in Inputs cells C12 and C13. The units used in the chart titles depend on the prefixes selected in Advanced Outputs cells H10 and H11." below the Charts</t>
  </si>
  <si>
    <t>LP13</t>
  </si>
  <si>
    <t>Added "The input data is called the Test source. The default CIE S 026 Reference source is daylight (D65); Lucas et al., 2014 uses equi-energy (E)." below the Charts</t>
  </si>
  <si>
    <t>LP14</t>
  </si>
  <si>
    <t>Published</t>
  </si>
  <si>
    <t>Version 1.049 updated to include commenting from ballots.</t>
  </si>
  <si>
    <t>LP15</t>
  </si>
  <si>
    <r>
      <rPr>
        <sz val="11"/>
        <color theme="1"/>
        <rFont val="宋体"/>
        <charset val="134"/>
        <scheme val="minor"/>
      </rPr>
      <t xml:space="preserve">Saved as 1.049a for updates, with Header text changed to "CIE S 026 </t>
    </r>
    <r>
      <rPr>
        <sz val="11"/>
        <color theme="1"/>
        <rFont val="Calibri Light"/>
        <charset val="134"/>
      </rPr>
      <t>α</t>
    </r>
    <r>
      <rPr>
        <sz val="11"/>
        <color theme="1"/>
        <rFont val="宋体"/>
        <charset val="134"/>
        <scheme val="minor"/>
      </rPr>
      <t>-opic Toolbox v1.049a - 2020/11/16" in Disclaimer cell B1 and omitting "/16" in dependent cells on other sheets via changing the value in Maintenance cell I3 (=44)</t>
    </r>
  </si>
  <si>
    <t>LP16</t>
  </si>
  <si>
    <t>Changed the second box of the Disclaimer to “The a-opic Toolbox is a CIE publication (DOI: 10.25039/S026.2018.TB) under … The toolbox was designed with feedback from experts …”. Note that the DOI is moved to the first mention of the toolbox in the box. The DOI will not change with the version number. Additionally: Removed the version number from the text. It should be sufficient to have it in the header.</t>
  </si>
  <si>
    <t>LP17</t>
  </si>
  <si>
    <t>Final version 1.049a includes the correction to Advanced Outputs in cell F45 so that it (equation T8) reads as a multiplication using "*" rather than a division using "/" under all the options and settings available.</t>
  </si>
  <si>
    <r>
      <rPr>
        <b/>
        <sz val="20"/>
        <color theme="1"/>
        <rFont val="宋体"/>
        <charset val="134"/>
        <scheme val="minor"/>
      </rPr>
      <t xml:space="preserve">CIE S 026 </t>
    </r>
    <r>
      <rPr>
        <b/>
        <sz val="20"/>
        <color theme="1"/>
        <rFont val="Calibri"/>
        <charset val="134"/>
      </rPr>
      <t>α</t>
    </r>
    <r>
      <rPr>
        <b/>
        <sz val="20"/>
        <color theme="1"/>
        <rFont val="宋体"/>
        <charset val="134"/>
        <scheme val="minor"/>
      </rPr>
      <t>-opic Toolbox - v1.049a - 2020/11/16</t>
    </r>
  </si>
  <si>
    <t>Disclaimer</t>
  </si>
  <si>
    <t>© CIE 2020 - All rights reserved</t>
  </si>
  <si>
    <t>List of completely hidden formulae for maintenance</t>
  </si>
  <si>
    <t>Inputs sheet</t>
  </si>
  <si>
    <t>Inputs = blue</t>
  </si>
  <si>
    <t>Instructions</t>
  </si>
  <si>
    <t>C14</t>
  </si>
  <si>
    <t>log base - No dependents</t>
  </si>
  <si>
    <t>D11</t>
  </si>
  <si>
    <t>Error indicator - No dependents</t>
  </si>
  <si>
    <t>huashubei</t>
  </si>
  <si>
    <r>
      <rPr>
        <b/>
        <sz val="11"/>
        <color rgb="FF2B4D89"/>
        <rFont val="宋体"/>
        <charset val="134"/>
        <scheme val="minor"/>
      </rPr>
      <t xml:space="preserve"> CELL B5</t>
    </r>
    <r>
      <rPr>
        <sz val="11"/>
        <rFont val="宋体"/>
        <charset val="134"/>
        <scheme val="minor"/>
      </rPr>
      <t>: Enter measurement name.</t>
    </r>
  </si>
  <si>
    <t>D12</t>
  </si>
  <si>
    <r>
      <rPr>
        <b/>
        <sz val="11"/>
        <color rgb="FF2B4D89"/>
        <rFont val="宋体"/>
        <charset val="134"/>
        <scheme val="minor"/>
      </rPr>
      <t xml:space="preserve"> CELL C8</t>
    </r>
    <r>
      <rPr>
        <sz val="11"/>
        <color theme="1"/>
        <rFont val="宋体"/>
        <charset val="134"/>
        <scheme val="minor"/>
      </rPr>
      <t xml:space="preserve">: </t>
    </r>
    <r>
      <rPr>
        <b/>
        <sz val="11"/>
        <color theme="1"/>
        <rFont val="宋体"/>
        <charset val="134"/>
        <scheme val="minor"/>
      </rPr>
      <t>Enter "User"</t>
    </r>
    <r>
      <rPr>
        <sz val="11"/>
        <color theme="1"/>
        <rFont val="宋体"/>
        <charset val="134"/>
        <scheme val="minor"/>
      </rPr>
      <t xml:space="preserve"> to enter spectrum </t>
    </r>
    <r>
      <rPr>
        <b/>
        <sz val="11"/>
        <rFont val="宋体"/>
        <charset val="134"/>
        <scheme val="minor"/>
      </rPr>
      <t>OR</t>
    </r>
  </si>
  <si>
    <t>D13</t>
  </si>
  <si>
    <t>1. Select source of spectral data</t>
  </si>
  <si>
    <t xml:space="preserve"> select the built-in spectrum matching the</t>
  </si>
  <si>
    <t>D17</t>
  </si>
  <si>
    <t>Spectrum</t>
  </si>
  <si>
    <t>User</t>
  </si>
  <si>
    <t xml:space="preserve"> conditions of your measurement value.</t>
  </si>
  <si>
    <t>J9</t>
  </si>
  <si>
    <t>Default indicator - No dependents</t>
  </si>
  <si>
    <r>
      <rPr>
        <b/>
        <sz val="11"/>
        <color rgb="FF2B4D89"/>
        <rFont val="宋体"/>
        <charset val="134"/>
        <scheme val="minor"/>
      </rPr>
      <t xml:space="preserve"> CELLS C11-C13</t>
    </r>
    <r>
      <rPr>
        <sz val="11"/>
        <color theme="1"/>
        <rFont val="宋体"/>
        <charset val="134"/>
        <scheme val="minor"/>
      </rPr>
      <t xml:space="preserve">: Enter the type of quantity </t>
    </r>
  </si>
  <si>
    <t>J13</t>
  </si>
  <si>
    <t>2. Select measurement details</t>
  </si>
  <si>
    <t xml:space="preserve"> and unit prefixes for your data.</t>
  </si>
  <si>
    <t>J17</t>
  </si>
  <si>
    <t>irradiance</t>
  </si>
  <si>
    <t xml:space="preserve"> If you selected "User" in CELL C8:</t>
  </si>
  <si>
    <t>J18</t>
  </si>
  <si>
    <t>m</t>
  </si>
  <si>
    <r>
      <rPr>
        <sz val="11"/>
        <color theme="1"/>
        <rFont val="宋体"/>
        <charset val="134"/>
        <scheme val="minor"/>
      </rPr>
      <t xml:space="preserve">Clear </t>
    </r>
    <r>
      <rPr>
        <b/>
        <sz val="11"/>
        <color rgb="FF2B4D89"/>
        <rFont val="宋体"/>
        <charset val="134"/>
        <scheme val="minor"/>
      </rPr>
      <t>CELL C17</t>
    </r>
    <r>
      <rPr>
        <sz val="11"/>
        <rFont val="宋体"/>
        <charset val="134"/>
        <scheme val="minor"/>
      </rPr>
      <t>.</t>
    </r>
  </si>
  <si>
    <t>E24</t>
  </si>
  <si>
    <t>Output!B14 message only</t>
  </si>
  <si>
    <r>
      <rPr>
        <b/>
        <sz val="11"/>
        <color rgb="FF2B4D89"/>
        <rFont val="宋体"/>
        <charset val="134"/>
        <scheme val="minor"/>
      </rPr>
      <t>CELL C20</t>
    </r>
    <r>
      <rPr>
        <sz val="11"/>
        <color theme="1"/>
        <rFont val="宋体"/>
        <charset val="134"/>
        <scheme val="minor"/>
      </rPr>
      <t>: Enter wavelength step</t>
    </r>
  </si>
  <si>
    <t>E26</t>
  </si>
  <si>
    <t>E24 only</t>
  </si>
  <si>
    <t xml:space="preserve">for your data (≤ 5 nm). </t>
  </si>
  <si>
    <t>E28</t>
  </si>
  <si>
    <r>
      <rPr>
        <b/>
        <sz val="11"/>
        <color rgb="FF2B4D89"/>
        <rFont val="宋体"/>
        <charset val="134"/>
        <scheme val="minor"/>
      </rPr>
      <t>CELLS C24:C424</t>
    </r>
    <r>
      <rPr>
        <sz val="11"/>
        <color theme="1"/>
        <rFont val="宋体"/>
        <charset val="134"/>
        <scheme val="minor"/>
      </rPr>
      <t>: Enter spectral data to</t>
    </r>
  </si>
  <si>
    <t>E30</t>
  </si>
  <si>
    <t>match the units and wavelength step.</t>
  </si>
  <si>
    <t>L24</t>
  </si>
  <si>
    <t>No dependents</t>
  </si>
  <si>
    <t xml:space="preserve"> If you did not select "User" in CELL C8:</t>
  </si>
  <si>
    <t>L26</t>
  </si>
  <si>
    <t>L24 only</t>
  </si>
  <si>
    <r>
      <rPr>
        <b/>
        <sz val="11"/>
        <color rgb="FF2B4D89"/>
        <rFont val="宋体"/>
        <charset val="134"/>
        <scheme val="minor"/>
      </rPr>
      <t>CELL C17</t>
    </r>
    <r>
      <rPr>
        <sz val="11"/>
        <color theme="1"/>
        <rFont val="宋体"/>
        <charset val="134"/>
        <scheme val="minor"/>
      </rPr>
      <t xml:space="preserve">: Enter the measurement </t>
    </r>
  </si>
  <si>
    <t>L28</t>
  </si>
  <si>
    <t>value to match the units.</t>
  </si>
  <si>
    <t>L30</t>
  </si>
  <si>
    <r>
      <rPr>
        <sz val="11"/>
        <color theme="1"/>
        <rFont val="宋体"/>
        <charset val="134"/>
        <scheme val="minor"/>
      </rPr>
      <t xml:space="preserve">Clear </t>
    </r>
    <r>
      <rPr>
        <b/>
        <sz val="11"/>
        <color rgb="FF2B4D89"/>
        <rFont val="宋体"/>
        <charset val="134"/>
        <scheme val="minor"/>
      </rPr>
      <t>CELLS C24:C424</t>
    </r>
    <r>
      <rPr>
        <sz val="11"/>
        <color theme="1"/>
        <rFont val="宋体"/>
        <charset val="134"/>
        <scheme val="minor"/>
      </rPr>
      <t>.</t>
    </r>
  </si>
  <si>
    <t>L32</t>
  </si>
  <si>
    <t>Some prompts also contain formulae, but have not dependents</t>
  </si>
  <si>
    <t>Error messages</t>
  </si>
  <si>
    <t>Outputs!I11 is another error indicator - no dependents</t>
  </si>
  <si>
    <t>nm</t>
  </si>
  <si>
    <t>There are disclaimer messages as formulae on each sheet</t>
  </si>
  <si>
    <t>Only user inputs are shaded cells together with Ages!D7 and Outputs!F10:11, H10:11 and J11</t>
  </si>
  <si>
    <t>Details of built in spectra (CIE 015:2018)</t>
  </si>
  <si>
    <t>A</t>
  </si>
  <si>
    <t>A: Range 380 nm to 780 nm, step 1 nm</t>
  </si>
  <si>
    <t>D65</t>
  </si>
  <si>
    <t>D65: Range 380 nm to 780 nm, step 1 nm</t>
  </si>
  <si>
    <t>E</t>
  </si>
  <si>
    <t>E: Range 380 nm to 780 nm, step 1 nm</t>
  </si>
  <si>
    <t>FL11</t>
  </si>
  <si>
    <t>FL11: Range 380 nm to 780 nm, step 1 nm</t>
  </si>
  <si>
    <t>LED-B3</t>
  </si>
  <si>
    <t>LED-B3: Range 380 nm to 780 nm, step 1 nm</t>
  </si>
  <si>
    <t>Outputs</t>
  </si>
  <si>
    <r>
      <rPr>
        <sz val="11"/>
        <color rgb="FFFF0000"/>
        <rFont val="宋体"/>
        <charset val="134"/>
        <scheme val="minor"/>
      </rPr>
      <t xml:space="preserve">Please note the </t>
    </r>
    <r>
      <rPr>
        <sz val="11"/>
        <color rgb="FFFF0000"/>
        <rFont val="Calibri"/>
        <charset val="134"/>
      </rPr>
      <t>α</t>
    </r>
    <r>
      <rPr>
        <sz val="11"/>
        <color rgb="FFFF0000"/>
        <rFont val="宋体"/>
        <charset val="134"/>
        <scheme val="minor"/>
      </rPr>
      <t>-opic Toolbox is not part of CIE S 026. See Disclaimer sheet.</t>
    </r>
  </si>
  <si>
    <t>Values for</t>
  </si>
  <si>
    <t>Scaling factor for inputs</t>
  </si>
  <si>
    <t>Cyanopic</t>
  </si>
  <si>
    <t>Chloropic</t>
  </si>
  <si>
    <t>Erythropic</t>
  </si>
  <si>
    <t>Rhodopic</t>
  </si>
  <si>
    <t>Melanopic</t>
  </si>
  <si>
    <t xml:space="preserve"> </t>
  </si>
  <si>
    <t>Spectra</t>
  </si>
  <si>
    <t xml:space="preserve">Deliberately not accessible. Please note the toolbox </t>
  </si>
  <si>
    <t>is not part of the official International Standard.</t>
  </si>
  <si>
    <t>NB only data for the restricted list are included in the tables. Other data are available from the relevant CIE standards.</t>
  </si>
  <si>
    <t>Formulae in columns BP:BX only</t>
  </si>
  <si>
    <t>Resolution</t>
  </si>
  <si>
    <t>Relative spectral power distributions of illuminants representing typical fluorescent lamps (1) - 1 nm data</t>
  </si>
  <si>
    <t>Relative spectral power distributions of illuminants representing typical fluorescent lamps (2) - 1 nm data</t>
  </si>
  <si>
    <t>Relative spectral power distributions of illuminants representing typical fluorescent lamps (3) - 1 nm data</t>
  </si>
  <si>
    <t>Relative spectral power distributions of illuminants representing typical LED lamps - 1 nm data</t>
  </si>
  <si>
    <r>
      <rPr>
        <sz val="11"/>
        <rFont val="宋体"/>
        <charset val="134"/>
        <scheme val="minor"/>
      </rPr>
      <t>Table 5 – Relative spectral power distributions of CIE illuminants</t>
    </r>
    <r>
      <rPr>
        <b/>
        <sz val="11"/>
        <rFont val="宋体"/>
        <charset val="134"/>
        <scheme val="minor"/>
      </rPr>
      <t>  </t>
    </r>
  </si>
  <si>
    <t>Table 11 – Relative spectral power distributions of high pressure discharge lamp illuminants</t>
  </si>
  <si>
    <t>Tables of spectral data from Input sheet</t>
  </si>
  <si>
    <t>cvrl.org</t>
  </si>
  <si>
    <t>(FL1–FL6: standard; FL7–FL9: broad-band; FL10–FL12: narrow-band)</t>
  </si>
  <si>
    <t>(FL3.1–FL3.3: Standard halophosphate; FL3.4–FL3.6: DeLuxe type; FL3.7–FL3.8: Three-band)</t>
  </si>
  <si>
    <t>(FL3.9–FL3.11: Three-band; FL3.12–FL3.14: Multi-band; FL3.15: D65 simulator)</t>
  </si>
  <si>
    <t>(LED-B1 … LED-B5: Phosphor-type LEDs in different CCT categories; LED-BH1: Hybrid-type; LED-RGB1: RGB-type; LED-V1, LED-V2: violet-pumped phosphor-type LEDs)</t>
  </si>
  <si>
    <t>(Familiar CIE illuminants)</t>
  </si>
  <si>
    <t>(HP1: Standard high pressure sodium lamp; HP2: Colour enhanced high pressure sodium lamp; HP3–HP5: High pressure metal halide lamps)</t>
  </si>
  <si>
    <t>Inputs!$C$8 and $J$8</t>
  </si>
  <si>
    <r>
      <rPr>
        <i/>
        <sz val="10"/>
        <rFont val="Symbol"/>
        <charset val="2"/>
      </rPr>
      <t>l</t>
    </r>
    <r>
      <rPr>
        <sz val="10"/>
        <rFont val="Arial"/>
        <charset val="134"/>
      </rPr>
      <t>/nm</t>
    </r>
  </si>
  <si>
    <t>FL1</t>
  </si>
  <si>
    <t>FL2</t>
  </si>
  <si>
    <t>FL3</t>
  </si>
  <si>
    <t>FL4</t>
  </si>
  <si>
    <t>FL5</t>
  </si>
  <si>
    <t>FL6</t>
  </si>
  <si>
    <t>FL7</t>
  </si>
  <si>
    <t>FL8</t>
  </si>
  <si>
    <t>FL9</t>
  </si>
  <si>
    <t>FL10</t>
  </si>
  <si>
    <t>FL12</t>
  </si>
  <si>
    <t>FL3.1</t>
  </si>
  <si>
    <t>FL3.2</t>
  </si>
  <si>
    <t>FL3.3</t>
  </si>
  <si>
    <t>FL3.4</t>
  </si>
  <si>
    <t>FL3.5</t>
  </si>
  <si>
    <t>FL3.6</t>
  </si>
  <si>
    <t>FL3.7</t>
  </si>
  <si>
    <t>FL3.8</t>
  </si>
  <si>
    <t>FL3.9</t>
  </si>
  <si>
    <t>FL3.10</t>
  </si>
  <si>
    <t>FL3.11</t>
  </si>
  <si>
    <t>FL3.12</t>
  </si>
  <si>
    <t>FL3.13</t>
  </si>
  <si>
    <t>FL3.14</t>
  </si>
  <si>
    <t>FL3.15</t>
  </si>
  <si>
    <t>LED-B1</t>
  </si>
  <si>
    <t>LED-B2</t>
  </si>
  <si>
    <t>LED-B4</t>
  </si>
  <si>
    <t>LED-B5</t>
  </si>
  <si>
    <t>LED-BH1</t>
  </si>
  <si>
    <t>LED-RGB1</t>
  </si>
  <si>
    <t>LED-V1</t>
  </si>
  <si>
    <t>LED-V2</t>
  </si>
  <si>
    <t>5nmA</t>
  </si>
  <si>
    <t>5nmD65</t>
  </si>
  <si>
    <t>C</t>
  </si>
  <si>
    <t>D50</t>
  </si>
  <si>
    <t>D55</t>
  </si>
  <si>
    <t>D75</t>
  </si>
  <si>
    <t>5nmE</t>
  </si>
  <si>
    <t>HP1</t>
  </si>
  <si>
    <t>HP2</t>
  </si>
  <si>
    <t>HP3</t>
  </si>
  <si>
    <t>HP4</t>
  </si>
  <si>
    <t>HP5</t>
  </si>
  <si>
    <t>UserRef</t>
  </si>
  <si>
    <t>RESTRICTED LIST</t>
  </si>
  <si>
    <t>TESTING LIST</t>
  </si>
  <si>
    <t>Physics</t>
  </si>
  <si>
    <t>Tables for SI system, SI radiometric, CIE photometric system and photon system</t>
  </si>
  <si>
    <t>SI Brochure 9th edition</t>
  </si>
  <si>
    <t>Physical photometry adjustments</t>
  </si>
  <si>
    <t>h</t>
  </si>
  <si>
    <t xml:space="preserve"> J.s</t>
  </si>
  <si>
    <r>
      <rPr>
        <i/>
        <sz val="11"/>
        <rFont val="宋体"/>
        <charset val="134"/>
        <scheme val="minor"/>
      </rPr>
      <t>K</t>
    </r>
    <r>
      <rPr>
        <vertAlign val="subscript"/>
        <sz val="11"/>
        <rFont val="宋体"/>
        <charset val="134"/>
        <scheme val="minor"/>
      </rPr>
      <t>cd</t>
    </r>
    <r>
      <rPr>
        <sz val="11"/>
        <rFont val="宋体"/>
        <charset val="134"/>
        <scheme val="minor"/>
      </rPr>
      <t xml:space="preserve"> = </t>
    </r>
    <r>
      <rPr>
        <i/>
        <sz val="11"/>
        <rFont val="宋体"/>
        <charset val="134"/>
        <scheme val="minor"/>
      </rPr>
      <t>K</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</si>
  <si>
    <t xml:space="preserve"> lm.W-1</t>
  </si>
  <si>
    <t>c</t>
  </si>
  <si>
    <t xml:space="preserve"> m.s-1</t>
  </si>
  <si>
    <r>
      <rPr>
        <i/>
        <sz val="11"/>
        <rFont val="Times New Roman"/>
        <charset val="134"/>
      </rPr>
      <t>λ</t>
    </r>
    <r>
      <rPr>
        <vertAlign val="subscript"/>
        <sz val="11"/>
        <rFont val="宋体"/>
        <charset val="134"/>
        <scheme val="minor"/>
      </rPr>
      <t>d</t>
    </r>
  </si>
  <si>
    <t>n</t>
  </si>
  <si>
    <r>
      <rPr>
        <i/>
        <sz val="11"/>
        <rFont val="宋体"/>
        <charset val="134"/>
        <scheme val="minor"/>
      </rPr>
      <t>V</t>
    </r>
    <r>
      <rPr>
        <sz val="11"/>
        <rFont val="宋体"/>
        <charset val="134"/>
        <scheme val="minor"/>
      </rPr>
      <t>(</t>
    </r>
    <r>
      <rPr>
        <i/>
        <sz val="11"/>
        <rFont val="Times New Roman"/>
        <charset val="134"/>
      </rPr>
      <t>λ</t>
    </r>
    <r>
      <rPr>
        <vertAlign val="subscript"/>
        <sz val="11"/>
        <rFont val="Times New Roman"/>
        <charset val="134"/>
      </rPr>
      <t>d</t>
    </r>
    <r>
      <rPr>
        <sz val="11"/>
        <rFont val="宋体"/>
        <charset val="134"/>
        <scheme val="minor"/>
      </rPr>
      <t>)</t>
    </r>
  </si>
  <si>
    <r>
      <rPr>
        <i/>
        <sz val="11"/>
        <rFont val="宋体"/>
        <charset val="134"/>
        <scheme val="minor"/>
      </rPr>
      <t>n</t>
    </r>
    <r>
      <rPr>
        <vertAlign val="subscript"/>
        <sz val="11"/>
        <rFont val="宋体"/>
        <charset val="134"/>
        <scheme val="minor"/>
      </rPr>
      <t>a</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</si>
  <si>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K</t>
    </r>
    <r>
      <rPr>
        <vertAlign val="subscript"/>
        <sz val="11"/>
        <rFont val="宋体"/>
        <charset val="134"/>
        <scheme val="minor"/>
      </rPr>
      <t>m</t>
    </r>
    <r>
      <rPr>
        <sz val="11"/>
        <rFont val="宋体"/>
        <charset val="134"/>
        <scheme val="minor"/>
      </rPr>
      <t xml:space="preserve"> = </t>
    </r>
    <r>
      <rPr>
        <i/>
        <sz val="11"/>
        <rFont val="宋体"/>
        <charset val="134"/>
        <scheme val="minor"/>
      </rPr>
      <t>K</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r>
      <rPr>
        <i/>
        <sz val="11"/>
        <rFont val="宋体"/>
        <charset val="134"/>
        <scheme val="minor"/>
      </rPr>
      <t>V</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</si>
  <si>
    <t>SI-type table for area prefixes</t>
  </si>
  <si>
    <t>ASCII</t>
  </si>
  <si>
    <t>Area prefix Lookup</t>
  </si>
  <si>
    <t>Prefix</t>
  </si>
  <si>
    <t>Value</t>
  </si>
  <si>
    <t>cento</t>
  </si>
  <si>
    <t>milli</t>
  </si>
  <si>
    <t>µ</t>
  </si>
  <si>
    <t>micro</t>
  </si>
  <si>
    <t>SI prefix table (blanks and cases are important)</t>
  </si>
  <si>
    <t>Main prefix Lookup</t>
  </si>
  <si>
    <t>exa</t>
  </si>
  <si>
    <t>P</t>
  </si>
  <si>
    <t>peta</t>
  </si>
  <si>
    <t>T</t>
  </si>
  <si>
    <t>tera</t>
  </si>
  <si>
    <t>G</t>
  </si>
  <si>
    <t>giga</t>
  </si>
  <si>
    <t>M</t>
  </si>
  <si>
    <t>mega</t>
  </si>
  <si>
    <t>k</t>
  </si>
  <si>
    <t>kilo</t>
  </si>
  <si>
    <t>nano</t>
  </si>
  <si>
    <t>p</t>
  </si>
  <si>
    <t>pico</t>
  </si>
  <si>
    <t>f</t>
  </si>
  <si>
    <t>femto</t>
  </si>
  <si>
    <t>a</t>
  </si>
  <si>
    <t>atto</t>
  </si>
  <si>
    <t>Table 1 of SI systems and quantities</t>
  </si>
  <si>
    <t>quantity</t>
  </si>
  <si>
    <t>units</t>
  </si>
  <si>
    <t>photon intensity</t>
  </si>
  <si>
    <t>s-1.sr-1</t>
  </si>
  <si>
    <t>radiant intensity</t>
  </si>
  <si>
    <t>W.sr-1</t>
  </si>
  <si>
    <t>luminous intensity</t>
  </si>
  <si>
    <t>cd</t>
  </si>
  <si>
    <t>photon radiance</t>
  </si>
  <si>
    <t>s-1.m-2.sr-1</t>
  </si>
  <si>
    <t>radiance</t>
  </si>
  <si>
    <t>W.m-2.sr-1</t>
  </si>
  <si>
    <t>luminance</t>
  </si>
  <si>
    <t>cd.m-2</t>
  </si>
  <si>
    <t>photon irradiance</t>
  </si>
  <si>
    <t>s-1.m-2</t>
  </si>
  <si>
    <t>W.m-2</t>
  </si>
  <si>
    <t>illuminance</t>
  </si>
  <si>
    <t>lx</t>
  </si>
  <si>
    <t>photon exposure</t>
  </si>
  <si>
    <t>m-2</t>
  </si>
  <si>
    <t>radiant exposure</t>
  </si>
  <si>
    <t>J.m-2</t>
  </si>
  <si>
    <t>luminous exposure</t>
  </si>
  <si>
    <t>lx.s</t>
  </si>
  <si>
    <t>photon flux</t>
  </si>
  <si>
    <t>s-1</t>
  </si>
  <si>
    <t>radiant flux</t>
  </si>
  <si>
    <t>W</t>
  </si>
  <si>
    <t>luminous flux</t>
  </si>
  <si>
    <t>lm</t>
  </si>
  <si>
    <t>number of photons</t>
  </si>
  <si>
    <t>radiant energy</t>
  </si>
  <si>
    <t>J</t>
  </si>
  <si>
    <t>luminous energy</t>
  </si>
  <si>
    <t>lm.s</t>
  </si>
  <si>
    <t>Table 2a Outputs and Advanced Outputs</t>
  </si>
  <si>
    <t>Table 2b Outputs</t>
  </si>
  <si>
    <t>Quantity Lookup</t>
  </si>
  <si>
    <t>Basic units</t>
  </si>
  <si>
    <t>Input units</t>
  </si>
  <si>
    <t>System</t>
  </si>
  <si>
    <t>Spectral units (Calcs)</t>
  </si>
  <si>
    <t>Photon system</t>
  </si>
  <si>
    <t>Radiometric</t>
  </si>
  <si>
    <t>Photometric</t>
  </si>
  <si>
    <t>n/a</t>
  </si>
  <si>
    <t>Table 3a Inputs</t>
  </si>
  <si>
    <t>Values</t>
  </si>
  <si>
    <t>Table 3b Lookup</t>
  </si>
  <si>
    <t>Quantity</t>
  </si>
  <si>
    <t>Area prefix</t>
  </si>
  <si>
    <t>Row Table 1</t>
  </si>
  <si>
    <t>(TEST)</t>
  </si>
  <si>
    <t>TEST (value)</t>
  </si>
  <si>
    <t>TEST spectra</t>
  </si>
  <si>
    <t>REFERENCE</t>
  </si>
  <si>
    <t>Units</t>
  </si>
  <si>
    <t>Formulae in columns AA:AS only</t>
  </si>
  <si>
    <t>Action spectra options - Inputs!$J$8</t>
  </si>
  <si>
    <t>Photobiology</t>
  </si>
  <si>
    <t>CIE S 026</t>
  </si>
  <si>
    <t>Lucas et al., 2014</t>
  </si>
  <si>
    <t>CIE photopic curve</t>
  </si>
  <si>
    <t>Action spectra for radiometric system</t>
  </si>
  <si>
    <t>Unnormalised photon spectral system action spectra</t>
  </si>
  <si>
    <t>Photon spectral system action spectra</t>
  </si>
  <si>
    <t>CIE S 026 action spectra</t>
  </si>
  <si>
    <t>Use</t>
  </si>
  <si>
    <t>offset</t>
  </si>
  <si>
    <r>
      <rPr>
        <sz val="11"/>
        <rFont val="Calibri"/>
        <charset val="134"/>
      </rPr>
      <t>Unrounded α-opic</t>
    </r>
    <r>
      <rPr>
        <sz val="11"/>
        <rFont val="宋体"/>
        <charset val="134"/>
        <scheme val="minor"/>
      </rPr>
      <t xml:space="preserve"> efficacy of luminance radiation (ELR) for daylight (D65), </t>
    </r>
    <r>
      <rPr>
        <i/>
        <sz val="11"/>
        <rFont val="宋体"/>
        <charset val="134"/>
        <scheme val="minor"/>
      </rPr>
      <t>K</t>
    </r>
    <r>
      <rPr>
        <vertAlign val="superscript"/>
        <sz val="11"/>
        <rFont val="宋体"/>
        <charset val="134"/>
        <scheme val="minor"/>
      </rPr>
      <t>D65</t>
    </r>
    <r>
      <rPr>
        <vertAlign val="subscript"/>
        <sz val="11"/>
        <rFont val="宋体"/>
        <charset val="134"/>
        <scheme val="minor"/>
      </rPr>
      <t xml:space="preserve">α,v </t>
    </r>
    <r>
      <rPr>
        <sz val="11"/>
        <rFont val="宋体"/>
        <charset val="134"/>
        <scheme val="minor"/>
      </rPr>
      <t>(values used in Toolbox calculations)</t>
    </r>
  </si>
  <si>
    <t>Interpolated from 5 nm</t>
  </si>
  <si>
    <t>S-cone-opic</t>
  </si>
  <si>
    <t>mW.lm-1</t>
  </si>
  <si>
    <t>M-cone-opic</t>
  </si>
  <si>
    <r>
      <rPr>
        <i/>
        <sz val="11"/>
        <rFont val="宋体"/>
        <charset val="134"/>
        <scheme val="minor"/>
      </rPr>
      <t>s</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 xml:space="preserve">) = </t>
    </r>
    <r>
      <rPr>
        <i/>
        <sz val="11"/>
        <rFont val="宋体"/>
        <charset val="134"/>
        <scheme val="minor"/>
      </rPr>
      <t>s</t>
    </r>
    <r>
      <rPr>
        <vertAlign val="subscript"/>
        <sz val="11"/>
        <rFont val="宋体"/>
        <charset val="134"/>
        <scheme val="minor"/>
      </rPr>
      <t>e,α</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</si>
  <si>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N</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t>
    </r>
  </si>
  <si>
    <t>max</t>
  </si>
  <si>
    <r>
      <rPr>
        <i/>
        <sz val="11"/>
        <rFont val="宋体"/>
        <charset val="134"/>
        <scheme val="minor"/>
      </rPr>
      <t>s</t>
    </r>
    <r>
      <rPr>
        <vertAlign val="subscript"/>
        <sz val="11"/>
        <rFont val="宋体"/>
        <charset val="134"/>
        <scheme val="minor"/>
      </rPr>
      <t>p,</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t>
    </r>
  </si>
  <si>
    <t>L-cone-opic</t>
  </si>
  <si>
    <r>
      <rPr>
        <i/>
        <sz val="11"/>
        <rFont val="宋体"/>
        <charset val="134"/>
        <scheme val="minor"/>
      </rPr>
      <t>V</t>
    </r>
    <r>
      <rPr>
        <sz val="11"/>
        <rFont val="宋体"/>
        <charset val="134"/>
        <scheme val="minor"/>
      </rPr>
      <t>(</t>
    </r>
    <r>
      <rPr>
        <i/>
        <sz val="11"/>
        <rFont val="Times New Roman"/>
        <charset val="134"/>
      </rPr>
      <t>λ</t>
    </r>
    <r>
      <rPr>
        <sz val="11"/>
        <rFont val="宋体"/>
        <charset val="134"/>
        <scheme val="minor"/>
      </rPr>
      <t>), extract</t>
    </r>
  </si>
  <si>
    <t>sc</t>
  </si>
  <si>
    <t>mc</t>
  </si>
  <si>
    <t>lc</t>
  </si>
  <si>
    <t>rh</t>
  </si>
  <si>
    <t>mel</t>
  </si>
  <si>
    <t>r</t>
  </si>
  <si>
    <t>z</t>
  </si>
  <si>
    <t>See BA1:BA3</t>
  </si>
  <si>
    <t>G:BD column width 0.1</t>
  </si>
  <si>
    <t>6:421 row height 0.1</t>
  </si>
  <si>
    <t>Calculations</t>
  </si>
  <si>
    <t>TEST</t>
  </si>
  <si>
    <t>input</t>
  </si>
  <si>
    <t>radiometric</t>
  </si>
  <si>
    <t>photometric</t>
  </si>
  <si>
    <t>photon system</t>
  </si>
  <si>
    <t>REF</t>
  </si>
  <si>
    <t>&amp; formulae in white text</t>
  </si>
  <si>
    <t>Sacling factor</t>
  </si>
  <si>
    <t>adj fact</t>
  </si>
  <si>
    <t>Input value</t>
  </si>
  <si>
    <t>values</t>
  </si>
  <si>
    <t>See BA1:BA3, and A422</t>
  </si>
  <si>
    <t>weighted radiometric</t>
  </si>
  <si>
    <t>ELR</t>
  </si>
  <si>
    <t>DER</t>
  </si>
  <si>
    <t>EDI</t>
  </si>
  <si>
    <t>weighted photon system</t>
  </si>
  <si>
    <t>Resolution, nm</t>
  </si>
  <si>
    <t>Unnormalised</t>
  </si>
  <si>
    <t>lookup column</t>
  </si>
  <si>
    <t>Charts</t>
  </si>
  <si>
    <t>Scaling Factor</t>
  </si>
  <si>
    <t>N/A</t>
  </si>
  <si>
    <t>conversion</t>
  </si>
  <si>
    <t>numerical weight</t>
  </si>
  <si>
    <t>V</t>
  </si>
  <si>
    <t>* hide from here down</t>
  </si>
  <si>
    <t>The input data is called the Test source. The default CIE S 026 Reference source is daylight (D65); Lucas et al., 2014 uses equi-energy (E).</t>
  </si>
  <si>
    <t>The units used on the y-axis depend on the prefixes selected in Inputs cells C12 and C13. The units used in the chart titles depend on the prefixes selected in Advanced Outputs cells H10 and H11.</t>
  </si>
  <si>
    <t>Action spectra</t>
  </si>
  <si>
    <t>CIE S 026 action spectra are standardised in the radiometric system (left), and different values apply in the photon system (right), see 2019 SI Brochure 9th Edition Appendix III.</t>
  </si>
  <si>
    <r>
      <rPr>
        <sz val="11"/>
        <rFont val="宋体"/>
        <charset val="134"/>
        <scheme val="minor"/>
      </rPr>
      <t xml:space="preserve">Further spectific details for the origins and derivations for the new, standard, </t>
    </r>
    <r>
      <rPr>
        <sz val="11"/>
        <rFont val="Calibri"/>
        <charset val="134"/>
      </rPr>
      <t>α</t>
    </r>
    <r>
      <rPr>
        <sz val="11"/>
        <rFont val="宋体"/>
        <charset val="134"/>
        <scheme val="minor"/>
      </rPr>
      <t>-opic action spectra are given in CIE S 026/E:2018.</t>
    </r>
  </si>
  <si>
    <t>Radiometric system (displayed with standard rounding)</t>
  </si>
  <si>
    <t>Photon system (calculated based on rounded radiometric values)</t>
  </si>
  <si>
    <r>
      <rPr>
        <i/>
        <sz val="11"/>
        <rFont val="宋体"/>
        <charset val="134"/>
        <scheme val="minor"/>
      </rPr>
      <t>s</t>
    </r>
    <r>
      <rPr>
        <vertAlign val="subscript"/>
        <sz val="11"/>
        <rFont val="Times New Roman"/>
        <charset val="134"/>
      </rPr>
      <t>sc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</si>
  <si>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mc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</si>
  <si>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lc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</si>
  <si>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rh</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</si>
  <si>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mel</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</si>
  <si>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p,sc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</si>
  <si>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p,mc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</si>
  <si>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p,lc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</si>
  <si>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p,rh</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</si>
  <si>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p,mel</t>
    </r>
    <r>
      <rPr>
        <sz val="11"/>
        <rFont val="宋体"/>
        <charset val="134"/>
        <scheme val="minor"/>
      </rPr>
      <t>(</t>
    </r>
    <r>
      <rPr>
        <i/>
        <sz val="11"/>
        <rFont val="Times New Roman"/>
        <charset val="134"/>
      </rPr>
      <t>λ</t>
    </r>
    <r>
      <rPr>
        <sz val="11"/>
        <rFont val="宋体"/>
        <charset val="134"/>
        <scheme val="minor"/>
      </rPr>
      <t>)</t>
    </r>
  </si>
  <si>
    <t/>
  </si>
  <si>
    <t>Glossary</t>
  </si>
  <si>
    <t>Advanced Inputs</t>
  </si>
  <si>
    <t>Not available in this version.</t>
  </si>
  <si>
    <t>A:G moved to inputs</t>
  </si>
  <si>
    <t>Advanced input instructions (optional)</t>
  </si>
  <si>
    <t>Non-standard = red</t>
  </si>
  <si>
    <r>
      <rPr>
        <b/>
        <sz val="11"/>
        <color rgb="FF2B4D89"/>
        <rFont val="宋体"/>
        <charset val="134"/>
        <scheme val="minor"/>
      </rPr>
      <t>CELL I6</t>
    </r>
    <r>
      <rPr>
        <sz val="11"/>
        <rFont val="宋体"/>
        <charset val="134"/>
        <scheme val="minor"/>
      </rPr>
      <t>: Enter reference spectrum name.</t>
    </r>
  </si>
  <si>
    <t>Daylight (D65)</t>
  </si>
  <si>
    <r>
      <rPr>
        <b/>
        <sz val="11"/>
        <color rgb="FF2B4D89"/>
        <rFont val="宋体"/>
        <charset val="134"/>
        <scheme val="minor"/>
      </rPr>
      <t>CELL J9</t>
    </r>
    <r>
      <rPr>
        <sz val="11"/>
        <rFont val="宋体"/>
        <charset val="134"/>
        <scheme val="minor"/>
      </rPr>
      <t>: Select desired set of published</t>
    </r>
  </si>
  <si>
    <r>
      <rPr>
        <sz val="11"/>
        <rFont val="宋体"/>
        <charset val="134"/>
        <scheme val="minor"/>
      </rPr>
      <t xml:space="preserve">sensitivity curves. </t>
    </r>
    <r>
      <rPr>
        <b/>
        <sz val="11"/>
        <rFont val="宋体"/>
        <charset val="134"/>
        <scheme val="minor"/>
      </rPr>
      <t>CIE S 026</t>
    </r>
    <r>
      <rPr>
        <sz val="11"/>
        <rFont val="宋体"/>
        <charset val="134"/>
        <scheme val="minor"/>
      </rPr>
      <t xml:space="preserve"> is the default.</t>
    </r>
  </si>
  <si>
    <t>R1. Select CIE S 026 for standard calculations</t>
  </si>
  <si>
    <r>
      <rPr>
        <b/>
        <sz val="11"/>
        <color rgb="FF2B4D89"/>
        <rFont val="宋体"/>
        <charset val="134"/>
        <scheme val="minor"/>
      </rPr>
      <t>CELL J13</t>
    </r>
    <r>
      <rPr>
        <sz val="11"/>
        <rFont val="宋体"/>
        <charset val="134"/>
        <scheme val="minor"/>
      </rPr>
      <t xml:space="preserve">: Select reference spectrum. </t>
    </r>
    <r>
      <rPr>
        <b/>
        <sz val="11"/>
        <rFont val="宋体"/>
        <charset val="134"/>
        <scheme val="minor"/>
      </rPr>
      <t>D65</t>
    </r>
  </si>
  <si>
    <t>Select publication</t>
  </si>
  <si>
    <r>
      <rPr>
        <sz val="11"/>
        <rFont val="宋体"/>
        <charset val="134"/>
        <scheme val="minor"/>
      </rPr>
      <t>is the default (for</t>
    </r>
    <r>
      <rPr>
        <b/>
        <sz val="11"/>
        <rFont val="宋体"/>
        <charset val="134"/>
        <scheme val="minor"/>
      </rPr>
      <t xml:space="preserve"> </t>
    </r>
    <r>
      <rPr>
        <sz val="11"/>
        <rFont val="宋体"/>
        <charset val="134"/>
        <scheme val="minor"/>
      </rPr>
      <t xml:space="preserve">CIE S 026). Select </t>
    </r>
    <r>
      <rPr>
        <b/>
        <sz val="11"/>
        <rFont val="宋体"/>
        <charset val="134"/>
        <scheme val="minor"/>
      </rPr>
      <t xml:space="preserve">E </t>
    </r>
    <r>
      <rPr>
        <sz val="11"/>
        <rFont val="宋体"/>
        <charset val="134"/>
        <scheme val="minor"/>
      </rPr>
      <t>for</t>
    </r>
  </si>
  <si>
    <r>
      <rPr>
        <sz val="11"/>
        <rFont val="宋体"/>
        <charset val="134"/>
        <scheme val="minor"/>
      </rPr>
      <t xml:space="preserve">Lucas et al., 2014. Select </t>
    </r>
    <r>
      <rPr>
        <b/>
        <sz val="11"/>
        <rFont val="宋体"/>
        <charset val="134"/>
        <scheme val="minor"/>
      </rPr>
      <t>UserRef</t>
    </r>
    <r>
      <rPr>
        <sz val="11"/>
        <rFont val="宋体"/>
        <charset val="134"/>
        <scheme val="minor"/>
      </rPr>
      <t xml:space="preserve"> to enter</t>
    </r>
  </si>
  <si>
    <t>an unlisted reference spectrum, and in:</t>
  </si>
  <si>
    <t>R2. Select source of reference spectrum</t>
  </si>
  <si>
    <r>
      <rPr>
        <b/>
        <sz val="11"/>
        <color rgb="FF2B4D89"/>
        <rFont val="宋体"/>
        <charset val="134"/>
        <scheme val="minor"/>
      </rPr>
      <t>CELLS J17</t>
    </r>
    <r>
      <rPr>
        <sz val="11"/>
        <rFont val="宋体"/>
        <charset val="134"/>
        <scheme val="minor"/>
      </rPr>
      <t>: reference spectral system,</t>
    </r>
  </si>
  <si>
    <t>Select reference</t>
  </si>
  <si>
    <r>
      <rPr>
        <b/>
        <sz val="11"/>
        <color rgb="FF2B4D89"/>
        <rFont val="宋体"/>
        <charset val="134"/>
        <scheme val="minor"/>
      </rPr>
      <t>CELLS J20</t>
    </r>
    <r>
      <rPr>
        <sz val="11"/>
        <rFont val="宋体"/>
        <charset val="134"/>
        <scheme val="minor"/>
      </rPr>
      <t>: spectral wavelength step, &amp;</t>
    </r>
  </si>
  <si>
    <r>
      <rPr>
        <b/>
        <sz val="11"/>
        <color rgb="FF2B4D89"/>
        <rFont val="宋体"/>
        <charset val="134"/>
        <scheme val="minor"/>
      </rPr>
      <t>CELLS J24:J424</t>
    </r>
    <r>
      <rPr>
        <sz val="11"/>
        <rFont val="宋体"/>
        <charset val="134"/>
        <scheme val="minor"/>
      </rPr>
      <t>: the spectral data itself.</t>
    </r>
  </si>
  <si>
    <t>If you did not select UserRef:</t>
  </si>
  <si>
    <r>
      <rPr>
        <b/>
        <sz val="11"/>
        <color rgb="FF2B4D89"/>
        <rFont val="宋体"/>
        <charset val="134"/>
        <scheme val="minor"/>
      </rPr>
      <t>CELL J17</t>
    </r>
    <r>
      <rPr>
        <sz val="11"/>
        <rFont val="宋体"/>
        <charset val="134"/>
        <scheme val="minor"/>
      </rPr>
      <t xml:space="preserve">: Enter </t>
    </r>
    <r>
      <rPr>
        <b/>
        <sz val="11"/>
        <rFont val="宋体"/>
        <charset val="134"/>
        <scheme val="minor"/>
      </rPr>
      <t>Radiometric</t>
    </r>
    <r>
      <rPr>
        <sz val="11"/>
        <rFont val="宋体"/>
        <charset val="134"/>
        <scheme val="minor"/>
      </rPr>
      <t>.</t>
    </r>
  </si>
  <si>
    <t>Spectral system</t>
  </si>
  <si>
    <r>
      <rPr>
        <sz val="11"/>
        <rFont val="宋体"/>
        <charset val="134"/>
        <scheme val="minor"/>
      </rPr>
      <t xml:space="preserve">Clear </t>
    </r>
    <r>
      <rPr>
        <b/>
        <sz val="11"/>
        <color rgb="FF2B4D89"/>
        <rFont val="宋体"/>
        <charset val="134"/>
        <scheme val="minor"/>
      </rPr>
      <t>CELLS J24:J424</t>
    </r>
    <r>
      <rPr>
        <sz val="11"/>
        <rFont val="宋体"/>
        <charset val="134"/>
        <scheme val="minor"/>
      </rPr>
      <t>.</t>
    </r>
  </si>
  <si>
    <t>Reset defaults for standard calculations:</t>
  </si>
  <si>
    <r>
      <rPr>
        <b/>
        <sz val="11"/>
        <color rgb="FF2B4D89"/>
        <rFont val="宋体"/>
        <charset val="134"/>
        <scheme val="minor"/>
      </rPr>
      <t>CELL I6</t>
    </r>
    <r>
      <rPr>
        <sz val="11"/>
        <rFont val="宋体"/>
        <charset val="134"/>
        <scheme val="minor"/>
      </rPr>
      <t xml:space="preserve">: </t>
    </r>
    <r>
      <rPr>
        <b/>
        <sz val="11"/>
        <rFont val="宋体"/>
        <charset val="134"/>
        <scheme val="minor"/>
      </rPr>
      <t>Daylight (D65),</t>
    </r>
    <r>
      <rPr>
        <sz val="11"/>
        <rFont val="宋体"/>
        <charset val="134"/>
        <scheme val="minor"/>
      </rPr>
      <t xml:space="preserve"> </t>
    </r>
    <r>
      <rPr>
        <b/>
        <sz val="11"/>
        <color rgb="FF2B4D89"/>
        <rFont val="宋体"/>
        <charset val="134"/>
        <scheme val="minor"/>
      </rPr>
      <t>CELL J9:</t>
    </r>
    <r>
      <rPr>
        <sz val="11"/>
        <rFont val="宋体"/>
        <charset val="134"/>
        <scheme val="minor"/>
      </rPr>
      <t xml:space="preserve"> </t>
    </r>
    <r>
      <rPr>
        <b/>
        <sz val="11"/>
        <rFont val="宋体"/>
        <charset val="134"/>
        <scheme val="minor"/>
      </rPr>
      <t>CIE S 026</t>
    </r>
  </si>
  <si>
    <r>
      <rPr>
        <b/>
        <sz val="11"/>
        <color rgb="FF2B4D89"/>
        <rFont val="宋体"/>
        <charset val="134"/>
        <scheme val="minor"/>
      </rPr>
      <t xml:space="preserve">CELL J13: </t>
    </r>
    <r>
      <rPr>
        <b/>
        <sz val="11"/>
        <rFont val="宋体"/>
        <charset val="134"/>
        <scheme val="minor"/>
      </rPr>
      <t>D65,</t>
    </r>
    <r>
      <rPr>
        <b/>
        <sz val="11"/>
        <color rgb="FF2B4D89"/>
        <rFont val="宋体"/>
        <charset val="134"/>
        <scheme val="minor"/>
      </rPr>
      <t xml:space="preserve"> </t>
    </r>
    <r>
      <rPr>
        <sz val="11"/>
        <rFont val="宋体"/>
        <charset val="134"/>
        <scheme val="minor"/>
      </rPr>
      <t>and</t>
    </r>
    <r>
      <rPr>
        <b/>
        <sz val="11"/>
        <color rgb="FF2B4D89"/>
        <rFont val="宋体"/>
        <charset val="134"/>
        <scheme val="minor"/>
      </rPr>
      <t xml:space="preserve"> CELL J17</t>
    </r>
    <r>
      <rPr>
        <sz val="11"/>
        <rFont val="宋体"/>
        <charset val="134"/>
        <scheme val="minor"/>
      </rPr>
      <t xml:space="preserve">: </t>
    </r>
    <r>
      <rPr>
        <b/>
        <sz val="11"/>
        <rFont val="宋体"/>
        <charset val="134"/>
        <scheme val="minor"/>
      </rPr>
      <t>Radiometric</t>
    </r>
    <r>
      <rPr>
        <sz val="11"/>
        <rFont val="宋体"/>
        <charset val="134"/>
        <scheme val="minor"/>
      </rPr>
      <t>.</t>
    </r>
  </si>
  <si>
    <t>CIE standard vs Lucas et al. 2014 modes</t>
  </si>
  <si>
    <t>For backward compatibility with the non-</t>
  </si>
  <si>
    <t>standard calculations in Lucas et al., 2014</t>
  </si>
  <si>
    <t>the following input combination applies:</t>
  </si>
  <si>
    <r>
      <rPr>
        <b/>
        <sz val="11"/>
        <color rgb="FF2B4D89"/>
        <rFont val="宋体"/>
        <charset val="134"/>
        <scheme val="minor"/>
      </rPr>
      <t>R1</t>
    </r>
    <r>
      <rPr>
        <sz val="11"/>
        <color theme="1"/>
        <rFont val="宋体"/>
        <charset val="134"/>
        <scheme val="minor"/>
      </rPr>
      <t xml:space="preserve">: Select </t>
    </r>
    <r>
      <rPr>
        <b/>
        <sz val="11"/>
        <color theme="1"/>
        <rFont val="宋体"/>
        <charset val="134"/>
        <scheme val="minor"/>
      </rPr>
      <t>Lucas et al., 2014</t>
    </r>
    <r>
      <rPr>
        <sz val="11"/>
        <color theme="1"/>
        <rFont val="宋体"/>
        <charset val="134"/>
        <scheme val="minor"/>
      </rPr>
      <t xml:space="preserve"> in </t>
    </r>
    <r>
      <rPr>
        <b/>
        <sz val="11"/>
        <color rgb="FF2B4D89"/>
        <rFont val="宋体"/>
        <charset val="134"/>
        <scheme val="minor"/>
      </rPr>
      <t>CELL J9</t>
    </r>
  </si>
  <si>
    <r>
      <rPr>
        <b/>
        <sz val="11"/>
        <color rgb="FF2B4D89"/>
        <rFont val="宋体"/>
        <charset val="134"/>
        <scheme val="minor"/>
      </rPr>
      <t>R2</t>
    </r>
    <r>
      <rPr>
        <sz val="11"/>
        <color theme="1"/>
        <rFont val="宋体"/>
        <charset val="134"/>
        <scheme val="minor"/>
      </rPr>
      <t xml:space="preserve">: Select </t>
    </r>
    <r>
      <rPr>
        <b/>
        <sz val="11"/>
        <color theme="1"/>
        <rFont val="宋体"/>
        <charset val="134"/>
        <scheme val="minor"/>
      </rPr>
      <t>E</t>
    </r>
    <r>
      <rPr>
        <sz val="11"/>
        <color theme="1"/>
        <rFont val="宋体"/>
        <charset val="134"/>
        <scheme val="minor"/>
      </rPr>
      <t xml:space="preserve"> in </t>
    </r>
    <r>
      <rPr>
        <b/>
        <sz val="11"/>
        <color rgb="FF2B4D89"/>
        <rFont val="宋体"/>
        <charset val="134"/>
        <scheme val="minor"/>
      </rPr>
      <t>CELL J13</t>
    </r>
  </si>
  <si>
    <t>For the standard CIE calcuations (which</t>
  </si>
  <si>
    <t>are recommended for all publications</t>
  </si>
  <si>
    <t>going forward):</t>
  </si>
  <si>
    <r>
      <rPr>
        <b/>
        <sz val="11"/>
        <color rgb="FF2B4D89"/>
        <rFont val="宋体"/>
        <charset val="134"/>
        <scheme val="minor"/>
      </rPr>
      <t>R1</t>
    </r>
    <r>
      <rPr>
        <sz val="11"/>
        <color theme="1"/>
        <rFont val="宋体"/>
        <charset val="134"/>
        <scheme val="minor"/>
      </rPr>
      <t xml:space="preserve">: Select </t>
    </r>
    <r>
      <rPr>
        <b/>
        <sz val="11"/>
        <color theme="1"/>
        <rFont val="宋体"/>
        <charset val="134"/>
        <scheme val="minor"/>
      </rPr>
      <t>CIE S 026</t>
    </r>
    <r>
      <rPr>
        <sz val="11"/>
        <color theme="1"/>
        <rFont val="宋体"/>
        <charset val="134"/>
        <scheme val="minor"/>
      </rPr>
      <t xml:space="preserve"> in </t>
    </r>
    <r>
      <rPr>
        <b/>
        <sz val="11"/>
        <color rgb="FF2B4D89"/>
        <rFont val="宋体"/>
        <charset val="134"/>
        <scheme val="minor"/>
      </rPr>
      <t>CELL J9</t>
    </r>
  </si>
  <si>
    <r>
      <rPr>
        <b/>
        <sz val="11"/>
        <color rgb="FF2B4D89"/>
        <rFont val="宋体"/>
        <charset val="134"/>
        <scheme val="minor"/>
      </rPr>
      <t>R2</t>
    </r>
    <r>
      <rPr>
        <sz val="11"/>
        <color theme="1"/>
        <rFont val="宋体"/>
        <charset val="134"/>
        <scheme val="minor"/>
      </rPr>
      <t xml:space="preserve">: Select </t>
    </r>
    <r>
      <rPr>
        <b/>
        <sz val="11"/>
        <color theme="1"/>
        <rFont val="宋体"/>
        <charset val="134"/>
        <scheme val="minor"/>
      </rPr>
      <t>D65</t>
    </r>
    <r>
      <rPr>
        <sz val="11"/>
        <color theme="1"/>
        <rFont val="宋体"/>
        <charset val="134"/>
        <scheme val="minor"/>
      </rPr>
      <t xml:space="preserve"> in </t>
    </r>
    <r>
      <rPr>
        <b/>
        <sz val="11"/>
        <color rgb="FF2B4D89"/>
        <rFont val="宋体"/>
        <charset val="134"/>
        <scheme val="minor"/>
      </rPr>
      <t>CELL J13</t>
    </r>
  </si>
  <si>
    <t>For both of these options:</t>
  </si>
  <si>
    <r>
      <rPr>
        <b/>
        <sz val="11"/>
        <color rgb="FF2B4D89"/>
        <rFont val="宋体"/>
        <charset val="134"/>
        <scheme val="minor"/>
      </rPr>
      <t>R3</t>
    </r>
    <r>
      <rPr>
        <sz val="11"/>
        <color theme="1"/>
        <rFont val="宋体"/>
        <charset val="134"/>
        <scheme val="minor"/>
      </rPr>
      <t xml:space="preserve">: Select </t>
    </r>
    <r>
      <rPr>
        <b/>
        <sz val="11"/>
        <color theme="1"/>
        <rFont val="宋体"/>
        <charset val="134"/>
        <scheme val="minor"/>
      </rPr>
      <t>Radiometric</t>
    </r>
    <r>
      <rPr>
        <sz val="11"/>
        <color theme="1"/>
        <rFont val="宋体"/>
        <charset val="134"/>
        <scheme val="minor"/>
      </rPr>
      <t xml:space="preserve"> in </t>
    </r>
    <r>
      <rPr>
        <b/>
        <sz val="11"/>
        <color rgb="FF2B4D89"/>
        <rFont val="宋体"/>
        <charset val="134"/>
        <scheme val="minor"/>
      </rPr>
      <t>CELL J17</t>
    </r>
  </si>
  <si>
    <r>
      <rPr>
        <b/>
        <sz val="11"/>
        <color rgb="FF2B4D89"/>
        <rFont val="宋体"/>
        <charset val="134"/>
        <scheme val="minor"/>
      </rPr>
      <t>R4</t>
    </r>
    <r>
      <rPr>
        <sz val="11"/>
        <color theme="1"/>
        <rFont val="宋体"/>
        <charset val="134"/>
        <scheme val="minor"/>
      </rPr>
      <t xml:space="preserve"> not used: Set to </t>
    </r>
    <r>
      <rPr>
        <b/>
        <sz val="11"/>
        <color theme="1"/>
        <rFont val="宋体"/>
        <charset val="134"/>
        <scheme val="minor"/>
      </rPr>
      <t>1</t>
    </r>
    <r>
      <rPr>
        <sz val="11"/>
        <color theme="1"/>
        <rFont val="宋体"/>
        <charset val="134"/>
        <scheme val="minor"/>
      </rPr>
      <t xml:space="preserve"> in </t>
    </r>
    <r>
      <rPr>
        <b/>
        <sz val="11"/>
        <color rgb="FF2B4D89"/>
        <rFont val="宋体"/>
        <charset val="134"/>
        <scheme val="minor"/>
      </rPr>
      <t>CELL J20</t>
    </r>
  </si>
  <si>
    <r>
      <rPr>
        <b/>
        <sz val="11"/>
        <color rgb="FF2B4D89"/>
        <rFont val="宋体"/>
        <charset val="134"/>
        <scheme val="minor"/>
      </rPr>
      <t>R5</t>
    </r>
    <r>
      <rPr>
        <sz val="11"/>
        <color theme="1"/>
        <rFont val="宋体"/>
        <charset val="134"/>
        <scheme val="minor"/>
      </rPr>
      <t xml:space="preserve"> not used: Clear </t>
    </r>
    <r>
      <rPr>
        <b/>
        <sz val="11"/>
        <color rgb="FF2B4D89"/>
        <rFont val="宋体"/>
        <charset val="134"/>
        <scheme val="minor"/>
      </rPr>
      <t>CELLS J24:J424</t>
    </r>
  </si>
  <si>
    <t>Select current "CIE S 026" or old "Lucas et al., 2014" quantities:</t>
  </si>
  <si>
    <t>Advanced Outputs</t>
  </si>
  <si>
    <t>Inputs</t>
  </si>
  <si>
    <t>Basis of system:</t>
  </si>
  <si>
    <t>radiant flux (power), W</t>
  </si>
  <si>
    <t>luminous flux, lm</t>
  </si>
  <si>
    <t>photon flux, s-1</t>
  </si>
  <si>
    <t>Quantity, Q:</t>
  </si>
  <si>
    <t>Units:</t>
  </si>
  <si>
    <t>Output prefix</t>
  </si>
  <si>
    <t>Select:</t>
  </si>
  <si>
    <t>Scaling factors</t>
  </si>
  <si>
    <t>Note to (T2)</t>
  </si>
  <si>
    <r>
      <rPr>
        <i/>
        <sz val="9"/>
        <color theme="1"/>
        <rFont val="宋体"/>
        <charset val="134"/>
        <scheme val="minor"/>
      </rPr>
      <t>K</t>
    </r>
    <r>
      <rPr>
        <vertAlign val="subscript"/>
        <sz val="10"/>
        <color theme="1"/>
        <rFont val="宋体"/>
        <charset val="134"/>
        <scheme val="minor"/>
      </rPr>
      <t>m</t>
    </r>
    <r>
      <rPr>
        <sz val="9"/>
        <color theme="1"/>
        <rFont val="宋体"/>
        <charset val="134"/>
        <scheme val="minor"/>
      </rPr>
      <t xml:space="preserve"> </t>
    </r>
    <r>
      <rPr>
        <sz val="9"/>
        <color theme="1"/>
        <rFont val="Calibri"/>
        <charset val="134"/>
      </rPr>
      <t>≈</t>
    </r>
    <r>
      <rPr>
        <sz val="9"/>
        <color theme="1"/>
        <rFont val="宋体"/>
        <charset val="134"/>
        <scheme val="minor"/>
      </rPr>
      <t xml:space="preserve"> </t>
    </r>
    <r>
      <rPr>
        <i/>
        <sz val="9"/>
        <color theme="1"/>
        <rFont val="宋体"/>
        <charset val="134"/>
        <scheme val="minor"/>
      </rPr>
      <t>K</t>
    </r>
    <r>
      <rPr>
        <vertAlign val="subscript"/>
        <sz val="9"/>
        <color theme="1"/>
        <rFont val="宋体"/>
        <charset val="134"/>
        <scheme val="minor"/>
      </rPr>
      <t>cd</t>
    </r>
    <r>
      <rPr>
        <sz val="9"/>
        <color theme="1"/>
        <rFont val="宋体"/>
        <charset val="134"/>
        <scheme val="minor"/>
      </rPr>
      <t xml:space="preserve"> = 683 lm.W</t>
    </r>
    <r>
      <rPr>
        <vertAlign val="superscript"/>
        <sz val="10"/>
        <color theme="1"/>
        <rFont val="宋体"/>
        <charset val="134"/>
        <scheme val="minor"/>
      </rPr>
      <t>-1</t>
    </r>
  </si>
  <si>
    <t>Test source</t>
  </si>
  <si>
    <t>Age-adjustment</t>
  </si>
  <si>
    <t>Notes on age-adjustment formulae (also see Transmittance)</t>
  </si>
  <si>
    <t>Standard age</t>
  </si>
  <si>
    <t xml:space="preserve"> age (complete yrs)</t>
  </si>
  <si>
    <r>
      <rPr>
        <sz val="11"/>
        <color rgb="FFFF0000"/>
        <rFont val="宋体"/>
        <charset val="134"/>
        <scheme val="minor"/>
      </rPr>
      <t xml:space="preserve"> The values above are for a standard observer, age 32, and the values below are for an observer, age </t>
    </r>
    <r>
      <rPr>
        <i/>
        <sz val="11"/>
        <color rgb="FFFF0000"/>
        <rFont val="宋体"/>
        <charset val="134"/>
        <scheme val="minor"/>
      </rPr>
      <t>a</t>
    </r>
    <r>
      <rPr>
        <sz val="11"/>
        <color rgb="FFFF0000"/>
        <rFont val="宋体"/>
        <charset val="134"/>
        <scheme val="minor"/>
      </rPr>
      <t xml:space="preserve">. </t>
    </r>
  </si>
  <si>
    <r>
      <rPr>
        <sz val="11"/>
        <rFont val="宋体"/>
        <charset val="134"/>
        <scheme val="minor"/>
      </rPr>
      <t xml:space="preserve">Observer age, </t>
    </r>
    <r>
      <rPr>
        <i/>
        <sz val="11"/>
        <rFont val="宋体"/>
        <charset val="134"/>
        <scheme val="minor"/>
      </rPr>
      <t>a</t>
    </r>
  </si>
  <si>
    <r>
      <rPr>
        <sz val="11"/>
        <color rgb="FFFF0000"/>
        <rFont val="宋体"/>
        <charset val="134"/>
        <scheme val="minor"/>
      </rPr>
      <t xml:space="preserve"> (Ir)radiance and photon (ir)radiance </t>
    </r>
    <r>
      <rPr>
        <b/>
        <sz val="11"/>
        <color rgb="FFFF0000"/>
        <rFont val="宋体"/>
        <charset val="134"/>
        <scheme val="minor"/>
      </rPr>
      <t xml:space="preserve">cannot </t>
    </r>
    <r>
      <rPr>
        <sz val="11"/>
        <color rgb="FFFF0000"/>
        <rFont val="宋体"/>
        <charset val="134"/>
        <scheme val="minor"/>
      </rPr>
      <t xml:space="preserve">be age-adjusted; (il)luminance, ELRs and DERs </t>
    </r>
    <r>
      <rPr>
        <b/>
        <sz val="11"/>
        <color rgb="FFFF0000"/>
        <rFont val="宋体"/>
        <charset val="134"/>
        <scheme val="minor"/>
      </rPr>
      <t>should not</t>
    </r>
    <r>
      <rPr>
        <sz val="11"/>
        <color rgb="FFFF0000"/>
        <rFont val="宋体"/>
        <charset val="134"/>
        <scheme val="minor"/>
      </rPr>
      <t>.</t>
    </r>
  </si>
  <si>
    <r>
      <rPr>
        <i/>
        <sz val="11"/>
        <color theme="1"/>
        <rFont val="宋体"/>
        <charset val="134"/>
        <scheme val="minor"/>
      </rPr>
      <t xml:space="preserve">a </t>
    </r>
    <r>
      <rPr>
        <sz val="11"/>
        <color theme="1"/>
        <rFont val="宋体"/>
        <charset val="134"/>
        <scheme val="minor"/>
      </rPr>
      <t>is limited to an age range from 10 to 100</t>
    </r>
  </si>
  <si>
    <r>
      <rPr>
        <sz val="11"/>
        <color rgb="FFFF0000"/>
        <rFont val="宋体"/>
        <charset val="134"/>
        <scheme val="minor"/>
      </rPr>
      <t xml:space="preserve"> </t>
    </r>
    <r>
      <rPr>
        <b/>
        <sz val="11"/>
        <color rgb="FFFF0000"/>
        <rFont val="宋体"/>
        <charset val="134"/>
        <scheme val="minor"/>
      </rPr>
      <t>All</t>
    </r>
    <r>
      <rPr>
        <sz val="11"/>
        <color rgb="FFFF0000"/>
        <rFont val="宋体"/>
        <charset val="134"/>
        <scheme val="minor"/>
      </rPr>
      <t xml:space="preserve"> age-adjusted quantities are non-standard, and conflict with a key principle in physical photometry.</t>
    </r>
  </si>
  <si>
    <r>
      <rPr>
        <i/>
        <sz val="10"/>
        <color theme="1"/>
        <rFont val="宋体"/>
        <charset val="134"/>
        <scheme val="minor"/>
      </rPr>
      <t xml:space="preserve">spectral transmittance ratio, c(a,λ) </t>
    </r>
    <r>
      <rPr>
        <i/>
        <sz val="10"/>
        <color theme="1"/>
        <rFont val="Calibri"/>
        <charset val="134"/>
      </rPr>
      <t>≈</t>
    </r>
    <r>
      <rPr>
        <i/>
        <sz val="10"/>
        <color theme="1"/>
        <rFont val="宋体"/>
        <charset val="134"/>
        <scheme val="minor"/>
      </rPr>
      <t xml:space="preserve"> τ(a,λ) / τ(32,λ)</t>
    </r>
  </si>
  <si>
    <t>Age</t>
  </si>
  <si>
    <t>Transmittance</t>
  </si>
  <si>
    <t>Notes on age adjustment formulae (also see Advanced Outputs)</t>
  </si>
  <si>
    <r>
      <rPr>
        <sz val="11"/>
        <rFont val="宋体"/>
        <charset val="134"/>
        <scheme val="minor"/>
      </rPr>
      <t xml:space="preserve">The age input </t>
    </r>
    <r>
      <rPr>
        <i/>
        <sz val="11"/>
        <rFont val="宋体"/>
        <charset val="134"/>
        <scheme val="minor"/>
      </rPr>
      <t>a</t>
    </r>
    <r>
      <rPr>
        <sz val="11"/>
        <rFont val="宋体"/>
        <charset val="134"/>
        <scheme val="minor"/>
      </rPr>
      <t xml:space="preserve"> is to be found on the Advanced Outputs sheet.</t>
    </r>
  </si>
  <si>
    <t>Human eye transmittance τ(a,λ) and age-adjustment factors c(a,λ)</t>
  </si>
  <si>
    <r>
      <rPr>
        <sz val="11"/>
        <color theme="1"/>
        <rFont val="宋体"/>
        <charset val="134"/>
        <scheme val="minor"/>
      </rPr>
      <t xml:space="preserve">are calucated according to CIE 203:2012 </t>
    </r>
    <r>
      <rPr>
        <i/>
        <sz val="11"/>
        <color theme="1"/>
        <rFont val="宋体"/>
        <charset val="134"/>
        <scheme val="minor"/>
      </rPr>
      <t>A Computerized Approach</t>
    </r>
  </si>
  <si>
    <t>to Transmission and Absorption Characteristics of the Human Eye.</t>
  </si>
  <si>
    <t>Age-adjustment factors in CIE S 026/E:2018 are only informative,</t>
  </si>
  <si>
    <t>and all age-adjusted quantities are non-standard. τ(32,λ) and the</t>
  </si>
  <si>
    <r>
      <rPr>
        <sz val="11"/>
        <color rgb="FFFF0000"/>
        <rFont val="宋体"/>
        <charset val="134"/>
        <scheme val="minor"/>
      </rPr>
      <t xml:space="preserve">CIE S 026 </t>
    </r>
    <r>
      <rPr>
        <sz val="11"/>
        <color rgb="FFFF0000"/>
        <rFont val="Calibri"/>
        <charset val="134"/>
      </rPr>
      <t>α</t>
    </r>
    <r>
      <rPr>
        <sz val="11"/>
        <color rgb="FFFF0000"/>
        <rFont val="宋体"/>
        <charset val="134"/>
        <scheme val="minor"/>
      </rPr>
      <t>-opic action spectra were derived separately, but they</t>
    </r>
  </si>
  <si>
    <t>should be reasonably consistent for calculations with white light.</t>
  </si>
  <si>
    <t>Standard eye</t>
  </si>
  <si>
    <t>Adjustment</t>
  </si>
  <si>
    <t>τ(32,λ)</t>
  </si>
  <si>
    <t>Parameters for CIE 203@2012 age-adjustment formula (as amended in erratum)</t>
  </si>
  <si>
    <t>Orange text are not used, or are dummy values to simplify formulae checking (zeros above).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</si>
</sst>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0"/>
    <numFmt numFmtId="177" formatCode="0E+00"/>
    <numFmt numFmtId="178" formatCode="0.0000"/>
    <numFmt numFmtId="179" formatCode="0.000"/>
    <numFmt numFmtId="180" formatCode="0.00000E+00"/>
    <numFmt numFmtId="181" formatCode="0.000E+00"/>
    <numFmt numFmtId="182" formatCode="0.E+00"/>
    <numFmt numFmtId="183" formatCode="0.00000"/>
  </numFmts>
  <fonts count="72">
    <font>
      <sz val="11"/>
      <color theme="1"/>
      <name val="宋体"/>
      <charset val="134"/>
      <scheme val="minor"/>
    </font>
    <font>
      <b/>
      <sz val="20"/>
      <color theme="1"/>
      <name val="宋体"/>
      <charset val="134"/>
      <scheme val="minor"/>
    </font>
    <font>
      <sz val="11"/>
      <name val="宋体"/>
      <charset val="134"/>
      <scheme val="minor"/>
    </font>
    <font>
      <b/>
      <sz val="11"/>
      <color theme="1"/>
      <name val="宋体"/>
      <charset val="134"/>
      <scheme val="minor"/>
    </font>
    <font>
      <sz val="11"/>
      <color rgb="FFFF0000"/>
      <name val="宋体"/>
      <charset val="134"/>
      <scheme val="minor"/>
    </font>
    <font>
      <b/>
      <sz val="11"/>
      <name val="宋体"/>
      <charset val="134"/>
      <scheme val="minor"/>
    </font>
    <font>
      <i/>
      <sz val="11"/>
      <name val="宋体"/>
      <charset val="134"/>
      <scheme val="minor"/>
    </font>
    <font>
      <b/>
      <sz val="20"/>
      <name val="宋体"/>
      <charset val="134"/>
      <scheme val="minor"/>
    </font>
    <font>
      <i/>
      <sz val="11"/>
      <color theme="1"/>
      <name val="宋体"/>
      <charset val="134"/>
      <scheme val="minor"/>
    </font>
    <font>
      <sz val="11"/>
      <color theme="9"/>
      <name val="宋体"/>
      <charset val="134"/>
      <scheme val="minor"/>
    </font>
    <font>
      <i/>
      <sz val="9"/>
      <color theme="1"/>
      <name val="宋体"/>
      <charset val="134"/>
      <scheme val="minor"/>
    </font>
    <font>
      <sz val="9"/>
      <color theme="1"/>
      <name val="宋体"/>
      <charset val="134"/>
      <scheme val="minor"/>
    </font>
    <font>
      <i/>
      <sz val="11"/>
      <color theme="8" tint="-0.249977111117893"/>
      <name val="宋体"/>
      <charset val="134"/>
      <scheme val="minor"/>
    </font>
    <font>
      <i/>
      <sz val="11"/>
      <color theme="9" tint="-0.249977111117893"/>
      <name val="宋体"/>
      <charset val="134"/>
      <scheme val="minor"/>
    </font>
    <font>
      <i/>
      <sz val="11"/>
      <color rgb="FFC00000"/>
      <name val="宋体"/>
      <charset val="134"/>
      <scheme val="minor"/>
    </font>
    <font>
      <sz val="11"/>
      <color theme="8" tint="-0.249977111117893"/>
      <name val="宋体"/>
      <charset val="134"/>
      <scheme val="minor"/>
    </font>
    <font>
      <sz val="11"/>
      <color theme="9" tint="-0.249977111117893"/>
      <name val="宋体"/>
      <charset val="134"/>
      <scheme val="minor"/>
    </font>
    <font>
      <sz val="11"/>
      <color rgb="FFC00000"/>
      <name val="宋体"/>
      <charset val="134"/>
      <scheme val="minor"/>
    </font>
    <font>
      <b/>
      <sz val="11"/>
      <color rgb="FFFF0000"/>
      <name val="宋体"/>
      <charset val="134"/>
      <scheme val="minor"/>
    </font>
    <font>
      <i/>
      <sz val="10"/>
      <color theme="1"/>
      <name val="宋体"/>
      <charset val="134"/>
      <scheme val="minor"/>
    </font>
    <font>
      <i/>
      <sz val="11"/>
      <color rgb="FF7030A0"/>
      <name val="宋体"/>
      <charset val="134"/>
      <scheme val="minor"/>
    </font>
    <font>
      <b/>
      <i/>
      <sz val="11"/>
      <color theme="7" tint="-0.249977111117893"/>
      <name val="宋体"/>
      <charset val="134"/>
      <scheme val="minor"/>
    </font>
    <font>
      <sz val="11"/>
      <color rgb="FF7030A0"/>
      <name val="宋体"/>
      <charset val="134"/>
      <scheme val="minor"/>
    </font>
    <font>
      <b/>
      <sz val="11"/>
      <color theme="7" tint="-0.249977111117893"/>
      <name val="宋体"/>
      <charset val="134"/>
      <scheme val="minor"/>
    </font>
    <font>
      <i/>
      <sz val="11"/>
      <color rgb="FFFF0000"/>
      <name val="宋体"/>
      <charset val="134"/>
      <scheme val="minor"/>
    </font>
    <font>
      <sz val="11"/>
      <color theme="0" tint="-0.349986266670736"/>
      <name val="宋体"/>
      <charset val="134"/>
      <scheme val="minor"/>
    </font>
    <font>
      <i/>
      <sz val="8"/>
      <color theme="1"/>
      <name val="宋体"/>
      <charset val="134"/>
      <scheme val="minor"/>
    </font>
    <font>
      <sz val="8"/>
      <color theme="1"/>
      <name val="宋体"/>
      <charset val="134"/>
      <scheme val="minor"/>
    </font>
    <font>
      <sz val="11"/>
      <color theme="4" tint="0.799981688894314"/>
      <name val="宋体"/>
      <charset val="134"/>
      <scheme val="minor"/>
    </font>
    <font>
      <sz val="11"/>
      <color theme="0"/>
      <name val="宋体"/>
      <charset val="134"/>
      <scheme val="minor"/>
    </font>
    <font>
      <b/>
      <sz val="11"/>
      <color theme="9" tint="-0.249977111117893"/>
      <name val="宋体"/>
      <charset val="134"/>
      <scheme val="minor"/>
    </font>
    <font>
      <sz val="11"/>
      <color rgb="FF70AD47"/>
      <name val="宋体"/>
      <charset val="134"/>
      <scheme val="minor"/>
    </font>
    <font>
      <sz val="20"/>
      <color theme="1"/>
      <name val="宋体"/>
      <charset val="134"/>
      <scheme val="minor"/>
    </font>
    <font>
      <sz val="11"/>
      <color theme="1"/>
      <name val="Times New Roman"/>
      <charset val="134"/>
    </font>
    <font>
      <sz val="20"/>
      <name val="宋体"/>
      <charset val="134"/>
      <scheme val="minor"/>
    </font>
    <font>
      <i/>
      <sz val="10"/>
      <name val="Symbol"/>
      <charset val="2"/>
    </font>
    <font>
      <sz val="18"/>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bscript"/>
      <sz val="11"/>
      <name val="宋体"/>
      <charset val="134"/>
      <scheme val="minor"/>
    </font>
    <font>
      <vertAlign val="subscript"/>
      <sz val="11"/>
      <name val="Times New Roman"/>
      <charset val="134"/>
    </font>
    <font>
      <i/>
      <sz val="11"/>
      <name val="Times New Roman"/>
      <charset val="134"/>
    </font>
    <font>
      <b/>
      <sz val="11"/>
      <color rgb="FF2B4D89"/>
      <name val="宋体"/>
      <charset val="134"/>
      <scheme val="minor"/>
    </font>
    <font>
      <sz val="10"/>
      <name val="Arial"/>
      <charset val="134"/>
    </font>
    <font>
      <i/>
      <sz val="10"/>
      <color theme="1"/>
      <name val="Calibri"/>
      <charset val="134"/>
    </font>
    <font>
      <sz val="11"/>
      <name val="Calibri"/>
      <charset val="134"/>
    </font>
    <font>
      <vertAlign val="superscript"/>
      <sz val="11"/>
      <name val="宋体"/>
      <charset val="134"/>
      <scheme val="minor"/>
    </font>
    <font>
      <vertAlign val="subscript"/>
      <sz val="10"/>
      <color theme="1"/>
      <name val="宋体"/>
      <charset val="134"/>
      <scheme val="minor"/>
    </font>
    <font>
      <sz val="9"/>
      <color theme="1"/>
      <name val="Calibri"/>
      <charset val="134"/>
    </font>
    <font>
      <vertAlign val="subscript"/>
      <sz val="9"/>
      <color theme="1"/>
      <name val="宋体"/>
      <charset val="134"/>
      <scheme val="minor"/>
    </font>
    <font>
      <vertAlign val="superscript"/>
      <sz val="10"/>
      <color theme="1"/>
      <name val="宋体"/>
      <charset val="134"/>
      <scheme val="minor"/>
    </font>
    <font>
      <sz val="11"/>
      <color rgb="FFFF0000"/>
      <name val="Calibri"/>
      <charset val="134"/>
    </font>
    <font>
      <sz val="11"/>
      <color theme="1"/>
      <name val="Calibri Light"/>
      <charset val="134"/>
    </font>
    <font>
      <sz val="11"/>
      <color theme="1"/>
      <name val="Calibri"/>
      <charset val="134"/>
    </font>
    <font>
      <b/>
      <sz val="20"/>
      <color theme="1"/>
      <name val="Calibri"/>
      <charset val="134"/>
    </font>
  </fonts>
  <fills count="37">
    <fill>
      <patternFill patternType="none"/>
    </fill>
    <fill>
      <patternFill patternType="gray125"/>
    </fill>
    <fill>
      <patternFill patternType="solid">
        <fgColor theme="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8EA9DB"/>
        <bgColor indexed="64"/>
      </patternFill>
    </fill>
    <fill>
      <patternFill patternType="solid">
        <fgColor rgb="FFFF0000"/>
        <bgColor indexed="64"/>
      </patternFill>
    </fill>
    <fill>
      <patternFill patternType="solid">
        <fgColor theme="2" tint="-0.0999786370433668"/>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0" fillId="12" borderId="16"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7" applyNumberFormat="0" applyFill="0" applyAlignment="0" applyProtection="0">
      <alignment vertical="center"/>
    </xf>
    <xf numFmtId="0" fontId="43" fillId="0" borderId="17" applyNumberFormat="0" applyFill="0" applyAlignment="0" applyProtection="0">
      <alignment vertical="center"/>
    </xf>
    <xf numFmtId="0" fontId="44" fillId="0" borderId="18" applyNumberFormat="0" applyFill="0" applyAlignment="0" applyProtection="0">
      <alignment vertical="center"/>
    </xf>
    <xf numFmtId="0" fontId="44" fillId="0" borderId="0" applyNumberFormat="0" applyFill="0" applyBorder="0" applyAlignment="0" applyProtection="0">
      <alignment vertical="center"/>
    </xf>
    <xf numFmtId="0" fontId="45" fillId="13" borderId="19" applyNumberFormat="0" applyAlignment="0" applyProtection="0">
      <alignment vertical="center"/>
    </xf>
    <xf numFmtId="0" fontId="46" fillId="14" borderId="20" applyNumberFormat="0" applyAlignment="0" applyProtection="0">
      <alignment vertical="center"/>
    </xf>
    <xf numFmtId="0" fontId="47" fillId="14" borderId="19" applyNumberFormat="0" applyAlignment="0" applyProtection="0">
      <alignment vertical="center"/>
    </xf>
    <xf numFmtId="0" fontId="48" fillId="15" borderId="21" applyNumberFormat="0" applyAlignment="0" applyProtection="0">
      <alignment vertical="center"/>
    </xf>
    <xf numFmtId="0" fontId="49" fillId="0" borderId="22" applyNumberFormat="0" applyFill="0" applyAlignment="0" applyProtection="0">
      <alignment vertical="center"/>
    </xf>
    <xf numFmtId="0" fontId="50" fillId="0" borderId="23" applyNumberFormat="0" applyFill="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4" fillId="19" borderId="0" applyNumberFormat="0" applyBorder="0" applyAlignment="0" applyProtection="0">
      <alignment vertical="center"/>
    </xf>
    <xf numFmtId="0" fontId="55" fillId="4" borderId="0" applyNumberFormat="0" applyBorder="0" applyAlignment="0" applyProtection="0">
      <alignment vertical="center"/>
    </xf>
    <xf numFmtId="0" fontId="55" fillId="20" borderId="0" applyNumberFormat="0" applyBorder="0" applyAlignment="0" applyProtection="0">
      <alignment vertical="center"/>
    </xf>
    <xf numFmtId="0" fontId="54" fillId="10" borderId="0" applyNumberFormat="0" applyBorder="0" applyAlignment="0" applyProtection="0">
      <alignment vertical="center"/>
    </xf>
    <xf numFmtId="0" fontId="54" fillId="11" borderId="0" applyNumberFormat="0" applyBorder="0" applyAlignment="0" applyProtection="0">
      <alignment vertical="center"/>
    </xf>
    <xf numFmtId="0" fontId="55" fillId="21" borderId="0" applyNumberFormat="0" applyBorder="0" applyAlignment="0" applyProtection="0">
      <alignment vertical="center"/>
    </xf>
    <xf numFmtId="0" fontId="55" fillId="22" borderId="0" applyNumberFormat="0" applyBorder="0" applyAlignment="0" applyProtection="0">
      <alignment vertical="center"/>
    </xf>
    <xf numFmtId="0" fontId="54"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3" borderId="0" applyNumberFormat="0" applyBorder="0" applyAlignment="0" applyProtection="0">
      <alignment vertical="center"/>
    </xf>
    <xf numFmtId="0" fontId="55" fillId="29" borderId="0" applyNumberFormat="0" applyBorder="0" applyAlignment="0" applyProtection="0">
      <alignment vertical="center"/>
    </xf>
    <xf numFmtId="0" fontId="54" fillId="30" borderId="0" applyNumberFormat="0" applyBorder="0" applyAlignment="0" applyProtection="0">
      <alignment vertical="center"/>
    </xf>
    <xf numFmtId="0" fontId="54" fillId="9" borderId="0" applyNumberFormat="0" applyBorder="0" applyAlignment="0" applyProtection="0">
      <alignment vertical="center"/>
    </xf>
    <xf numFmtId="0" fontId="55" fillId="31" borderId="0" applyNumberFormat="0" applyBorder="0" applyAlignment="0" applyProtection="0">
      <alignment vertical="center"/>
    </xf>
    <xf numFmtId="0" fontId="55" fillId="32" borderId="0" applyNumberFormat="0" applyBorder="0" applyAlignment="0" applyProtection="0">
      <alignment vertical="center"/>
    </xf>
    <xf numFmtId="0" fontId="54" fillId="8" borderId="0" applyNumberFormat="0" applyBorder="0" applyAlignment="0" applyProtection="0">
      <alignment vertical="center"/>
    </xf>
    <xf numFmtId="0" fontId="54" fillId="33" borderId="0" applyNumberFormat="0" applyBorder="0" applyAlignment="0" applyProtection="0">
      <alignment vertical="center"/>
    </xf>
    <xf numFmtId="0" fontId="55" fillId="34" borderId="0" applyNumberFormat="0" applyBorder="0" applyAlignment="0" applyProtection="0">
      <alignment vertical="center"/>
    </xf>
    <xf numFmtId="0" fontId="55" fillId="35" borderId="0" applyNumberFormat="0" applyBorder="0" applyAlignment="0" applyProtection="0">
      <alignment vertical="center"/>
    </xf>
    <xf numFmtId="0" fontId="54" fillId="36" borderId="0" applyNumberFormat="0" applyBorder="0" applyAlignment="0" applyProtection="0">
      <alignment vertical="center"/>
    </xf>
  </cellStyleXfs>
  <cellXfs count="317">
    <xf numFmtId="0" fontId="0" fillId="0" borderId="0" xfId="0"/>
    <xf numFmtId="0" fontId="0" fillId="0" borderId="0" xfId="0" applyFill="1" applyAlignment="1" applyProtection="1">
      <alignment horizontal="center"/>
      <protection hidden="1"/>
    </xf>
    <xf numFmtId="0" fontId="0" fillId="0" borderId="0" xfId="0" applyFill="1" applyProtection="1">
      <protection hidden="1"/>
    </xf>
    <xf numFmtId="0" fontId="0" fillId="0" borderId="0" xfId="0" applyProtection="1">
      <protection hidden="1"/>
    </xf>
    <xf numFmtId="0" fontId="0" fillId="2" borderId="0" xfId="0" applyFill="1" applyAlignment="1" applyProtection="1">
      <alignment horizontal="center"/>
      <protection hidden="1"/>
    </xf>
    <xf numFmtId="0" fontId="1" fillId="2" borderId="0" xfId="0" applyFont="1" applyFill="1" applyProtection="1">
      <protection hidden="1"/>
    </xf>
    <xf numFmtId="0" fontId="0" fillId="2" borderId="0" xfId="0" applyFill="1" applyProtection="1">
      <protection hidden="1"/>
    </xf>
    <xf numFmtId="0" fontId="2" fillId="2" borderId="0" xfId="0" applyFont="1" applyFill="1" applyProtection="1">
      <protection hidden="1"/>
    </xf>
    <xf numFmtId="0" fontId="2" fillId="2" borderId="0" xfId="0" applyFont="1" applyFill="1" applyBorder="1" applyProtection="1">
      <protection hidden="1"/>
    </xf>
    <xf numFmtId="0" fontId="2" fillId="0" borderId="0" xfId="0" applyFont="1" applyFill="1" applyBorder="1" applyAlignment="1" applyProtection="1">
      <protection hidden="1"/>
    </xf>
    <xf numFmtId="0" fontId="3" fillId="3" borderId="0" xfId="0" applyFont="1" applyFill="1" applyAlignment="1" applyProtection="1">
      <alignment horizontal="center"/>
      <protection hidden="1"/>
    </xf>
    <xf numFmtId="0" fontId="4" fillId="2" borderId="0" xfId="0" applyFont="1" applyFill="1" applyAlignment="1" applyProtection="1">
      <alignment horizontal="left" indent="1"/>
      <protection hidden="1"/>
    </xf>
    <xf numFmtId="0" fontId="2" fillId="2" borderId="0" xfId="0" applyFont="1" applyFill="1" applyBorder="1" applyAlignment="1" applyProtection="1">
      <alignment horizontal="center"/>
      <protection hidden="1"/>
    </xf>
    <xf numFmtId="0" fontId="2" fillId="2" borderId="0" xfId="0" applyFont="1" applyFill="1" applyAlignment="1" applyProtection="1">
      <alignment horizontal="center"/>
      <protection hidden="1"/>
    </xf>
    <xf numFmtId="0" fontId="5" fillId="2" borderId="0" xfId="0" applyFont="1" applyFill="1" applyBorder="1" applyAlignment="1" applyProtection="1">
      <alignment horizontal="left"/>
      <protection hidden="1"/>
    </xf>
    <xf numFmtId="0" fontId="2" fillId="2" borderId="0" xfId="0" applyFont="1" applyFill="1" applyBorder="1" applyAlignment="1" applyProtection="1">
      <alignment horizontal="left" indent="1"/>
      <protection hidden="1"/>
    </xf>
    <xf numFmtId="0" fontId="0" fillId="2" borderId="0" xfId="0" applyFill="1" applyAlignment="1" applyProtection="1">
      <alignment horizontal="left" indent="1"/>
      <protection hidden="1"/>
    </xf>
    <xf numFmtId="0" fontId="6" fillId="2" borderId="0" xfId="0" applyFont="1" applyFill="1" applyAlignment="1" applyProtection="1">
      <alignment horizontal="left" indent="1"/>
      <protection hidden="1"/>
    </xf>
    <xf numFmtId="0" fontId="4" fillId="2" borderId="0" xfId="0" applyFont="1" applyFill="1" applyBorder="1" applyAlignment="1" applyProtection="1">
      <alignment horizontal="left" indent="1"/>
      <protection hidden="1"/>
    </xf>
    <xf numFmtId="0" fontId="0" fillId="2" borderId="0" xfId="0" applyFill="1" applyAlignment="1" applyProtection="1">
      <alignment horizontal="left"/>
      <protection hidden="1"/>
    </xf>
    <xf numFmtId="0" fontId="6" fillId="2" borderId="0" xfId="0" applyFont="1" applyFill="1" applyAlignment="1" applyProtection="1">
      <alignment horizontal="center"/>
      <protection hidden="1"/>
    </xf>
    <xf numFmtId="176" fontId="2" fillId="2" borderId="0" xfId="0" applyNumberFormat="1" applyFont="1" applyFill="1" applyAlignment="1" applyProtection="1">
      <alignment horizontal="center"/>
      <protection hidden="1"/>
    </xf>
    <xf numFmtId="0" fontId="0" fillId="0" borderId="0" xfId="0" applyFill="1" applyAlignment="1" applyProtection="1">
      <protection hidden="1"/>
    </xf>
    <xf numFmtId="0" fontId="7" fillId="2" borderId="0" xfId="0" applyFont="1" applyFill="1" applyProtection="1">
      <protection hidden="1"/>
    </xf>
    <xf numFmtId="0" fontId="0" fillId="2" borderId="0" xfId="0" applyFill="1" applyAlignment="1" applyProtection="1">
      <alignment horizontal="right"/>
      <protection hidden="1"/>
    </xf>
    <xf numFmtId="0" fontId="5" fillId="2" borderId="0" xfId="0" applyFont="1" applyFill="1" applyBorder="1" applyAlignment="1" applyProtection="1">
      <alignment horizontal="left" indent="1"/>
      <protection hidden="1"/>
    </xf>
    <xf numFmtId="0" fontId="5" fillId="2" borderId="0" xfId="0" applyFont="1" applyFill="1" applyBorder="1" applyAlignment="1" applyProtection="1">
      <alignment horizontal="center"/>
      <protection hidden="1"/>
    </xf>
    <xf numFmtId="0" fontId="5" fillId="2" borderId="0" xfId="0" applyFont="1" applyFill="1" applyProtection="1">
      <protection hidden="1"/>
    </xf>
    <xf numFmtId="0" fontId="3" fillId="2" borderId="0" xfId="0" applyFont="1" applyFill="1" applyAlignment="1" applyProtection="1">
      <alignment horizontal="center"/>
      <protection hidden="1"/>
    </xf>
    <xf numFmtId="0" fontId="3" fillId="2" borderId="0" xfId="0" applyFont="1" applyFill="1" applyAlignment="1" applyProtection="1">
      <alignment horizontal="left" indent="1"/>
      <protection hidden="1"/>
    </xf>
    <xf numFmtId="0" fontId="3" fillId="2" borderId="0" xfId="0" applyFont="1" applyFill="1" applyProtection="1">
      <protection hidden="1"/>
    </xf>
    <xf numFmtId="0" fontId="8" fillId="2" borderId="0" xfId="0" applyFont="1" applyFill="1" applyBorder="1" applyAlignment="1" applyProtection="1">
      <alignment horizontal="center"/>
      <protection hidden="1"/>
    </xf>
    <xf numFmtId="0" fontId="4" fillId="2" borderId="0" xfId="0" applyFont="1" applyFill="1" applyProtection="1">
      <protection hidden="1"/>
    </xf>
    <xf numFmtId="0" fontId="2" fillId="4" borderId="1" xfId="0" applyFont="1" applyFill="1" applyBorder="1" applyAlignment="1" applyProtection="1">
      <alignment horizontal="center"/>
      <protection hidden="1"/>
    </xf>
    <xf numFmtId="0" fontId="0" fillId="2" borderId="0" xfId="0" applyFill="1" applyAlignment="1" applyProtection="1">
      <alignment horizontal="right" indent="1"/>
      <protection hidden="1"/>
    </xf>
    <xf numFmtId="0" fontId="0" fillId="5" borderId="0" xfId="0" applyFill="1" applyBorder="1" applyAlignment="1" applyProtection="1">
      <alignment horizontal="center"/>
      <protection locked="0"/>
    </xf>
    <xf numFmtId="0" fontId="2" fillId="4" borderId="2" xfId="0" applyFont="1" applyFill="1" applyBorder="1" applyAlignment="1" applyProtection="1">
      <alignment horizontal="center"/>
      <protection hidden="1"/>
    </xf>
    <xf numFmtId="177" fontId="2" fillId="2" borderId="3" xfId="0" applyNumberFormat="1" applyFont="1" applyFill="1" applyBorder="1" applyAlignment="1" applyProtection="1">
      <alignment horizontal="right" indent="1"/>
      <protection hidden="1"/>
    </xf>
    <xf numFmtId="0" fontId="6" fillId="2" borderId="0" xfId="0" applyFont="1" applyFill="1" applyBorder="1" applyAlignment="1" applyProtection="1">
      <alignment horizontal="center"/>
      <protection hidden="1"/>
    </xf>
    <xf numFmtId="0" fontId="0" fillId="2" borderId="0" xfId="0" applyFill="1" applyBorder="1" applyProtection="1">
      <protection hidden="1"/>
    </xf>
    <xf numFmtId="0" fontId="9" fillId="2" borderId="0" xfId="0" applyFont="1" applyFill="1" applyProtection="1">
      <protection hidden="1"/>
    </xf>
    <xf numFmtId="0" fontId="10" fillId="2" borderId="0" xfId="0" applyFont="1" applyFill="1" applyAlignment="1" applyProtection="1">
      <protection hidden="1"/>
    </xf>
    <xf numFmtId="2" fontId="0" fillId="2" borderId="0" xfId="0" applyNumberFormat="1" applyFill="1" applyProtection="1">
      <protection hidden="1"/>
    </xf>
    <xf numFmtId="0" fontId="11" fillId="2" borderId="0" xfId="0" applyFont="1" applyFill="1" applyAlignment="1" applyProtection="1">
      <protection hidden="1"/>
    </xf>
    <xf numFmtId="0" fontId="2" fillId="4" borderId="4" xfId="0" applyFont="1" applyFill="1" applyBorder="1" applyAlignment="1" applyProtection="1">
      <alignment horizontal="left" indent="1"/>
      <protection hidden="1"/>
    </xf>
    <xf numFmtId="0" fontId="2" fillId="4" borderId="5" xfId="0" applyFont="1" applyFill="1" applyBorder="1" applyProtection="1">
      <protection hidden="1"/>
    </xf>
    <xf numFmtId="0" fontId="0" fillId="4" borderId="4" xfId="0" applyFill="1" applyBorder="1" applyAlignment="1" applyProtection="1">
      <alignment horizontal="center" vertical="center"/>
      <protection hidden="1"/>
    </xf>
    <xf numFmtId="0" fontId="0" fillId="4" borderId="6" xfId="0" applyFill="1" applyBorder="1" applyAlignment="1" applyProtection="1">
      <alignment horizontal="center" vertical="center"/>
      <protection hidden="1"/>
    </xf>
    <xf numFmtId="2" fontId="2" fillId="4" borderId="6" xfId="0" applyNumberFormat="1" applyFont="1" applyFill="1" applyBorder="1" applyAlignment="1" applyProtection="1">
      <alignment horizontal="right" indent="1"/>
      <protection hidden="1"/>
    </xf>
    <xf numFmtId="2" fontId="2" fillId="4" borderId="1" xfId="0" applyNumberFormat="1" applyFont="1" applyFill="1" applyBorder="1" applyAlignment="1" applyProtection="1">
      <alignment horizontal="right" indent="1"/>
      <protection hidden="1"/>
    </xf>
    <xf numFmtId="0" fontId="2" fillId="2" borderId="7" xfId="0" applyFont="1" applyFill="1" applyBorder="1" applyAlignment="1" applyProtection="1">
      <alignment horizontal="left" indent="1"/>
      <protection hidden="1"/>
    </xf>
    <xf numFmtId="0" fontId="2" fillId="2" borderId="8" xfId="0" applyFont="1" applyFill="1" applyBorder="1" applyProtection="1">
      <protection hidden="1"/>
    </xf>
    <xf numFmtId="0" fontId="0" fillId="2" borderId="7" xfId="0" applyFill="1" applyBorder="1" applyAlignment="1" applyProtection="1">
      <alignment horizontal="center" vertical="center"/>
      <protection hidden="1"/>
    </xf>
    <xf numFmtId="0" fontId="0" fillId="2" borderId="9" xfId="0" applyFill="1" applyBorder="1" applyAlignment="1" applyProtection="1">
      <alignment horizontal="center" vertical="center"/>
      <protection hidden="1"/>
    </xf>
    <xf numFmtId="2" fontId="2" fillId="2" borderId="9" xfId="0" applyNumberFormat="1" applyFont="1" applyFill="1" applyBorder="1" applyAlignment="1" applyProtection="1">
      <alignment horizontal="right" indent="1"/>
      <protection hidden="1"/>
    </xf>
    <xf numFmtId="2" fontId="2" fillId="2" borderId="2" xfId="0" applyNumberFormat="1" applyFont="1" applyFill="1" applyBorder="1" applyAlignment="1" applyProtection="1">
      <alignment horizontal="right" indent="1"/>
      <protection hidden="1"/>
    </xf>
    <xf numFmtId="0" fontId="4" fillId="2" borderId="0" xfId="0" applyFont="1" applyFill="1" applyAlignment="1" applyProtection="1">
      <alignment horizontal="center" wrapText="1"/>
      <protection hidden="1"/>
    </xf>
    <xf numFmtId="0" fontId="12" fillId="2" borderId="0" xfId="0" applyFont="1" applyFill="1" applyAlignment="1" applyProtection="1">
      <alignment horizontal="center"/>
      <protection hidden="1"/>
    </xf>
    <xf numFmtId="0" fontId="13" fillId="2" borderId="0" xfId="0" applyFont="1" applyFill="1" applyAlignment="1" applyProtection="1">
      <alignment horizontal="center"/>
      <protection hidden="1"/>
    </xf>
    <xf numFmtId="0" fontId="14" fillId="2" borderId="0" xfId="0" applyFont="1" applyFill="1" applyAlignment="1" applyProtection="1">
      <alignment horizontal="center"/>
      <protection hidden="1"/>
    </xf>
    <xf numFmtId="0" fontId="2" fillId="4" borderId="6" xfId="0" applyFont="1" applyFill="1" applyBorder="1" applyProtection="1">
      <protection hidden="1"/>
    </xf>
    <xf numFmtId="0" fontId="0" fillId="2" borderId="4" xfId="0" applyFill="1" applyBorder="1" applyAlignment="1" applyProtection="1">
      <alignment horizontal="center" vertical="center"/>
      <protection hidden="1"/>
    </xf>
    <xf numFmtId="0" fontId="0" fillId="2" borderId="6" xfId="0" applyFill="1" applyBorder="1" applyAlignment="1" applyProtection="1">
      <alignment horizontal="center" vertical="center"/>
      <protection hidden="1"/>
    </xf>
    <xf numFmtId="2" fontId="15" fillId="4" borderId="4" xfId="0" applyNumberFormat="1" applyFont="1" applyFill="1" applyBorder="1" applyAlignment="1" applyProtection="1">
      <alignment horizontal="right" indent="1"/>
      <protection hidden="1"/>
    </xf>
    <xf numFmtId="2" fontId="16" fillId="4" borderId="5" xfId="0" applyNumberFormat="1" applyFont="1" applyFill="1" applyBorder="1" applyAlignment="1" applyProtection="1">
      <alignment horizontal="right" indent="1"/>
      <protection hidden="1"/>
    </xf>
    <xf numFmtId="2" fontId="17" fillId="4" borderId="5" xfId="0" applyNumberFormat="1" applyFont="1" applyFill="1" applyBorder="1" applyAlignment="1" applyProtection="1">
      <alignment horizontal="right" indent="1"/>
      <protection hidden="1"/>
    </xf>
    <xf numFmtId="0" fontId="2" fillId="2" borderId="9" xfId="0" applyFont="1" applyFill="1" applyBorder="1" applyProtection="1">
      <protection hidden="1"/>
    </xf>
    <xf numFmtId="2" fontId="15" fillId="2" borderId="7" xfId="0" applyNumberFormat="1" applyFont="1" applyFill="1" applyBorder="1" applyAlignment="1" applyProtection="1">
      <alignment horizontal="right" indent="1"/>
      <protection hidden="1"/>
    </xf>
    <xf numFmtId="2" fontId="16" fillId="2" borderId="8" xfId="0" applyNumberFormat="1" applyFont="1" applyFill="1" applyBorder="1" applyAlignment="1" applyProtection="1">
      <alignment horizontal="right" indent="1"/>
      <protection hidden="1"/>
    </xf>
    <xf numFmtId="2" fontId="17" fillId="2" borderId="8" xfId="0" applyNumberFormat="1" applyFont="1" applyFill="1" applyBorder="1" applyAlignment="1" applyProtection="1">
      <alignment horizontal="right" indent="1"/>
      <protection hidden="1"/>
    </xf>
    <xf numFmtId="178" fontId="15" fillId="4" borderId="4" xfId="0" applyNumberFormat="1" applyFont="1" applyFill="1" applyBorder="1" applyAlignment="1" applyProtection="1">
      <alignment horizontal="right" indent="1"/>
    </xf>
    <xf numFmtId="178" fontId="16" fillId="4" borderId="5" xfId="0" applyNumberFormat="1" applyFont="1" applyFill="1" applyBorder="1" applyAlignment="1" applyProtection="1">
      <alignment horizontal="right" indent="1"/>
    </xf>
    <xf numFmtId="178" fontId="17" fillId="4" borderId="5" xfId="0" applyNumberFormat="1" applyFont="1" applyFill="1" applyBorder="1" applyAlignment="1" applyProtection="1">
      <alignment horizontal="right" indent="1"/>
    </xf>
    <xf numFmtId="178" fontId="15" fillId="2" borderId="7" xfId="0" applyNumberFormat="1" applyFont="1" applyFill="1" applyBorder="1" applyAlignment="1" applyProtection="1">
      <alignment horizontal="right" indent="1"/>
    </xf>
    <xf numFmtId="178" fontId="16" fillId="2" borderId="8" xfId="0" applyNumberFormat="1" applyFont="1" applyFill="1" applyBorder="1" applyAlignment="1" applyProtection="1">
      <alignment horizontal="right" indent="1"/>
    </xf>
    <xf numFmtId="178" fontId="17" fillId="2" borderId="8" xfId="0" applyNumberFormat="1" applyFont="1" applyFill="1" applyBorder="1" applyAlignment="1" applyProtection="1">
      <alignment horizontal="right" indent="1"/>
    </xf>
    <xf numFmtId="0" fontId="18" fillId="2" borderId="0" xfId="0" applyFont="1" applyFill="1" applyProtection="1">
      <protection hidden="1"/>
    </xf>
    <xf numFmtId="0" fontId="19" fillId="2" borderId="0" xfId="0" applyFont="1" applyFill="1" applyAlignment="1" applyProtection="1">
      <alignment horizontal="center"/>
      <protection hidden="1"/>
    </xf>
    <xf numFmtId="179" fontId="15" fillId="4" borderId="4" xfId="0" applyNumberFormat="1" applyFont="1" applyFill="1" applyBorder="1" applyAlignment="1" applyProtection="1">
      <alignment horizontal="right" indent="1"/>
      <protection hidden="1"/>
    </xf>
    <xf numFmtId="179" fontId="16" fillId="4" borderId="5" xfId="0" applyNumberFormat="1" applyFont="1" applyFill="1" applyBorder="1" applyAlignment="1" applyProtection="1">
      <alignment horizontal="right" indent="1"/>
      <protection hidden="1"/>
    </xf>
    <xf numFmtId="179" fontId="17" fillId="4" borderId="5" xfId="0" applyNumberFormat="1" applyFont="1" applyFill="1" applyBorder="1" applyAlignment="1" applyProtection="1">
      <alignment horizontal="right" indent="1"/>
      <protection hidden="1"/>
    </xf>
    <xf numFmtId="179" fontId="15" fillId="2" borderId="7" xfId="0" applyNumberFormat="1" applyFont="1" applyFill="1" applyBorder="1" applyAlignment="1" applyProtection="1">
      <alignment horizontal="right" indent="1"/>
      <protection hidden="1"/>
    </xf>
    <xf numFmtId="179" fontId="16" fillId="2" borderId="8" xfId="0" applyNumberFormat="1" applyFont="1" applyFill="1" applyBorder="1" applyAlignment="1" applyProtection="1">
      <alignment horizontal="right" indent="1"/>
      <protection hidden="1"/>
    </xf>
    <xf numFmtId="179" fontId="17" fillId="2" borderId="8" xfId="0" applyNumberFormat="1" applyFont="1" applyFill="1" applyBorder="1" applyAlignment="1" applyProtection="1">
      <alignment horizontal="right" indent="1"/>
      <protection hidden="1"/>
    </xf>
    <xf numFmtId="2" fontId="5" fillId="6" borderId="0" xfId="0" applyNumberFormat="1" applyFont="1" applyFill="1" applyBorder="1" applyAlignment="1" applyProtection="1">
      <alignment horizontal="center"/>
      <protection hidden="1"/>
    </xf>
    <xf numFmtId="0" fontId="0" fillId="2" borderId="0" xfId="0" applyFont="1" applyFill="1" applyProtection="1">
      <protection hidden="1"/>
    </xf>
    <xf numFmtId="0" fontId="0" fillId="7" borderId="3" xfId="0" applyFill="1" applyBorder="1" applyAlignment="1" applyProtection="1">
      <alignment horizontal="center"/>
      <protection hidden="1"/>
    </xf>
    <xf numFmtId="0" fontId="4" fillId="2" borderId="4" xfId="0" applyFont="1" applyFill="1" applyBorder="1" applyAlignment="1" applyProtection="1">
      <alignment horizontal="left" vertical="center"/>
      <protection hidden="1"/>
    </xf>
    <xf numFmtId="0" fontId="0" fillId="2" borderId="5" xfId="0" applyFill="1" applyBorder="1" applyProtection="1">
      <protection hidden="1"/>
    </xf>
    <xf numFmtId="0" fontId="0" fillId="5" borderId="0" xfId="0" applyFont="1" applyFill="1" applyBorder="1" applyAlignment="1" applyProtection="1">
      <alignment horizontal="center"/>
      <protection locked="0"/>
    </xf>
    <xf numFmtId="0" fontId="4" fillId="2" borderId="10" xfId="0" applyFont="1" applyFill="1" applyBorder="1" applyAlignment="1" applyProtection="1">
      <alignment horizontal="left" vertical="center"/>
      <protection hidden="1"/>
    </xf>
    <xf numFmtId="0" fontId="4" fillId="2" borderId="7" xfId="0" applyFont="1" applyFill="1" applyBorder="1" applyAlignment="1" applyProtection="1">
      <alignment horizontal="left" vertical="center"/>
      <protection hidden="1"/>
    </xf>
    <xf numFmtId="0" fontId="0" fillId="2" borderId="8" xfId="0" applyFill="1" applyBorder="1" applyProtection="1">
      <protection hidden="1"/>
    </xf>
    <xf numFmtId="0" fontId="5" fillId="2" borderId="0" xfId="0" applyFont="1" applyFill="1" applyBorder="1" applyAlignment="1" applyProtection="1">
      <alignment horizontal="right" indent="1"/>
      <protection hidden="1"/>
    </xf>
    <xf numFmtId="2" fontId="3" fillId="5" borderId="0" xfId="0" applyNumberFormat="1" applyFont="1" applyFill="1" applyBorder="1" applyAlignment="1" applyProtection="1">
      <alignment horizontal="center"/>
      <protection hidden="1"/>
    </xf>
    <xf numFmtId="0" fontId="3" fillId="2" borderId="0" xfId="0" applyFont="1" applyFill="1" applyAlignment="1" applyProtection="1">
      <alignment horizontal="right" indent="1"/>
      <protection hidden="1"/>
    </xf>
    <xf numFmtId="0" fontId="0" fillId="2" borderId="0" xfId="0" applyFont="1" applyFill="1" applyAlignment="1" applyProtection="1">
      <alignment horizontal="right"/>
      <protection hidden="1"/>
    </xf>
    <xf numFmtId="179" fontId="2" fillId="4" borderId="1" xfId="0" applyNumberFormat="1" applyFont="1" applyFill="1" applyBorder="1" applyAlignment="1" applyProtection="1">
      <alignment horizontal="right" indent="1"/>
      <protection hidden="1"/>
    </xf>
    <xf numFmtId="0" fontId="5" fillId="2" borderId="0" xfId="0" applyFont="1" applyFill="1" applyBorder="1" applyProtection="1">
      <protection hidden="1"/>
    </xf>
    <xf numFmtId="179" fontId="2" fillId="2" borderId="2" xfId="0" applyNumberFormat="1" applyFont="1" applyFill="1" applyBorder="1" applyAlignment="1" applyProtection="1">
      <alignment horizontal="right" indent="1"/>
      <protection hidden="1"/>
    </xf>
    <xf numFmtId="0" fontId="20" fillId="2" borderId="0" xfId="0" applyFont="1" applyFill="1" applyAlignment="1" applyProtection="1">
      <alignment horizontal="center"/>
      <protection hidden="1"/>
    </xf>
    <xf numFmtId="0" fontId="21" fillId="2" borderId="0" xfId="0" applyFont="1" applyFill="1" applyAlignment="1" applyProtection="1">
      <alignment horizontal="center"/>
      <protection hidden="1"/>
    </xf>
    <xf numFmtId="2" fontId="22" fillId="4" borderId="5" xfId="0" applyNumberFormat="1" applyFont="1" applyFill="1" applyBorder="1" applyAlignment="1" applyProtection="1">
      <alignment horizontal="right" indent="1"/>
      <protection hidden="1"/>
    </xf>
    <xf numFmtId="2" fontId="23" fillId="4" borderId="6" xfId="0" applyNumberFormat="1" applyFont="1" applyFill="1" applyBorder="1" applyAlignment="1" applyProtection="1">
      <alignment horizontal="right" indent="1"/>
      <protection hidden="1"/>
    </xf>
    <xf numFmtId="2" fontId="22" fillId="2" borderId="8" xfId="0" applyNumberFormat="1" applyFont="1" applyFill="1" applyBorder="1" applyAlignment="1" applyProtection="1">
      <alignment horizontal="right" indent="1"/>
      <protection hidden="1"/>
    </xf>
    <xf numFmtId="2" fontId="23" fillId="2" borderId="9" xfId="0" applyNumberFormat="1" applyFont="1" applyFill="1" applyBorder="1" applyAlignment="1" applyProtection="1">
      <alignment horizontal="right" indent="1"/>
      <protection hidden="1"/>
    </xf>
    <xf numFmtId="178" fontId="22" fillId="4" borderId="5" xfId="0" applyNumberFormat="1" applyFont="1" applyFill="1" applyBorder="1" applyAlignment="1" applyProtection="1">
      <alignment horizontal="right" indent="1"/>
    </xf>
    <xf numFmtId="178" fontId="23" fillId="4" borderId="6" xfId="0" applyNumberFormat="1" applyFont="1" applyFill="1" applyBorder="1" applyAlignment="1" applyProtection="1">
      <alignment horizontal="right" indent="1"/>
    </xf>
    <xf numFmtId="178" fontId="22" fillId="2" borderId="8" xfId="0" applyNumberFormat="1" applyFont="1" applyFill="1" applyBorder="1" applyAlignment="1" applyProtection="1">
      <alignment horizontal="right" indent="1"/>
    </xf>
    <xf numFmtId="178" fontId="23" fillId="2" borderId="9" xfId="0" applyNumberFormat="1" applyFont="1" applyFill="1" applyBorder="1" applyAlignment="1" applyProtection="1">
      <alignment horizontal="right" indent="1"/>
    </xf>
    <xf numFmtId="179" fontId="22" fillId="4" borderId="5" xfId="0" applyNumberFormat="1" applyFont="1" applyFill="1" applyBorder="1" applyAlignment="1" applyProtection="1">
      <alignment horizontal="right" indent="1"/>
      <protection hidden="1"/>
    </xf>
    <xf numFmtId="179" fontId="23" fillId="4" borderId="6" xfId="0" applyNumberFormat="1" applyFont="1" applyFill="1" applyBorder="1" applyAlignment="1" applyProtection="1">
      <alignment horizontal="right" indent="1"/>
      <protection hidden="1"/>
    </xf>
    <xf numFmtId="179" fontId="22" fillId="2" borderId="8" xfId="0" applyNumberFormat="1" applyFont="1" applyFill="1" applyBorder="1" applyAlignment="1" applyProtection="1">
      <alignment horizontal="right" indent="1"/>
      <protection hidden="1"/>
    </xf>
    <xf numFmtId="179" fontId="23" fillId="2" borderId="9" xfId="0" applyNumberFormat="1" applyFont="1" applyFill="1" applyBorder="1" applyAlignment="1" applyProtection="1">
      <alignment horizontal="right" indent="1"/>
      <protection hidden="1"/>
    </xf>
    <xf numFmtId="0" fontId="0" fillId="2" borderId="6" xfId="0" applyFill="1" applyBorder="1" applyProtection="1">
      <protection hidden="1"/>
    </xf>
    <xf numFmtId="0" fontId="0" fillId="2" borderId="11" xfId="0" applyFill="1" applyBorder="1" applyProtection="1">
      <protection hidden="1"/>
    </xf>
    <xf numFmtId="0" fontId="0" fillId="2" borderId="9" xfId="0" applyFill="1" applyBorder="1" applyProtection="1">
      <protection hidden="1"/>
    </xf>
    <xf numFmtId="0" fontId="8" fillId="2" borderId="0" xfId="0" applyFont="1" applyFill="1" applyAlignment="1" applyProtection="1">
      <alignment horizontal="center"/>
      <protection hidden="1"/>
    </xf>
    <xf numFmtId="0" fontId="24" fillId="2" borderId="0" xfId="0" applyFont="1" applyFill="1" applyProtection="1">
      <protection hidden="1"/>
    </xf>
    <xf numFmtId="0" fontId="19" fillId="2" borderId="0" xfId="0" applyFont="1" applyFill="1" applyBorder="1" applyAlignment="1" applyProtection="1">
      <alignment horizontal="center"/>
      <protection hidden="1"/>
    </xf>
    <xf numFmtId="0" fontId="25" fillId="2" borderId="0" xfId="0" applyFont="1" applyFill="1" applyProtection="1">
      <protection hidden="1"/>
    </xf>
    <xf numFmtId="0" fontId="2" fillId="7" borderId="12" xfId="0" applyFont="1" applyFill="1" applyBorder="1" applyAlignment="1" applyProtection="1">
      <alignment horizontal="left" indent="1"/>
      <protection hidden="1"/>
    </xf>
    <xf numFmtId="0" fontId="2" fillId="7" borderId="13" xfId="0" applyFont="1" applyFill="1" applyBorder="1" applyProtection="1">
      <protection hidden="1"/>
    </xf>
    <xf numFmtId="0" fontId="0" fillId="2" borderId="12" xfId="0" applyFill="1" applyBorder="1" applyAlignment="1" applyProtection="1">
      <alignment horizontal="center"/>
      <protection hidden="1"/>
    </xf>
    <xf numFmtId="0" fontId="0" fillId="2" borderId="13" xfId="0" applyFill="1" applyBorder="1" applyAlignment="1" applyProtection="1">
      <alignment horizontal="center"/>
      <protection hidden="1"/>
    </xf>
    <xf numFmtId="2" fontId="15" fillId="7" borderId="12" xfId="0" applyNumberFormat="1" applyFont="1" applyFill="1" applyBorder="1" applyAlignment="1" applyProtection="1">
      <alignment horizontal="right" indent="1"/>
      <protection hidden="1"/>
    </xf>
    <xf numFmtId="2" fontId="16" fillId="7" borderId="14" xfId="0" applyNumberFormat="1" applyFont="1" applyFill="1" applyBorder="1" applyAlignment="1" applyProtection="1">
      <alignment horizontal="right" indent="1"/>
      <protection hidden="1"/>
    </xf>
    <xf numFmtId="2" fontId="17" fillId="7" borderId="14" xfId="0" applyNumberFormat="1" applyFont="1" applyFill="1" applyBorder="1" applyAlignment="1" applyProtection="1">
      <alignment horizontal="right" indent="1"/>
      <protection hidden="1"/>
    </xf>
    <xf numFmtId="2" fontId="15" fillId="7" borderId="12" xfId="0" applyNumberFormat="1" applyFont="1" applyFill="1" applyBorder="1" applyAlignment="1" applyProtection="1">
      <alignment horizontal="right" indent="1"/>
    </xf>
    <xf numFmtId="2" fontId="16" fillId="7" borderId="14" xfId="0" applyNumberFormat="1" applyFont="1" applyFill="1" applyBorder="1" applyAlignment="1" applyProtection="1">
      <alignment horizontal="right" indent="1"/>
    </xf>
    <xf numFmtId="2" fontId="17" fillId="7" borderId="14" xfId="0" applyNumberFormat="1" applyFont="1" applyFill="1" applyBorder="1" applyAlignment="1" applyProtection="1">
      <alignment horizontal="right" indent="1"/>
    </xf>
    <xf numFmtId="0" fontId="25" fillId="2" borderId="0" xfId="0" applyFont="1" applyFill="1" applyAlignment="1" applyProtection="1">
      <alignment horizontal="right"/>
      <protection hidden="1"/>
    </xf>
    <xf numFmtId="0" fontId="26" fillId="2" borderId="0" xfId="0" applyFont="1" applyFill="1" applyAlignment="1" applyProtection="1">
      <alignment horizontal="center"/>
      <protection hidden="1"/>
    </xf>
    <xf numFmtId="179" fontId="15" fillId="7" borderId="12" xfId="0" applyNumberFormat="1" applyFont="1" applyFill="1" applyBorder="1" applyAlignment="1" applyProtection="1">
      <alignment horizontal="right" indent="1"/>
      <protection hidden="1"/>
    </xf>
    <xf numFmtId="179" fontId="16" fillId="7" borderId="14" xfId="0" applyNumberFormat="1" applyFont="1" applyFill="1" applyBorder="1" applyAlignment="1" applyProtection="1">
      <alignment horizontal="right" indent="1"/>
      <protection hidden="1"/>
    </xf>
    <xf numFmtId="179" fontId="17" fillId="7" borderId="14" xfId="0" applyNumberFormat="1" applyFont="1" applyFill="1" applyBorder="1" applyAlignment="1" applyProtection="1">
      <alignment horizontal="right" indent="1"/>
      <protection hidden="1"/>
    </xf>
    <xf numFmtId="2" fontId="22" fillId="7" borderId="14" xfId="0" applyNumberFormat="1" applyFont="1" applyFill="1" applyBorder="1" applyAlignment="1" applyProtection="1">
      <alignment horizontal="right" indent="1"/>
      <protection hidden="1"/>
    </xf>
    <xf numFmtId="2" fontId="23" fillId="7" borderId="13" xfId="0" applyNumberFormat="1" applyFont="1" applyFill="1" applyBorder="1" applyAlignment="1" applyProtection="1">
      <alignment horizontal="right" indent="1"/>
      <protection hidden="1"/>
    </xf>
    <xf numFmtId="2" fontId="22" fillId="7" borderId="14" xfId="0" applyNumberFormat="1" applyFont="1" applyFill="1" applyBorder="1" applyAlignment="1" applyProtection="1">
      <alignment horizontal="right" indent="1"/>
    </xf>
    <xf numFmtId="2" fontId="23" fillId="7" borderId="13" xfId="0" applyNumberFormat="1" applyFont="1" applyFill="1" applyBorder="1" applyAlignment="1" applyProtection="1">
      <alignment horizontal="right" indent="1"/>
    </xf>
    <xf numFmtId="179" fontId="22" fillId="7" borderId="14" xfId="0" applyNumberFormat="1" applyFont="1" applyFill="1" applyBorder="1" applyAlignment="1" applyProtection="1">
      <alignment horizontal="right" indent="1"/>
      <protection hidden="1"/>
    </xf>
    <xf numFmtId="179" fontId="23" fillId="7" borderId="13" xfId="0" applyNumberFormat="1" applyFont="1" applyFill="1" applyBorder="1" applyAlignment="1" applyProtection="1">
      <alignment horizontal="right" indent="1"/>
      <protection hidden="1"/>
    </xf>
    <xf numFmtId="0" fontId="0" fillId="0" borderId="0" xfId="0" applyBorder="1" applyProtection="1">
      <protection hidden="1"/>
    </xf>
    <xf numFmtId="0" fontId="0" fillId="4" borderId="0" xfId="0" applyFill="1" applyProtection="1">
      <protection hidden="1"/>
    </xf>
    <xf numFmtId="0" fontId="1" fillId="4" borderId="0" xfId="0" applyFont="1" applyFill="1" applyProtection="1">
      <protection hidden="1"/>
    </xf>
    <xf numFmtId="0" fontId="27" fillId="4" borderId="0" xfId="0" applyFont="1" applyFill="1" applyProtection="1">
      <protection hidden="1"/>
    </xf>
    <xf numFmtId="0" fontId="0" fillId="4" borderId="0" xfId="0" applyFill="1" applyBorder="1" applyProtection="1">
      <protection hidden="1"/>
    </xf>
    <xf numFmtId="0" fontId="4" fillId="4" borderId="0" xfId="0" applyFont="1" applyFill="1" applyAlignment="1" applyProtection="1">
      <alignment horizontal="left" indent="1"/>
      <protection hidden="1"/>
    </xf>
    <xf numFmtId="0" fontId="3" fillId="3" borderId="0" xfId="0" applyFont="1" applyFill="1" applyAlignment="1" applyProtection="1">
      <alignment horizontal="left"/>
      <protection hidden="1"/>
    </xf>
    <xf numFmtId="0" fontId="4" fillId="4" borderId="0" xfId="0" applyFont="1" applyFill="1" applyProtection="1">
      <protection hidden="1"/>
    </xf>
    <xf numFmtId="0" fontId="3" fillId="4" borderId="0" xfId="0" applyFont="1" applyFill="1" applyAlignment="1" applyProtection="1">
      <alignment horizontal="left" indent="1"/>
      <protection hidden="1"/>
    </xf>
    <xf numFmtId="0" fontId="3" fillId="4" borderId="0" xfId="0" applyFont="1" applyFill="1" applyProtection="1">
      <protection hidden="1"/>
    </xf>
    <xf numFmtId="0" fontId="3" fillId="5" borderId="12" xfId="0" applyFont="1" applyFill="1" applyBorder="1" applyAlignment="1" applyProtection="1">
      <alignment horizontal="center"/>
      <protection locked="0"/>
    </xf>
    <xf numFmtId="0" fontId="3" fillId="5" borderId="13" xfId="0" applyFont="1" applyFill="1" applyBorder="1" applyAlignment="1" applyProtection="1">
      <alignment horizontal="center"/>
      <protection locked="0"/>
    </xf>
    <xf numFmtId="0" fontId="18" fillId="2" borderId="4" xfId="0" applyFont="1" applyFill="1" applyBorder="1" applyProtection="1">
      <protection hidden="1"/>
    </xf>
    <xf numFmtId="0" fontId="0" fillId="2" borderId="10" xfId="0" applyFont="1" applyFill="1" applyBorder="1" applyProtection="1">
      <protection hidden="1"/>
    </xf>
    <xf numFmtId="0" fontId="8" fillId="4" borderId="0" xfId="0" applyFont="1" applyFill="1" applyAlignment="1" applyProtection="1">
      <alignment horizontal="right"/>
      <protection hidden="1"/>
    </xf>
    <xf numFmtId="0" fontId="0" fillId="2" borderId="10" xfId="0" applyFill="1" applyBorder="1" applyProtection="1">
      <protection hidden="1"/>
    </xf>
    <xf numFmtId="0" fontId="0" fillId="4" borderId="0" xfId="0" applyFill="1" applyAlignment="1" applyProtection="1">
      <alignment horizontal="right" indent="1"/>
      <protection hidden="1"/>
    </xf>
    <xf numFmtId="0" fontId="0" fillId="5" borderId="3" xfId="0" applyFill="1" applyBorder="1" applyAlignment="1" applyProtection="1">
      <alignment horizontal="center"/>
      <protection locked="0"/>
    </xf>
    <xf numFmtId="0" fontId="28" fillId="4" borderId="0" xfId="0" applyFont="1" applyFill="1" applyProtection="1">
      <protection hidden="1"/>
    </xf>
    <xf numFmtId="0" fontId="3" fillId="4" borderId="0" xfId="0" applyFont="1" applyFill="1" applyAlignment="1" applyProtection="1">
      <protection hidden="1"/>
    </xf>
    <xf numFmtId="0" fontId="0" fillId="5" borderId="1" xfId="0" applyFont="1" applyFill="1" applyBorder="1" applyAlignment="1" applyProtection="1">
      <alignment horizontal="center"/>
      <protection locked="0"/>
    </xf>
    <xf numFmtId="0" fontId="4" fillId="4" borderId="0" xfId="0" applyFont="1" applyFill="1" applyAlignment="1" applyProtection="1">
      <alignment horizontal="center"/>
      <protection hidden="1"/>
    </xf>
    <xf numFmtId="0" fontId="3" fillId="2" borderId="10" xfId="0" applyFont="1" applyFill="1" applyBorder="1" applyProtection="1">
      <protection hidden="1"/>
    </xf>
    <xf numFmtId="0" fontId="0" fillId="5" borderId="15" xfId="0" applyFill="1" applyBorder="1" applyAlignment="1" applyProtection="1">
      <alignment horizontal="center"/>
      <protection locked="0"/>
    </xf>
    <xf numFmtId="0" fontId="0" fillId="2" borderId="10" xfId="0" applyFill="1" applyBorder="1" applyAlignment="1" applyProtection="1">
      <alignment horizontal="left" indent="1"/>
      <protection hidden="1"/>
    </xf>
    <xf numFmtId="0" fontId="0" fillId="5" borderId="2" xfId="0" applyFill="1" applyBorder="1" applyAlignment="1" applyProtection="1">
      <alignment horizontal="center"/>
      <protection locked="0"/>
    </xf>
    <xf numFmtId="0" fontId="4" fillId="2" borderId="0" xfId="0" applyFont="1" applyFill="1" applyBorder="1" applyProtection="1">
      <protection hidden="1"/>
    </xf>
    <xf numFmtId="0" fontId="27" fillId="4" borderId="0" xfId="0" applyFont="1" applyFill="1" applyAlignment="1" applyProtection="1">
      <alignment horizontal="center"/>
      <protection hidden="1"/>
    </xf>
    <xf numFmtId="0" fontId="0" fillId="2" borderId="11" xfId="0" applyFont="1" applyFill="1" applyBorder="1" applyProtection="1">
      <protection hidden="1"/>
    </xf>
    <xf numFmtId="0" fontId="0" fillId="4" borderId="0" xfId="0" applyFont="1" applyFill="1" applyBorder="1" applyProtection="1">
      <protection hidden="1"/>
    </xf>
    <xf numFmtId="0" fontId="0" fillId="4" borderId="0" xfId="0" applyFill="1" applyAlignment="1" applyProtection="1">
      <protection hidden="1"/>
    </xf>
    <xf numFmtId="2" fontId="0" fillId="5" borderId="3" xfId="0" applyNumberFormat="1" applyFill="1" applyBorder="1" applyAlignment="1" applyProtection="1">
      <alignment horizontal="center"/>
      <protection locked="0"/>
    </xf>
    <xf numFmtId="0" fontId="0" fillId="4" borderId="0" xfId="0" applyFill="1" applyAlignment="1" applyProtection="1">
      <alignment horizontal="left"/>
      <protection hidden="1"/>
    </xf>
    <xf numFmtId="0" fontId="2" fillId="4" borderId="0" xfId="0" applyFont="1" applyFill="1" applyAlignment="1" applyProtection="1">
      <alignment horizontal="left"/>
      <protection hidden="1"/>
    </xf>
    <xf numFmtId="0" fontId="2" fillId="8" borderId="3" xfId="0" applyFont="1" applyFill="1" applyBorder="1" applyAlignment="1" applyProtection="1">
      <alignment horizontal="center"/>
      <protection locked="0"/>
    </xf>
    <xf numFmtId="0" fontId="0" fillId="2" borderId="7" xfId="0" applyFill="1" applyBorder="1" applyAlignment="1" applyProtection="1">
      <alignment horizontal="left" indent="1"/>
      <protection hidden="1"/>
    </xf>
    <xf numFmtId="0" fontId="0" fillId="4" borderId="0" xfId="0" applyFill="1" applyBorder="1" applyAlignment="1" applyProtection="1">
      <alignment horizontal="center"/>
      <protection hidden="1"/>
    </xf>
    <xf numFmtId="179" fontId="0" fillId="8" borderId="1" xfId="0" applyNumberFormat="1" applyFill="1" applyBorder="1" applyAlignment="1" applyProtection="1">
      <alignment horizontal="center"/>
      <protection locked="0"/>
    </xf>
    <xf numFmtId="0" fontId="9" fillId="2" borderId="12" xfId="0" applyFont="1" applyFill="1" applyBorder="1" applyAlignment="1" applyProtection="1">
      <alignment horizontal="center"/>
      <protection hidden="1"/>
    </xf>
    <xf numFmtId="0" fontId="9" fillId="2" borderId="13" xfId="0" applyFont="1" applyFill="1" applyBorder="1" applyAlignment="1" applyProtection="1">
      <alignment horizontal="center"/>
      <protection hidden="1"/>
    </xf>
    <xf numFmtId="0" fontId="4" fillId="4" borderId="0" xfId="0" applyFont="1" applyFill="1" applyBorder="1" applyAlignment="1" applyProtection="1">
      <alignment horizontal="center"/>
      <protection hidden="1"/>
    </xf>
    <xf numFmtId="179" fontId="0" fillId="8" borderId="15" xfId="0" applyNumberFormat="1" applyFill="1" applyBorder="1" applyAlignment="1" applyProtection="1">
      <alignment horizontal="center"/>
      <protection locked="0"/>
    </xf>
    <xf numFmtId="0" fontId="4" fillId="4" borderId="0" xfId="0" applyFont="1" applyFill="1" applyBorder="1" applyAlignment="1" applyProtection="1">
      <alignment horizontal="center" vertical="center" wrapText="1"/>
      <protection hidden="1"/>
    </xf>
    <xf numFmtId="0" fontId="3" fillId="0" borderId="0" xfId="0" applyFont="1" applyProtection="1">
      <protection hidden="1"/>
    </xf>
    <xf numFmtId="0" fontId="3" fillId="3" borderId="0" xfId="0" applyFont="1" applyFill="1" applyAlignment="1" applyProtection="1">
      <alignment horizontal="left" vertical="center" indent="1"/>
      <protection hidden="1"/>
    </xf>
    <xf numFmtId="0" fontId="4" fillId="2" borderId="0" xfId="0" applyFont="1" applyFill="1" applyAlignment="1" applyProtection="1">
      <alignment horizontal="left" vertical="center" indent="1"/>
      <protection hidden="1"/>
    </xf>
    <xf numFmtId="0" fontId="2" fillId="4" borderId="4" xfId="0" applyFont="1" applyFill="1" applyBorder="1" applyProtection="1">
      <protection hidden="1"/>
    </xf>
    <xf numFmtId="0" fontId="0" fillId="4" borderId="6" xfId="0" applyFill="1" applyBorder="1" applyProtection="1">
      <protection hidden="1"/>
    </xf>
    <xf numFmtId="0" fontId="3" fillId="5" borderId="0" xfId="0" applyFont="1" applyFill="1" applyBorder="1" applyAlignment="1" applyProtection="1">
      <alignment horizontal="center"/>
      <protection locked="0"/>
    </xf>
    <xf numFmtId="0" fontId="2" fillId="4" borderId="10" xfId="0" applyFont="1" applyFill="1" applyBorder="1" applyProtection="1">
      <protection hidden="1"/>
    </xf>
    <xf numFmtId="0" fontId="0" fillId="4" borderId="11" xfId="0" applyFill="1" applyBorder="1" applyProtection="1">
      <protection hidden="1"/>
    </xf>
    <xf numFmtId="0" fontId="24" fillId="2" borderId="0" xfId="0" applyFont="1" applyFill="1" applyAlignment="1" applyProtection="1">
      <alignment horizontal="right"/>
      <protection hidden="1"/>
    </xf>
    <xf numFmtId="0" fontId="0" fillId="2" borderId="0" xfId="0" applyFill="1" applyBorder="1" applyAlignment="1" applyProtection="1">
      <alignment horizontal="center"/>
      <protection hidden="1"/>
    </xf>
    <xf numFmtId="0" fontId="5" fillId="4" borderId="10" xfId="0" applyFont="1" applyFill="1" applyBorder="1" applyAlignment="1" applyProtection="1">
      <protection hidden="1"/>
    </xf>
    <xf numFmtId="0" fontId="4" fillId="2" borderId="0" xfId="0" applyFont="1" applyFill="1" applyAlignment="1" applyProtection="1">
      <alignment horizontal="center"/>
      <protection hidden="1"/>
    </xf>
    <xf numFmtId="0" fontId="29" fillId="2" borderId="0" xfId="0" applyFont="1" applyFill="1" applyAlignment="1" applyProtection="1">
      <alignment horizontal="center"/>
      <protection hidden="1"/>
    </xf>
    <xf numFmtId="0" fontId="2" fillId="4" borderId="10" xfId="0" applyFont="1" applyFill="1" applyBorder="1" applyAlignment="1" applyProtection="1">
      <alignment horizontal="left" indent="1"/>
      <protection hidden="1"/>
    </xf>
    <xf numFmtId="0" fontId="0" fillId="4" borderId="11" xfId="0" applyFont="1" applyFill="1" applyBorder="1" applyProtection="1">
      <protection hidden="1"/>
    </xf>
    <xf numFmtId="0" fontId="5" fillId="4" borderId="10" xfId="0" applyFont="1" applyFill="1" applyBorder="1" applyProtection="1">
      <protection hidden="1"/>
    </xf>
    <xf numFmtId="0" fontId="27" fillId="2" borderId="0" xfId="0" applyFont="1" applyFill="1" applyAlignment="1" applyProtection="1">
      <alignment horizontal="center"/>
      <protection hidden="1"/>
    </xf>
    <xf numFmtId="0" fontId="30" fillId="4" borderId="10" xfId="0" applyFont="1" applyFill="1" applyBorder="1" applyProtection="1">
      <protection hidden="1"/>
    </xf>
    <xf numFmtId="0" fontId="2" fillId="2" borderId="0" xfId="0" applyFont="1" applyFill="1" applyAlignment="1" applyProtection="1">
      <alignment horizontal="left"/>
      <protection hidden="1"/>
    </xf>
    <xf numFmtId="0" fontId="2" fillId="8" borderId="0" xfId="0" applyFont="1" applyFill="1" applyBorder="1" applyAlignment="1" applyProtection="1">
      <alignment horizontal="center"/>
      <protection locked="0"/>
    </xf>
    <xf numFmtId="0" fontId="2" fillId="4" borderId="7" xfId="0" applyFont="1" applyFill="1" applyBorder="1" applyAlignment="1" applyProtection="1">
      <alignment horizontal="left" indent="1"/>
      <protection hidden="1"/>
    </xf>
    <xf numFmtId="0" fontId="0" fillId="4" borderId="9" xfId="0" applyFill="1" applyBorder="1" applyProtection="1">
      <protection hidden="1"/>
    </xf>
    <xf numFmtId="179" fontId="0" fillId="8" borderId="0" xfId="0" applyNumberFormat="1" applyFill="1" applyBorder="1" applyAlignment="1" applyProtection="1">
      <alignment horizontal="center"/>
      <protection locked="0"/>
    </xf>
    <xf numFmtId="0" fontId="31" fillId="4" borderId="12" xfId="0" applyFont="1" applyFill="1" applyBorder="1" applyAlignment="1" applyProtection="1">
      <alignment horizontal="center"/>
      <protection hidden="1"/>
    </xf>
    <xf numFmtId="0" fontId="31" fillId="4" borderId="13" xfId="0" applyFont="1" applyFill="1" applyBorder="1" applyAlignment="1" applyProtection="1">
      <alignment horizontal="center"/>
      <protection hidden="1"/>
    </xf>
    <xf numFmtId="0" fontId="31" fillId="4" borderId="12" xfId="0" applyFont="1" applyFill="1" applyBorder="1" applyAlignment="1" applyProtection="1">
      <alignment horizontal="center" vertical="center" wrapText="1"/>
      <protection hidden="1"/>
    </xf>
    <xf numFmtId="0" fontId="31" fillId="4" borderId="13" xfId="0" applyFont="1" applyFill="1" applyBorder="1" applyAlignment="1" applyProtection="1">
      <alignment horizontal="center" vertical="center" wrapText="1"/>
      <protection hidden="1"/>
    </xf>
    <xf numFmtId="0" fontId="0" fillId="4" borderId="4" xfId="0" applyFill="1" applyBorder="1" applyProtection="1">
      <protection hidden="1"/>
    </xf>
    <xf numFmtId="0" fontId="0" fillId="4" borderId="10" xfId="0" applyFill="1" applyBorder="1" applyProtection="1">
      <protection hidden="1"/>
    </xf>
    <xf numFmtId="0" fontId="0" fillId="4" borderId="10" xfId="0" applyFill="1" applyBorder="1" applyAlignment="1" applyProtection="1">
      <alignment horizontal="left" indent="1"/>
      <protection hidden="1"/>
    </xf>
    <xf numFmtId="0" fontId="0" fillId="4" borderId="10" xfId="0" applyFont="1" applyFill="1" applyBorder="1" applyAlignment="1" applyProtection="1">
      <alignment horizontal="left" indent="1"/>
      <protection hidden="1"/>
    </xf>
    <xf numFmtId="0" fontId="0" fillId="4" borderId="7" xfId="0" applyFill="1" applyBorder="1" applyAlignment="1" applyProtection="1">
      <alignment horizontal="left" indent="1"/>
      <protection hidden="1"/>
    </xf>
    <xf numFmtId="179" fontId="0" fillId="8" borderId="2" xfId="0" applyNumberFormat="1" applyFill="1" applyBorder="1" applyAlignment="1" applyProtection="1">
      <alignment horizontal="center"/>
      <protection locked="0"/>
    </xf>
    <xf numFmtId="0" fontId="32" fillId="2" borderId="0" xfId="0" applyFont="1" applyFill="1" applyProtection="1">
      <protection hidden="1"/>
    </xf>
    <xf numFmtId="0" fontId="3" fillId="3" borderId="0" xfId="0" applyFont="1" applyFill="1" applyAlignment="1" applyProtection="1">
      <alignment horizontal="left" indent="1"/>
      <protection hidden="1"/>
    </xf>
    <xf numFmtId="0" fontId="33" fillId="2" borderId="0" xfId="0" applyFont="1" applyFill="1" applyProtection="1">
      <protection hidden="1"/>
    </xf>
    <xf numFmtId="0" fontId="2" fillId="2" borderId="0" xfId="0" applyFont="1" applyFill="1" applyBorder="1" applyAlignment="1" applyProtection="1">
      <protection hidden="1"/>
    </xf>
    <xf numFmtId="0" fontId="5" fillId="3" borderId="0" xfId="0" applyFont="1" applyFill="1" applyAlignment="1" applyProtection="1">
      <alignment horizontal="left" indent="1"/>
      <protection hidden="1"/>
    </xf>
    <xf numFmtId="0" fontId="12" fillId="2" borderId="0" xfId="0" applyFont="1" applyFill="1" applyAlignment="1" applyProtection="1">
      <alignment horizontal="left" indent="1"/>
      <protection hidden="1"/>
    </xf>
    <xf numFmtId="178" fontId="2" fillId="2" borderId="0" xfId="0" applyNumberFormat="1" applyFont="1" applyFill="1" applyAlignment="1" applyProtection="1">
      <protection hidden="1"/>
    </xf>
    <xf numFmtId="0" fontId="2" fillId="2" borderId="0" xfId="0" applyFont="1" applyFill="1" applyAlignment="1" applyProtection="1">
      <alignment horizontal="left" indent="1"/>
      <protection hidden="1"/>
    </xf>
    <xf numFmtId="0" fontId="13" fillId="2" borderId="0" xfId="0" applyFont="1" applyFill="1" applyAlignment="1" applyProtection="1">
      <alignment horizontal="left" indent="1"/>
      <protection hidden="1"/>
    </xf>
    <xf numFmtId="0" fontId="14" fillId="2" borderId="0" xfId="0" applyFont="1" applyFill="1" applyAlignment="1" applyProtection="1">
      <alignment horizontal="left" indent="1"/>
      <protection hidden="1"/>
    </xf>
    <xf numFmtId="0" fontId="20" fillId="2" borderId="0" xfId="0" applyFont="1" applyFill="1" applyAlignment="1" applyProtection="1">
      <alignment horizontal="left" indent="1"/>
      <protection hidden="1"/>
    </xf>
    <xf numFmtId="0" fontId="21" fillId="2" borderId="0" xfId="0" applyFont="1" applyFill="1" applyAlignment="1" applyProtection="1">
      <alignment horizontal="left" indent="1"/>
      <protection hidden="1"/>
    </xf>
    <xf numFmtId="180" fontId="2" fillId="2" borderId="0" xfId="0" applyNumberFormat="1" applyFont="1" applyFill="1" applyBorder="1" applyAlignment="1" applyProtection="1">
      <protection hidden="1"/>
    </xf>
    <xf numFmtId="11" fontId="2" fillId="2" borderId="0" xfId="0" applyNumberFormat="1" applyFont="1" applyFill="1" applyBorder="1" applyAlignment="1" applyProtection="1">
      <protection hidden="1"/>
    </xf>
    <xf numFmtId="181" fontId="2" fillId="2" borderId="0" xfId="0" applyNumberFormat="1" applyFont="1" applyFill="1" applyBorder="1" applyAlignment="1" applyProtection="1">
      <protection hidden="1"/>
    </xf>
    <xf numFmtId="0" fontId="2" fillId="2" borderId="0" xfId="0" applyFont="1" applyFill="1" applyAlignment="1" applyProtection="1">
      <protection hidden="1"/>
    </xf>
    <xf numFmtId="0" fontId="29" fillId="2" borderId="0" xfId="0" applyFont="1" applyFill="1"/>
    <xf numFmtId="0" fontId="2" fillId="2" borderId="0" xfId="0" applyFont="1" applyFill="1"/>
    <xf numFmtId="0" fontId="29" fillId="2" borderId="0" xfId="0" applyFont="1" applyFill="1" applyBorder="1"/>
    <xf numFmtId="0" fontId="29" fillId="2" borderId="0" xfId="0" applyFont="1" applyFill="1" applyBorder="1" applyAlignment="1" applyProtection="1">
      <protection hidden="1"/>
    </xf>
    <xf numFmtId="0" fontId="29" fillId="2" borderId="0" xfId="0" applyFont="1" applyFill="1" applyBorder="1" applyAlignment="1" applyProtection="1">
      <alignment horizontal="center"/>
      <protection hidden="1"/>
    </xf>
    <xf numFmtId="0" fontId="29" fillId="2" borderId="0" xfId="0" applyFont="1" applyFill="1" applyProtection="1">
      <protection hidden="1"/>
    </xf>
    <xf numFmtId="0" fontId="29" fillId="2" borderId="0" xfId="0" applyFont="1" applyFill="1" applyBorder="1" applyAlignment="1">
      <alignment horizontal="right"/>
    </xf>
    <xf numFmtId="2" fontId="29" fillId="2" borderId="0" xfId="0" applyNumberFormat="1" applyFont="1" applyFill="1" applyBorder="1"/>
    <xf numFmtId="178" fontId="29" fillId="2" borderId="0" xfId="0" applyNumberFormat="1" applyFont="1" applyFill="1" applyBorder="1"/>
    <xf numFmtId="179" fontId="29" fillId="2" borderId="0" xfId="0" applyNumberFormat="1" applyFont="1" applyFill="1" applyBorder="1"/>
    <xf numFmtId="0" fontId="29" fillId="2" borderId="0" xfId="0" applyFont="1" applyFill="1" applyBorder="1" applyAlignment="1">
      <alignment horizontal="center"/>
    </xf>
    <xf numFmtId="0" fontId="29" fillId="2" borderId="0" xfId="0" applyFont="1" applyFill="1" applyBorder="1" applyAlignment="1"/>
    <xf numFmtId="0" fontId="2" fillId="2" borderId="0" xfId="0" applyFont="1" applyFill="1" applyBorder="1"/>
    <xf numFmtId="0" fontId="2" fillId="9" borderId="0" xfId="0" applyFont="1" applyFill="1" applyBorder="1" applyAlignment="1" applyProtection="1">
      <protection hidden="1"/>
    </xf>
    <xf numFmtId="0" fontId="2" fillId="9" borderId="0" xfId="0" applyFont="1" applyFill="1" applyProtection="1">
      <protection hidden="1"/>
    </xf>
    <xf numFmtId="0" fontId="5" fillId="2" borderId="0" xfId="0" applyFont="1" applyFill="1" applyBorder="1" applyAlignment="1" applyProtection="1">
      <protection hidden="1"/>
    </xf>
    <xf numFmtId="0" fontId="34" fillId="2" borderId="0" xfId="0" applyFont="1" applyFill="1" applyProtection="1">
      <protection hidden="1"/>
    </xf>
    <xf numFmtId="0" fontId="6" fillId="2" borderId="0" xfId="0" applyFont="1" applyFill="1" applyBorder="1" applyAlignment="1" applyProtection="1">
      <protection hidden="1"/>
    </xf>
    <xf numFmtId="0" fontId="2" fillId="2" borderId="0" xfId="0" applyNumberFormat="1" applyFont="1" applyFill="1" applyBorder="1" applyAlignment="1" applyProtection="1">
      <protection hidden="1"/>
    </xf>
    <xf numFmtId="179" fontId="2" fillId="2" borderId="0" xfId="0" applyNumberFormat="1" applyFont="1" applyFill="1" applyProtection="1">
      <protection hidden="1"/>
    </xf>
    <xf numFmtId="0" fontId="2" fillId="2" borderId="0" xfId="0" applyNumberFormat="1" applyFont="1" applyFill="1" applyProtection="1">
      <protection hidden="1"/>
    </xf>
    <xf numFmtId="182" fontId="2" fillId="2" borderId="0" xfId="0" applyNumberFormat="1" applyFont="1" applyFill="1" applyBorder="1" applyAlignment="1" applyProtection="1">
      <protection hidden="1"/>
    </xf>
    <xf numFmtId="0" fontId="2" fillId="2" borderId="0" xfId="0" applyNumberFormat="1" applyFont="1" applyFill="1" applyBorder="1" applyProtection="1">
      <protection hidden="1"/>
    </xf>
    <xf numFmtId="0" fontId="35" fillId="2" borderId="0" xfId="0" applyFont="1" applyFill="1" applyBorder="1" applyAlignment="1" applyProtection="1">
      <alignment horizontal="center" vertical="center"/>
      <protection hidden="1"/>
    </xf>
    <xf numFmtId="0" fontId="2" fillId="10" borderId="0" xfId="0" applyFont="1" applyFill="1" applyBorder="1" applyProtection="1">
      <protection hidden="1"/>
    </xf>
    <xf numFmtId="0" fontId="2" fillId="9" borderId="0" xfId="0" applyFont="1" applyFill="1" applyBorder="1" applyProtection="1">
      <protection hidden="1"/>
    </xf>
    <xf numFmtId="0" fontId="2" fillId="2" borderId="0" xfId="0" applyFont="1" applyFill="1" applyBorder="1" applyAlignment="1" applyProtection="1">
      <alignment horizontal="center" vertical="center"/>
      <protection hidden="1"/>
    </xf>
    <xf numFmtId="179" fontId="2" fillId="2" borderId="0" xfId="0" applyNumberFormat="1" applyFont="1" applyFill="1" applyBorder="1" applyProtection="1">
      <protection hidden="1"/>
    </xf>
    <xf numFmtId="0" fontId="2" fillId="2" borderId="0"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right"/>
      <protection hidden="1"/>
    </xf>
    <xf numFmtId="2" fontId="2" fillId="2" borderId="0" xfId="0" applyNumberFormat="1" applyFont="1" applyFill="1" applyBorder="1" applyAlignment="1" applyProtection="1">
      <alignment horizontal="center"/>
      <protection hidden="1"/>
    </xf>
    <xf numFmtId="0" fontId="2" fillId="2" borderId="0" xfId="0" applyFont="1" applyFill="1" applyBorder="1" applyAlignment="1" applyProtection="1">
      <alignment vertical="center" wrapText="1"/>
      <protection hidden="1"/>
    </xf>
    <xf numFmtId="183" fontId="2" fillId="2" borderId="0" xfId="0" applyNumberFormat="1" applyFont="1" applyFill="1" applyBorder="1" applyAlignment="1" applyProtection="1">
      <alignment horizontal="right" vertical="center" wrapText="1"/>
      <protection hidden="1"/>
    </xf>
    <xf numFmtId="178" fontId="2" fillId="2" borderId="0" xfId="0" applyNumberFormat="1" applyFont="1" applyFill="1" applyBorder="1" applyAlignment="1" applyProtection="1">
      <alignment horizontal="right" vertical="center" wrapText="1"/>
      <protection hidden="1"/>
    </xf>
    <xf numFmtId="2" fontId="2" fillId="2" borderId="0" xfId="0" applyNumberFormat="1" applyFont="1" applyFill="1" applyBorder="1" applyAlignment="1" applyProtection="1">
      <alignment horizontal="right" vertical="center"/>
      <protection hidden="1"/>
    </xf>
    <xf numFmtId="179" fontId="2" fillId="2" borderId="0" xfId="0" applyNumberFormat="1" applyFont="1" applyFill="1" applyBorder="1" applyAlignment="1" applyProtection="1">
      <alignment horizontal="right" vertical="center" wrapText="1"/>
      <protection hidden="1"/>
    </xf>
    <xf numFmtId="2" fontId="2" fillId="2" borderId="0" xfId="0" applyNumberFormat="1" applyFont="1" applyFill="1" applyBorder="1" applyAlignment="1" applyProtection="1">
      <alignment horizontal="right" vertical="center" wrapText="1"/>
      <protection hidden="1"/>
    </xf>
    <xf numFmtId="0" fontId="2" fillId="2" borderId="0" xfId="0" applyNumberFormat="1" applyFont="1" applyFill="1" applyBorder="1" applyAlignment="1" applyProtection="1">
      <alignment horizontal="center" vertical="center" wrapText="1"/>
      <protection hidden="1"/>
    </xf>
    <xf numFmtId="0" fontId="2" fillId="2" borderId="0" xfId="0" applyNumberFormat="1" applyFont="1" applyFill="1" applyBorder="1" applyAlignment="1" applyProtection="1">
      <alignment horizontal="right" vertical="center" wrapText="1"/>
      <protection hidden="1"/>
    </xf>
    <xf numFmtId="0" fontId="9" fillId="2" borderId="0" xfId="0" applyFont="1" applyFill="1" applyAlignment="1" applyProtection="1">
      <alignment horizontal="left" indent="1"/>
      <protection hidden="1"/>
    </xf>
    <xf numFmtId="0" fontId="0" fillId="0" borderId="0" xfId="0" applyAlignment="1" applyProtection="1">
      <alignment horizontal="right"/>
      <protection hidden="1"/>
    </xf>
    <xf numFmtId="0" fontId="2" fillId="4" borderId="12" xfId="0" applyFont="1" applyFill="1" applyBorder="1" applyAlignment="1" applyProtection="1">
      <alignment horizontal="left" indent="1"/>
      <protection hidden="1"/>
    </xf>
    <xf numFmtId="0" fontId="2" fillId="4" borderId="13" xfId="0" applyFont="1" applyFill="1" applyBorder="1" applyProtection="1">
      <protection hidden="1"/>
    </xf>
    <xf numFmtId="2" fontId="2" fillId="4" borderId="3" xfId="0" applyNumberFormat="1" applyFont="1" applyFill="1" applyBorder="1" applyAlignment="1" applyProtection="1">
      <alignment horizontal="right" indent="1"/>
      <protection hidden="1"/>
    </xf>
    <xf numFmtId="179" fontId="2" fillId="4" borderId="3" xfId="0" applyNumberFormat="1" applyFont="1" applyFill="1" applyBorder="1" applyAlignment="1" applyProtection="1">
      <alignment horizontal="right" indent="1"/>
      <protection hidden="1"/>
    </xf>
    <xf numFmtId="2" fontId="15" fillId="4" borderId="12" xfId="0" applyNumberFormat="1" applyFont="1" applyFill="1" applyBorder="1" applyAlignment="1" applyProtection="1">
      <alignment horizontal="right" indent="1"/>
      <protection hidden="1"/>
    </xf>
    <xf numFmtId="2" fontId="16" fillId="4" borderId="14" xfId="0" applyNumberFormat="1" applyFont="1" applyFill="1" applyBorder="1" applyAlignment="1" applyProtection="1">
      <alignment horizontal="right" indent="1"/>
      <protection hidden="1"/>
    </xf>
    <xf numFmtId="2" fontId="17" fillId="4" borderId="14" xfId="0" applyNumberFormat="1" applyFont="1" applyFill="1" applyBorder="1" applyAlignment="1" applyProtection="1">
      <alignment horizontal="right" indent="1"/>
      <protection hidden="1"/>
    </xf>
    <xf numFmtId="2" fontId="22" fillId="4" borderId="14" xfId="0" applyNumberFormat="1" applyFont="1" applyFill="1" applyBorder="1" applyAlignment="1" applyProtection="1">
      <alignment horizontal="right" indent="1"/>
      <protection hidden="1"/>
    </xf>
    <xf numFmtId="2" fontId="23" fillId="4" borderId="13" xfId="0" applyNumberFormat="1" applyFont="1" applyFill="1" applyBorder="1" applyAlignment="1" applyProtection="1">
      <alignment horizontal="right" indent="1"/>
      <protection hidden="1"/>
    </xf>
    <xf numFmtId="178" fontId="15" fillId="4" borderId="12" xfId="0" applyNumberFormat="1" applyFont="1" applyFill="1" applyBorder="1" applyAlignment="1" applyProtection="1">
      <alignment horizontal="right" indent="1"/>
    </xf>
    <xf numFmtId="178" fontId="16" fillId="4" borderId="14" xfId="0" applyNumberFormat="1" applyFont="1" applyFill="1" applyBorder="1" applyAlignment="1" applyProtection="1">
      <alignment horizontal="right" indent="1"/>
    </xf>
    <xf numFmtId="178" fontId="17" fillId="4" borderId="14" xfId="0" applyNumberFormat="1" applyFont="1" applyFill="1" applyBorder="1" applyAlignment="1" applyProtection="1">
      <alignment horizontal="right" indent="1"/>
    </xf>
    <xf numFmtId="178" fontId="22" fillId="4" borderId="14" xfId="0" applyNumberFormat="1" applyFont="1" applyFill="1" applyBorder="1" applyAlignment="1" applyProtection="1">
      <alignment horizontal="right" indent="1"/>
    </xf>
    <xf numFmtId="178" fontId="23" fillId="4" borderId="13" xfId="0" applyNumberFormat="1" applyFont="1" applyFill="1" applyBorder="1" applyAlignment="1" applyProtection="1">
      <alignment horizontal="right" indent="1"/>
    </xf>
    <xf numFmtId="179" fontId="15" fillId="4" borderId="12" xfId="0" applyNumberFormat="1" applyFont="1" applyFill="1" applyBorder="1" applyAlignment="1" applyProtection="1">
      <alignment horizontal="right" indent="1"/>
      <protection hidden="1"/>
    </xf>
    <xf numFmtId="179" fontId="16" fillId="4" borderId="14" xfId="0" applyNumberFormat="1" applyFont="1" applyFill="1" applyBorder="1" applyAlignment="1" applyProtection="1">
      <alignment horizontal="right" indent="1"/>
      <protection hidden="1"/>
    </xf>
    <xf numFmtId="179" fontId="17" fillId="4" borderId="14" xfId="0" applyNumberFormat="1" applyFont="1" applyFill="1" applyBorder="1" applyAlignment="1" applyProtection="1">
      <alignment horizontal="right" indent="1"/>
      <protection hidden="1"/>
    </xf>
    <xf numFmtId="179" fontId="22" fillId="4" borderId="14" xfId="0" applyNumberFormat="1" applyFont="1" applyFill="1" applyBorder="1" applyAlignment="1" applyProtection="1">
      <alignment horizontal="right" indent="1"/>
      <protection hidden="1"/>
    </xf>
    <xf numFmtId="179" fontId="23" fillId="4" borderId="13" xfId="0" applyNumberFormat="1" applyFont="1" applyFill="1" applyBorder="1" applyAlignment="1" applyProtection="1">
      <alignment horizontal="right" indent="1"/>
      <protection hidden="1"/>
    </xf>
    <xf numFmtId="0" fontId="8" fillId="2" borderId="11" xfId="0" applyFont="1" applyFill="1" applyBorder="1" applyAlignment="1" applyProtection="1">
      <alignment horizontal="center"/>
      <protection hidden="1"/>
    </xf>
    <xf numFmtId="181" fontId="2" fillId="4" borderId="3" xfId="0" applyNumberFormat="1" applyFont="1" applyFill="1" applyBorder="1" applyAlignment="1" applyProtection="1">
      <alignment horizontal="right" indent="1"/>
      <protection hidden="1"/>
    </xf>
    <xf numFmtId="181" fontId="15" fillId="4" borderId="12" xfId="0" applyNumberFormat="1" applyFont="1" applyFill="1" applyBorder="1" applyAlignment="1" applyProtection="1">
      <alignment horizontal="right" indent="1"/>
      <protection hidden="1"/>
    </xf>
    <xf numFmtId="181" fontId="16" fillId="4" borderId="14" xfId="0" applyNumberFormat="1" applyFont="1" applyFill="1" applyBorder="1" applyAlignment="1" applyProtection="1">
      <alignment horizontal="right" indent="1"/>
      <protection hidden="1"/>
    </xf>
    <xf numFmtId="181" fontId="17" fillId="4" borderId="14" xfId="0" applyNumberFormat="1" applyFont="1" applyFill="1" applyBorder="1" applyAlignment="1" applyProtection="1">
      <alignment horizontal="right" indent="1"/>
      <protection hidden="1"/>
    </xf>
    <xf numFmtId="181" fontId="22" fillId="4" borderId="14" xfId="0" applyNumberFormat="1" applyFont="1" applyFill="1" applyBorder="1" applyAlignment="1" applyProtection="1">
      <alignment horizontal="right" indent="1"/>
      <protection hidden="1"/>
    </xf>
    <xf numFmtId="181" fontId="23" fillId="4" borderId="13" xfId="0" applyNumberFormat="1" applyFont="1" applyFill="1" applyBorder="1" applyAlignment="1" applyProtection="1">
      <alignment horizontal="right" indent="1"/>
      <protection hidden="1"/>
    </xf>
    <xf numFmtId="181" fontId="29" fillId="2" borderId="0" xfId="0" applyNumberFormat="1" applyFont="1" applyFill="1" applyProtection="1">
      <protection hidden="1"/>
    </xf>
    <xf numFmtId="0" fontId="4" fillId="2" borderId="0" xfId="0" applyFont="1" applyFill="1" applyAlignment="1" applyProtection="1">
      <alignment horizontal="left"/>
      <protection hidden="1"/>
    </xf>
    <xf numFmtId="0" fontId="27" fillId="4" borderId="0" xfId="0" applyFont="1" applyFill="1" applyAlignment="1" applyProtection="1">
      <alignment horizontal="right"/>
      <protection hidden="1"/>
    </xf>
    <xf numFmtId="0" fontId="36" fillId="4" borderId="0" xfId="0" applyFont="1" applyFill="1" applyAlignment="1" applyProtection="1">
      <alignment horizontal="center" vertical="center"/>
      <protection hidden="1"/>
    </xf>
    <xf numFmtId="2" fontId="0" fillId="5" borderId="0" xfId="0" applyNumberFormat="1" applyFill="1" applyBorder="1" applyAlignment="1" applyProtection="1">
      <alignment horizontal="center"/>
      <protection locked="0"/>
    </xf>
    <xf numFmtId="0" fontId="0" fillId="0" borderId="0" xfId="0" applyAlignment="1" applyProtection="1">
      <alignment vertical="center"/>
      <protection locked="0"/>
    </xf>
    <xf numFmtId="0" fontId="0" fillId="4" borderId="0" xfId="0" applyFill="1" applyAlignment="1" applyProtection="1">
      <alignment horizontal="left" indent="1"/>
      <protection hidden="1"/>
    </xf>
    <xf numFmtId="0" fontId="0" fillId="11" borderId="0" xfId="0" applyFill="1" applyProtection="1">
      <protection hidden="1"/>
    </xf>
    <xf numFmtId="0" fontId="0" fillId="2" borderId="0" xfId="0" applyFont="1" applyFill="1"/>
    <xf numFmtId="0" fontId="0" fillId="2" borderId="0" xfId="0" applyFill="1"/>
    <xf numFmtId="0" fontId="0" fillId="2" borderId="0" xfId="0" applyFont="1" applyFill="1" applyBorder="1" applyProtection="1">
      <protection hidden="1"/>
    </xf>
    <xf numFmtId="0" fontId="0" fillId="2" borderId="0" xfId="0" applyFont="1" applyFill="1" applyBorder="1" applyAlignment="1" applyProtection="1">
      <alignment horizontal="left" indent="1"/>
      <protection hidden="1"/>
    </xf>
    <xf numFmtId="0" fontId="4" fillId="2" borderId="0" xfId="0" applyFont="1" applyFill="1"/>
    <xf numFmtId="0" fontId="5" fillId="2" borderId="0" xfId="0" applyFont="1" applyFill="1"/>
    <xf numFmtId="0" fontId="3" fillId="2" borderId="0" xfId="0" applyFont="1" applyFill="1"/>
    <xf numFmtId="14" fontId="0" fillId="2" borderId="0" xfId="0" applyNumberFormat="1" applyFill="1" applyAlignment="1">
      <alignment horizontal="left"/>
    </xf>
    <xf numFmtId="0" fontId="29" fillId="2" borderId="0" xfId="0" applyFont="1" applyFill="1" applyBorder="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6">
    <dxf>
      <font>
        <color rgb="FFFF0000"/>
      </font>
    </dxf>
    <dxf>
      <font>
        <color rgb="FF9C0006"/>
      </font>
      <fill>
        <patternFill patternType="solid">
          <bgColor rgb="FFFFC7CE"/>
        </patternFill>
      </fill>
    </dxf>
    <dxf>
      <fill>
        <patternFill patternType="solid">
          <bgColor rgb="FFFF0000"/>
        </patternFill>
      </fill>
    </dxf>
    <dxf>
      <font>
        <b val="1"/>
        <i val="0"/>
        <color auto="1"/>
      </font>
      <fill>
        <patternFill patternType="solid">
          <bgColor rgb="FFFF0000"/>
        </patternFill>
      </fill>
    </dxf>
    <dxf>
      <font>
        <b val="1"/>
        <i val="0"/>
      </font>
      <fill>
        <patternFill patternType="solid">
          <bgColor rgb="FFFF0000"/>
        </patternFill>
      </fill>
    </dxf>
    <dxf>
      <font>
        <color rgb="FFFF0000"/>
      </font>
    </dxf>
  </dxfs>
  <tableStyles count="0" defaultTableStyle="TableStyleMedium2" defaultPivotStyle="PivotStyleLight16"/>
  <colors>
    <mruColors>
      <color rgb="000000FF"/>
      <color rgb="002B4D89"/>
      <color rgb="0070AD47"/>
      <color rgb="00C7D5ED"/>
      <color rgb="008EA9DB"/>
      <color rgb="008EA9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customXml" Target="../customXml/item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Calculations!$Y$15</c:f>
          <c:strCache>
            <c:ptCount val="1"/>
            <c:pt idx="0">
              <c:v>huashubei, Test source: illuminance = 1.0 klx</c:v>
            </c:pt>
          </c:strCache>
        </c:strRef>
      </c:tx>
      <c:layout/>
      <c:overlay val="0"/>
      <c:spPr>
        <a:noFill/>
        <a:ln>
          <a:noFill/>
        </a:ln>
        <a:effectLst/>
      </c:spPr>
    </c:title>
    <c:autoTitleDeleted val="0"/>
    <c:plotArea>
      <c:layout/>
      <c:scatterChart>
        <c:scatterStyle val="line"/>
        <c:varyColors val="0"/>
        <c:ser>
          <c:idx val="0"/>
          <c:order val="0"/>
          <c:tx>
            <c:strRef>
              <c:f>Calculations!$Y$20</c:f>
              <c:strCache>
                <c:ptCount val="1"/>
                <c:pt idx="0">
                  <c:v>Radiometric</c:v>
                </c:pt>
              </c:strCache>
            </c:strRef>
          </c:tx>
          <c:spPr>
            <a:ln w="19050" cap="rnd" cmpd="sng" algn="ctr">
              <a:solidFill>
                <a:schemeClr val="accent1"/>
              </a:solidFill>
              <a:prstDash val="solid"/>
              <a:round/>
            </a:ln>
            <a:effectLst/>
          </c:spPr>
          <c:marker>
            <c:symbol val="none"/>
          </c:marker>
          <c:dLbls>
            <c:delete val="1"/>
          </c:dLbls>
          <c:xVal>
            <c:numRef>
              <c:f>Calculations!$H$21:$H$421</c:f>
            </c:numRef>
          </c:xVal>
          <c:yVal>
            <c:numRef>
              <c:f>Calculations!$Y$21:$Y$421</c:f>
            </c:numRef>
          </c:yVal>
          <c:smooth val="0"/>
        </c:ser>
        <c:dLbls>
          <c:showLegendKey val="0"/>
          <c:showVal val="0"/>
          <c:showCatName val="0"/>
          <c:showSerName val="0"/>
          <c:showPercent val="0"/>
          <c:showBubbleSize val="0"/>
        </c:dLbls>
        <c:axId val="127999880"/>
        <c:axId val="128003016"/>
      </c:scatterChart>
      <c:valAx>
        <c:axId val="127999880"/>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8003016"/>
        <c:crosses val="autoZero"/>
        <c:crossBetween val="midCat"/>
      </c:valAx>
      <c:valAx>
        <c:axId val="128003016"/>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Calculations!$Y$18</c:f>
              <c:strCache>
                <c:ptCount val="1"/>
                <c:pt idx="0">
                  <c:v>mW.m-2.nm-1</c:v>
                </c:pt>
              </c:strCache>
            </c:strRef>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7999880"/>
        <c:crosses val="autoZero"/>
        <c:crossBetween val="midCat"/>
      </c:valAx>
      <c:spPr>
        <a:noFill/>
        <a:ln>
          <a:noFill/>
        </a:ln>
        <a:effectLst/>
      </c:spPr>
    </c:plotArea>
    <c:plotVisOnly val="1"/>
    <c:dispBlanksAs val="gap"/>
    <c:showDLblsOverMax val="0"/>
    <c:extLst>
      <c:ext uri="{0b15fc19-7d7d-44ad-8c2d-2c3a37ce22c3}">
        <chartProps xmlns="https://web.wps.cn/et/2018/main" chartId="{8fb5df83-1aa4-44a0-aa99-aca50d8c902e}"/>
      </c:ext>
    </c:extLst>
  </c:chart>
  <c:spPr>
    <a:solidFill>
      <a:schemeClr val="accent1">
        <a:lumMod val="20000"/>
        <a:lumOff val="80000"/>
      </a:schemeClr>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Calculations!$Y$16</c:f>
          <c:strCache>
            <c:ptCount val="1"/>
            <c:pt idx="0">
              <c:v>E, Reference source: illuminance = 1.0 klx</c:v>
            </c:pt>
          </c:strCache>
        </c:strRef>
      </c:tx>
      <c:layout/>
      <c:overlay val="0"/>
      <c:spPr>
        <a:noFill/>
        <a:ln>
          <a:noFill/>
        </a:ln>
        <a:effectLst/>
      </c:spPr>
    </c:title>
    <c:autoTitleDeleted val="0"/>
    <c:plotArea>
      <c:layout/>
      <c:scatterChart>
        <c:scatterStyle val="line"/>
        <c:varyColors val="0"/>
        <c:ser>
          <c:idx val="0"/>
          <c:order val="0"/>
          <c:tx>
            <c:strRef>
              <c:f>Calculations!$AY$20</c:f>
              <c:strCache>
                <c:ptCount val="1"/>
                <c:pt idx="0">
                  <c:v>Radiometric</c:v>
                </c:pt>
              </c:strCache>
            </c:strRef>
          </c:tx>
          <c:spPr>
            <a:ln w="19050" cap="rnd" cmpd="sng" algn="ctr">
              <a:solidFill>
                <a:schemeClr val="accent1"/>
              </a:solidFill>
              <a:prstDash val="solid"/>
              <a:round/>
            </a:ln>
            <a:effectLst/>
          </c:spPr>
          <c:marker>
            <c:symbol val="none"/>
          </c:marker>
          <c:dLbls>
            <c:delete val="1"/>
          </c:dLbls>
          <c:xVal>
            <c:numRef>
              <c:f>Calculations!$AH$21:$AH$421</c:f>
            </c:numRef>
          </c:xVal>
          <c:yVal>
            <c:numRef>
              <c:f>Calculations!$AY$21:$AY$421</c:f>
            </c:numRef>
          </c:yVal>
          <c:smooth val="0"/>
        </c:ser>
        <c:dLbls>
          <c:showLegendKey val="0"/>
          <c:showVal val="0"/>
          <c:showCatName val="0"/>
          <c:showSerName val="0"/>
          <c:showPercent val="0"/>
          <c:showBubbleSize val="0"/>
        </c:dLbls>
        <c:axId val="360458472"/>
        <c:axId val="360458864"/>
      </c:scatterChart>
      <c:valAx>
        <c:axId val="360458472"/>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8864"/>
        <c:crosses val="autoZero"/>
        <c:crossBetween val="midCat"/>
      </c:valAx>
      <c:valAx>
        <c:axId val="360458864"/>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Calculations!$AY$18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8472"/>
        <c:crosses val="autoZero"/>
        <c:crossBetween val="midCat"/>
      </c:valAx>
      <c:spPr>
        <a:noFill/>
        <a:ln>
          <a:noFill/>
        </a:ln>
        <a:effectLst/>
      </c:spPr>
    </c:plotArea>
    <c:plotVisOnly val="1"/>
    <c:dispBlanksAs val="gap"/>
    <c:showDLblsOverMax val="0"/>
    <c:extLst>
      <c:ext uri="{0b15fc19-7d7d-44ad-8c2d-2c3a37ce22c3}">
        <chartProps xmlns="https://web.wps.cn/et/2018/main" chartId="{4da485e9-3e0d-4cc1-a6dd-050f02b96cb5}"/>
      </c:ext>
    </c:extLst>
  </c:chart>
  <c:spPr>
    <a:solidFill>
      <a:schemeClr val="bg1"/>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Calculations!$AY$16</c:f>
          <c:strCache>
            <c:ptCount val="1"/>
            <c:pt idx="0">
              <c:v>IWCNP α-opic weighted spectra for E, Reference</c:v>
            </c:pt>
          </c:strCache>
        </c:strRef>
      </c:tx>
      <c:layout/>
      <c:overlay val="0"/>
      <c:spPr>
        <a:noFill/>
        <a:ln>
          <a:noFill/>
        </a:ln>
        <a:effectLst/>
      </c:spPr>
    </c:title>
    <c:autoTitleDeleted val="0"/>
    <c:plotArea>
      <c:layout/>
      <c:scatterChart>
        <c:scatterStyle val="line"/>
        <c:varyColors val="0"/>
        <c:ser>
          <c:idx val="0"/>
          <c:order val="0"/>
          <c:tx>
            <c:strRef>
              <c:f>Calculations!$AZ$20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Calculations!$AZ$21:$AZ$421</c:f>
            </c:numRef>
          </c:yVal>
          <c:smooth val="0"/>
        </c:ser>
        <c:ser>
          <c:idx val="1"/>
          <c:order val="1"/>
          <c:tx>
            <c:strRef>
              <c:f>Calculations!$BA$20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Calculations!$BA$21:$BA$421</c:f>
            </c:numRef>
          </c:yVal>
          <c:smooth val="0"/>
        </c:ser>
        <c:ser>
          <c:idx val="2"/>
          <c:order val="2"/>
          <c:tx>
            <c:strRef>
              <c:f>Calculations!$BB$20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Calculations!$BB$21:$BB$421</c:f>
            </c:numRef>
          </c:yVal>
          <c:smooth val="0"/>
        </c:ser>
        <c:ser>
          <c:idx val="3"/>
          <c:order val="3"/>
          <c:tx>
            <c:strRef>
              <c:f>Calculations!$BC$20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Calculations!$BC$21:$BC$421</c:f>
            </c:numRef>
          </c:yVal>
          <c:smooth val="0"/>
        </c:ser>
        <c:ser>
          <c:idx val="4"/>
          <c:order val="4"/>
          <c:tx>
            <c:strRef>
              <c:f>Calculations!$BD$20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Calculations!$BD$21:$BD$421</c:f>
            </c:numRef>
          </c:yVal>
          <c:smooth val="0"/>
        </c:ser>
        <c:dLbls>
          <c:showLegendKey val="0"/>
          <c:showVal val="0"/>
          <c:showCatName val="0"/>
          <c:showSerName val="0"/>
          <c:showPercent val="0"/>
          <c:showBubbleSize val="0"/>
        </c:dLbls>
        <c:axId val="360459648"/>
        <c:axId val="362371600"/>
      </c:scatterChart>
      <c:valAx>
        <c:axId val="360459648"/>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1600"/>
        <c:crosses val="autoZero"/>
        <c:crossBetween val="midCat"/>
      </c:valAx>
      <c:valAx>
        <c:axId val="362371600"/>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Calculations!$AY$18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9648"/>
        <c:crosses val="autoZero"/>
        <c:crossBetween val="midCat"/>
      </c:valAx>
      <c:spPr>
        <a:noFill/>
        <a:ln>
          <a:noFill/>
        </a:ln>
        <a:effectLst/>
      </c:spPr>
    </c:plotArea>
    <c:legend>
      <c:legendPos val="r"/>
      <c:layout>
        <c:manualLayout>
          <c:xMode val="edge"/>
          <c:yMode val="edge"/>
          <c:x val="0.800736001749781"/>
          <c:y val="0.291005395158939"/>
          <c:w val="0.12070388924975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e34507d4-daea-4d5f-ae8c-c68a97121d89}"/>
      </c:ext>
    </c:extLst>
  </c:chart>
  <c:spPr>
    <a:solidFill>
      <a:schemeClr val="bg1"/>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IWCNP α-opic action spectra</c:v>
            </c:pt>
          </c:strCache>
        </c:strRef>
      </c:tx>
      <c:layout/>
      <c:overlay val="0"/>
      <c:spPr>
        <a:noFill/>
        <a:ln>
          <a:noFill/>
        </a:ln>
        <a:effectLst/>
      </c:spPr>
    </c:title>
    <c:autoTitleDeleted val="0"/>
    <c:plotArea>
      <c:layout/>
      <c:scatterChart>
        <c:scatterStyle val="line"/>
        <c:varyColors val="0"/>
        <c:ser>
          <c:idx val="0"/>
          <c:order val="0"/>
          <c:tx>
            <c:strRef>
              <c:f>Calculations!$AN$20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Calculations!$AN$21:$AN$421</c:f>
            </c:numRef>
          </c:yVal>
          <c:smooth val="0"/>
        </c:ser>
        <c:ser>
          <c:idx val="1"/>
          <c:order val="1"/>
          <c:tx>
            <c:strRef>
              <c:f>Calculations!$AO$20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Calculations!$AO$21:$AO$421</c:f>
            </c:numRef>
          </c:yVal>
          <c:smooth val="0"/>
        </c:ser>
        <c:ser>
          <c:idx val="2"/>
          <c:order val="2"/>
          <c:tx>
            <c:strRef>
              <c:f>Calculations!$AP$20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Calculations!$AP$21:$AP$421</c:f>
            </c:numRef>
          </c:yVal>
          <c:smooth val="0"/>
        </c:ser>
        <c:ser>
          <c:idx val="3"/>
          <c:order val="3"/>
          <c:tx>
            <c:strRef>
              <c:f>Calculations!$AQ$20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Calculations!$AQ$21:$AQ$421</c:f>
            </c:numRef>
          </c:yVal>
          <c:smooth val="0"/>
        </c:ser>
        <c:ser>
          <c:idx val="4"/>
          <c:order val="4"/>
          <c:tx>
            <c:strRef>
              <c:f>Calculations!$AR$20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Calculations!$AR$21:$AR$421</c:f>
            </c:numRef>
          </c:yVal>
          <c:smooth val="0"/>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relative spectral sensitivity</a:t>
                </a:r>
                <a:endParaRPr lang="en-US"/>
              </a:p>
            </c:rich>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384"/>
        <c:crosses val="autoZero"/>
        <c:crossBetween val="midCat"/>
        <c:majorUnit val="0.2"/>
      </c:valAx>
      <c:spPr>
        <a:noFill/>
        <a:ln>
          <a:noFill/>
        </a:ln>
        <a:effectLst/>
      </c:spPr>
    </c:plotArea>
    <c:legend>
      <c:legendPos val="r"/>
      <c:layout>
        <c:manualLayout>
          <c:xMode val="edge"/>
          <c:yMode val="edge"/>
          <c:x val="0.800736001749781"/>
          <c:y val="0.291005395158938"/>
          <c:w val="0.12148622047244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887ed9a-c5b4-4ff8-b2a6-89ba1c5a1cca}"/>
      </c:ext>
    </c:extLst>
  </c:chart>
  <c: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Calculations!$AY$15</c:f>
          <c:strCache>
            <c:ptCount val="1"/>
            <c:pt idx="0">
              <c:v>IWCNP α-opic weighted spectra for huashubei, Test</c:v>
            </c:pt>
          </c:strCache>
        </c:strRef>
      </c:tx>
      <c:layout/>
      <c:overlay val="0"/>
      <c:spPr>
        <a:noFill/>
        <a:ln>
          <a:noFill/>
        </a:ln>
        <a:effectLst/>
      </c:spPr>
    </c:title>
    <c:autoTitleDeleted val="0"/>
    <c:plotArea>
      <c:layout/>
      <c:scatterChart>
        <c:scatterStyle val="line"/>
        <c:varyColors val="0"/>
        <c:ser>
          <c:idx val="0"/>
          <c:order val="0"/>
          <c:tx>
            <c:strRef>
              <c:f>Calculations!$Z$20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Calculations!$H$21:$H$421</c:f>
            </c:numRef>
          </c:xVal>
          <c:yVal>
            <c:numRef>
              <c:f>Calculations!$Z$21:$Z$421</c:f>
            </c:numRef>
          </c:yVal>
          <c:smooth val="0"/>
        </c:ser>
        <c:ser>
          <c:idx val="1"/>
          <c:order val="1"/>
          <c:tx>
            <c:strRef>
              <c:f>Calculations!$AA$20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Calculations!$H$21:$H$421</c:f>
            </c:numRef>
          </c:xVal>
          <c:yVal>
            <c:numRef>
              <c:f>Calculations!$AA$21:$AA$421</c:f>
            </c:numRef>
          </c:yVal>
          <c:smooth val="0"/>
        </c:ser>
        <c:ser>
          <c:idx val="2"/>
          <c:order val="2"/>
          <c:tx>
            <c:strRef>
              <c:f>Calculations!$AB$20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Calculations!$H$21:$H$421</c:f>
            </c:numRef>
          </c:xVal>
          <c:yVal>
            <c:numRef>
              <c:f>Calculations!$AB$21:$AB$421</c:f>
            </c:numRef>
          </c:yVal>
          <c:smooth val="0"/>
        </c:ser>
        <c:ser>
          <c:idx val="3"/>
          <c:order val="3"/>
          <c:tx>
            <c:strRef>
              <c:f>Calculations!$AC$20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Calculations!$H$21:$H$421</c:f>
            </c:numRef>
          </c:xVal>
          <c:yVal>
            <c:numRef>
              <c:f>Calculations!$AC$21:$AC$421</c:f>
            </c:numRef>
          </c:yVal>
          <c:smooth val="0"/>
        </c:ser>
        <c:ser>
          <c:idx val="4"/>
          <c:order val="4"/>
          <c:tx>
            <c:strRef>
              <c:f>Calculations!$AD$20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Calculations!$H$21:$H$421</c:f>
            </c:numRef>
          </c:xVal>
          <c:yVal>
            <c:numRef>
              <c:f>Calculations!$AD$21:$AD$421</c:f>
            </c:numRef>
          </c:yVal>
          <c:smooth val="0"/>
        </c:ser>
        <c:dLbls>
          <c:showLegendKey val="0"/>
          <c:showVal val="0"/>
          <c:showCatName val="0"/>
          <c:showSerName val="0"/>
          <c:showPercent val="0"/>
          <c:showBubbleSize val="0"/>
        </c:dLbls>
        <c:axId val="362373560"/>
        <c:axId val="362373952"/>
      </c:scatterChart>
      <c:valAx>
        <c:axId val="362373560"/>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3952"/>
        <c:crosses val="autoZero"/>
        <c:crossBetween val="midCat"/>
      </c:valAx>
      <c:valAx>
        <c:axId val="362373952"/>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3560"/>
        <c:crosses val="autoZero"/>
        <c:crossBetween val="midCat"/>
      </c:valAx>
      <c:spPr>
        <a:noFill/>
        <a:ln>
          <a:noFill/>
        </a:ln>
        <a:effectLst/>
      </c:spPr>
    </c:plotArea>
    <c:legend>
      <c:legendPos val="r"/>
      <c:layout>
        <c:manualLayout>
          <c:xMode val="edge"/>
          <c:yMode val="edge"/>
          <c:x val="0.797958223972003"/>
          <c:y val="0.286375765529309"/>
          <c:w val="0.12070388924975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1c1f3ab-690d-440a-8d48-d8eec6b77192}"/>
      </c:ext>
    </c:extLst>
  </c:chart>
  <c:spPr>
    <a:solidFill>
      <a:schemeClr val="accent1">
        <a:lumMod val="20000"/>
        <a:lumOff val="80000"/>
      </a:schemeClr>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IWCNP α-opic action spectra</c:v>
            </c:pt>
          </c:strCache>
        </c:strRef>
      </c:tx>
      <c:layout/>
      <c:overlay val="0"/>
      <c:spPr>
        <a:noFill/>
        <a:ln>
          <a:noFill/>
        </a:ln>
        <a:effectLst/>
      </c:spPr>
    </c:title>
    <c:autoTitleDeleted val="0"/>
    <c:plotArea>
      <c:layout/>
      <c:scatterChart>
        <c:scatterStyle val="line"/>
        <c:varyColors val="0"/>
        <c:ser>
          <c:idx val="0"/>
          <c:order val="0"/>
          <c:tx>
            <c:strRef>
              <c:f>Calculations!$AN$20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Calculations!$AN$21:$AN$421</c:f>
            </c:numRef>
          </c:yVal>
          <c:smooth val="0"/>
        </c:ser>
        <c:ser>
          <c:idx val="1"/>
          <c:order val="1"/>
          <c:tx>
            <c:strRef>
              <c:f>Calculations!$AO$20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Calculations!$AO$21:$AO$421</c:f>
            </c:numRef>
          </c:yVal>
          <c:smooth val="0"/>
        </c:ser>
        <c:ser>
          <c:idx val="2"/>
          <c:order val="2"/>
          <c:tx>
            <c:strRef>
              <c:f>Calculations!$AP$20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Calculations!$AP$21:$AP$421</c:f>
            </c:numRef>
          </c:yVal>
          <c:smooth val="0"/>
        </c:ser>
        <c:ser>
          <c:idx val="3"/>
          <c:order val="3"/>
          <c:tx>
            <c:strRef>
              <c:f>Calculations!$AQ$20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Calculations!$AQ$21:$AQ$421</c:f>
            </c:numRef>
          </c:yVal>
          <c:smooth val="0"/>
        </c:ser>
        <c:ser>
          <c:idx val="4"/>
          <c:order val="4"/>
          <c:tx>
            <c:strRef>
              <c:f>Calculations!$AR$20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Calculations!$AR$21:$AR$421</c:f>
            </c:numRef>
          </c:yVal>
          <c:smooth val="0"/>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relative spectral sensitivity</a:t>
                </a:r>
                <a:endParaRPr lang="en-US"/>
              </a:p>
            </c:rich>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384"/>
        <c:crosses val="autoZero"/>
        <c:crossBetween val="midCat"/>
        <c:majorUnit val="0.2"/>
      </c:valAx>
      <c:spPr>
        <a:noFill/>
        <a:ln>
          <a:noFill/>
        </a:ln>
        <a:effectLst/>
      </c:spPr>
    </c:plotArea>
    <c:legend>
      <c:legendPos val="r"/>
      <c:layout>
        <c:manualLayout>
          <c:xMode val="edge"/>
          <c:yMode val="edge"/>
          <c:x val="0.800736001749781"/>
          <c:y val="0.291005395158938"/>
          <c:w val="0.12148622047244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80417288-40c1-4316-970b-d4c57608f001}"/>
      </c:ext>
    </c:extLst>
  </c:chart>
  <c: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hyperlink" Target="mailto:ciecb@cie.co.at" TargetMode="External"/><Relationship Id="rId2" Type="http://schemas.openxmlformats.org/officeDocument/2006/relationships/hyperlink" Target="https://doi.org/10.25039/S026.2018.TB" TargetMode="External"/><Relationship Id="rId1" Type="http://schemas.openxmlformats.org/officeDocument/2006/relationships/hyperlink" Target="https://doi.org/10.25039/S026.2018" TargetMode="External"/></Relationships>
</file>

<file path=xl/drawings/_rels/drawing3.xml.rels><?xml version="1.0" encoding="UTF-8" standalone="yes"?>
<Relationships xmlns="http://schemas.openxmlformats.org/package/2006/relationships"><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xdr:colOff>
      <xdr:row>3</xdr:row>
      <xdr:rowOff>139700</xdr:rowOff>
    </xdr:from>
    <xdr:to>
      <xdr:col>7</xdr:col>
      <xdr:colOff>1038225</xdr:colOff>
      <xdr:row>9</xdr:row>
      <xdr:rowOff>11760</xdr:rowOff>
    </xdr:to>
    <xdr:sp>
      <xdr:nvSpPr>
        <xdr:cNvPr id="2" name="TextBox 1">
          <a:hlinkClick xmlns:r="http://schemas.openxmlformats.org/officeDocument/2006/relationships" r:id="rId1"/>
        </xdr:cNvPr>
        <xdr:cNvSpPr txBox="1"/>
      </xdr:nvSpPr>
      <xdr:spPr>
        <a:xfrm>
          <a:off x="391795" y="837565"/>
          <a:ext cx="7503795" cy="969010"/>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and User Guide were designed by the International Commission on Illumination (CIE) to enable calculations and conversions of quantities related to ipRGC-influenced responses to light (IIL responses, or non-visual effects of light), following the international standard </a:t>
          </a:r>
          <a:r>
            <a:rPr lang="en-GB" sz="1100" i="1">
              <a:solidFill>
                <a:schemeClr val="dk1"/>
              </a:solidFill>
              <a:effectLst/>
              <a:latin typeface="+mn-lt"/>
              <a:ea typeface="+mn-ea"/>
              <a:cs typeface="+mn-cs"/>
            </a:rPr>
            <a:t>CIE S 026:2018. System for Metrology of Optical Radiation for ipRGC-Influenced Responses to Light. CIE, Vienna</a:t>
          </a:r>
          <a:r>
            <a:rPr lang="en-GB" sz="1100">
              <a:solidFill>
                <a:schemeClr val="dk1"/>
              </a:solidFill>
              <a:effectLst/>
              <a:latin typeface="+mn-lt"/>
              <a:ea typeface="+mn-ea"/>
              <a:cs typeface="+mn-cs"/>
            </a:rPr>
            <a:t> (</a:t>
          </a:r>
          <a:r>
            <a:rPr lang="en-GB" sz="1100">
              <a:solidFill>
                <a:srgbClr val="0000FF"/>
              </a:solidFill>
              <a:effectLst/>
              <a:latin typeface="+mn-lt"/>
              <a:ea typeface="+mn-ea"/>
              <a:cs typeface="+mn-cs"/>
            </a:rPr>
            <a:t>DOI: 10.25039/S026.2018</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1</xdr:col>
      <xdr:colOff>0</xdr:colOff>
      <xdr:row>9</xdr:row>
      <xdr:rowOff>64676</xdr:rowOff>
    </xdr:from>
    <xdr:to>
      <xdr:col>7</xdr:col>
      <xdr:colOff>1038224</xdr:colOff>
      <xdr:row>14</xdr:row>
      <xdr:rowOff>88194</xdr:rowOff>
    </xdr:to>
    <xdr:sp>
      <xdr:nvSpPr>
        <xdr:cNvPr id="3" name="TextBox 2">
          <a:hlinkClick xmlns:r="http://schemas.openxmlformats.org/officeDocument/2006/relationships" r:id="rId2"/>
        </xdr:cNvPr>
        <xdr:cNvSpPr txBox="1"/>
      </xdr:nvSpPr>
      <xdr:spPr>
        <a:xfrm>
          <a:off x="391795" y="1859280"/>
          <a:ext cx="7503160" cy="93789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is a CIE publication </a:t>
          </a:r>
          <a:r>
            <a:rPr lang="de-DE" sz="1100">
              <a:solidFill>
                <a:schemeClr val="dk1"/>
              </a:solidFill>
              <a:effectLst/>
              <a:latin typeface="+mn-lt"/>
              <a:ea typeface="+mn-ea"/>
              <a:cs typeface="+mn-cs"/>
            </a:rPr>
            <a:t>(</a:t>
          </a:r>
          <a:r>
            <a:rPr lang="de-DE" sz="1100">
              <a:solidFill>
                <a:srgbClr val="0000FF"/>
              </a:solidFill>
              <a:effectLst/>
              <a:latin typeface="+mn-lt"/>
              <a:ea typeface="+mn-ea"/>
              <a:cs typeface="+mn-cs"/>
            </a:rPr>
            <a:t>DOI: 10.25039/S026.2018.TB</a:t>
          </a:r>
          <a:r>
            <a:rPr lang="de-DE" sz="1100">
              <a:solidFill>
                <a:schemeClr val="dk1"/>
              </a:solidFill>
              <a:effectLst/>
              <a:latin typeface="+mn-lt"/>
              <a:ea typeface="+mn-ea"/>
              <a:cs typeface="+mn-cs"/>
            </a:rPr>
            <a:t>)</a:t>
          </a:r>
          <a:r>
            <a:rPr lang="en-GB" sz="1100">
              <a:solidFill>
                <a:schemeClr val="dk1"/>
              </a:solidFill>
              <a:effectLst/>
              <a:latin typeface="+mn-lt"/>
              <a:ea typeface="+mn-ea"/>
              <a:cs typeface="+mn-cs"/>
            </a:rPr>
            <a:t> under the Division</a:t>
          </a:r>
          <a:r>
            <a:rPr lang="en-GB" sz="1100" baseline="0">
              <a:solidFill>
                <a:schemeClr val="dk1"/>
              </a:solidFill>
              <a:effectLst/>
              <a:latin typeface="+mn-lt"/>
              <a:ea typeface="+mn-ea"/>
              <a:cs typeface="+mn-cs"/>
            </a:rPr>
            <a:t> 6 reportership DR 6-45 </a:t>
          </a:r>
          <a:r>
            <a:rPr lang="en-GB" sz="1100" i="1" baseline="0">
              <a:solidFill>
                <a:schemeClr val="dk1"/>
              </a:solidFill>
              <a:effectLst/>
              <a:latin typeface="+mn-lt"/>
              <a:ea typeface="+mn-ea"/>
              <a:cs typeface="+mn-cs"/>
            </a:rPr>
            <a:t>Publication and maintenance of the CIE S 026 Toolbox.</a:t>
          </a:r>
          <a:r>
            <a:rPr lang="en-GB" sz="1100" baseline="0">
              <a:solidFill>
                <a:schemeClr val="dk1"/>
              </a:solidFill>
              <a:effectLst/>
              <a:latin typeface="+mn-lt"/>
              <a:ea typeface="+mn-ea"/>
              <a:cs typeface="+mn-cs"/>
            </a:rPr>
            <a:t> T</a:t>
          </a:r>
          <a:r>
            <a:rPr lang="en-GB" sz="1100">
              <a:solidFill>
                <a:schemeClr val="dk1"/>
              </a:solidFill>
              <a:effectLst/>
              <a:latin typeface="+mn-lt"/>
              <a:ea typeface="+mn-ea"/>
              <a:cs typeface="+mn-cs"/>
            </a:rPr>
            <a: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supports the usage of CIE S 026, but is not part of the official international standard. The Toolbox was designed with feedback from </a:t>
          </a:r>
          <a:r>
            <a:rPr lang="en-GB" sz="1100" i="0">
              <a:solidFill>
                <a:schemeClr val="dk1"/>
              </a:solidFill>
              <a:effectLst/>
              <a:latin typeface="+mn-lt"/>
              <a:ea typeface="+mn-ea"/>
              <a:cs typeface="+mn-cs"/>
            </a:rPr>
            <a:t>experts including </a:t>
          </a:r>
          <a:r>
            <a:rPr lang="en-GB" sz="1100">
              <a:solidFill>
                <a:schemeClr val="dk1"/>
              </a:solidFill>
              <a:effectLst/>
              <a:latin typeface="+mn-lt"/>
              <a:ea typeface="+mn-ea"/>
              <a:cs typeface="+mn-cs"/>
            </a:rPr>
            <a:t>the participants of the </a:t>
          </a:r>
          <a:r>
            <a:rPr lang="en-GB" sz="1100" i="1">
              <a:solidFill>
                <a:schemeClr val="dk1"/>
              </a:solidFill>
              <a:effectLst/>
              <a:latin typeface="+mn-lt"/>
              <a:ea typeface="+mn-ea"/>
              <a:cs typeface="+mn-cs"/>
            </a:rPr>
            <a:t>Tutorial on CIE S 026. Use and application of the new metrology for ipRGC-influenced responses to light, 14-15 March 2019, Eindhoven</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0</xdr:col>
      <xdr:colOff>393935</xdr:colOff>
      <xdr:row>14</xdr:row>
      <xdr:rowOff>152869</xdr:rowOff>
    </xdr:from>
    <xdr:to>
      <xdr:col>7</xdr:col>
      <xdr:colOff>1032344</xdr:colOff>
      <xdr:row>19</xdr:row>
      <xdr:rowOff>5878</xdr:rowOff>
    </xdr:to>
    <xdr:sp>
      <xdr:nvSpPr>
        <xdr:cNvPr id="4" name="TextBox 3">
          <a:hlinkClick xmlns:r="http://schemas.openxmlformats.org/officeDocument/2006/relationships" r:id="rId3"/>
        </xdr:cNvPr>
        <xdr:cNvSpPr txBox="1"/>
      </xdr:nvSpPr>
      <xdr:spPr>
        <a:xfrm>
          <a:off x="391795" y="2861945"/>
          <a:ext cx="7497445" cy="76771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b="1">
              <a:solidFill>
                <a:schemeClr val="dk1"/>
              </a:solidFill>
              <a:effectLst/>
              <a:latin typeface="+mn-lt"/>
              <a:ea typeface="+mn-ea"/>
              <a:cs typeface="+mn-cs"/>
            </a:rPr>
            <a:t>No liability is taken by CIE for any potential errors due to calculations with the </a:t>
          </a:r>
          <a:r>
            <a:rPr lang="en-GB" sz="1100" b="1">
              <a:solidFill>
                <a:schemeClr val="dk1"/>
              </a:solidFill>
              <a:effectLst/>
              <a:latin typeface="+mn-lt"/>
              <a:ea typeface="+mn-ea"/>
              <a:cs typeface="+mn-cs"/>
              <a:sym typeface="Symbol" panose="05050102010706020507" pitchFamily="18" charset="2"/>
            </a:rPr>
            <a:t></a:t>
          </a:r>
          <a:r>
            <a:rPr lang="en-GB" sz="1100" b="1">
              <a:solidFill>
                <a:schemeClr val="dk1"/>
              </a:solidFill>
              <a:effectLst/>
              <a:latin typeface="+mn-lt"/>
              <a:ea typeface="+mn-ea"/>
              <a:cs typeface="+mn-cs"/>
            </a:rPr>
            <a:t>-opic Toolbox. It is recommended that users check the results against manual calculations.</a:t>
          </a:r>
          <a:r>
            <a:rPr lang="en-GB" sz="1100">
              <a:solidFill>
                <a:schemeClr val="dk1"/>
              </a:solidFill>
              <a:effectLst/>
              <a:latin typeface="+mn-lt"/>
              <a:ea typeface="+mn-ea"/>
              <a:cs typeface="+mn-cs"/>
            </a:rPr>
            <a:t> Considered feedback is welcome and should be sent to the reporter via</a:t>
          </a:r>
          <a:r>
            <a:rPr lang="en-GB" sz="1100">
              <a:solidFill>
                <a:srgbClr val="0000FF"/>
              </a:solidFill>
              <a:effectLst/>
              <a:latin typeface="+mn-lt"/>
              <a:ea typeface="+mn-ea"/>
              <a:cs typeface="+mn-cs"/>
            </a:rPr>
            <a:t> ciecb@cie.co.at</a:t>
          </a:r>
          <a:r>
            <a:rPr lang="en-GB" sz="1100">
              <a:solidFill>
                <a:schemeClr val="dk1"/>
              </a:solidFill>
              <a:effectLst/>
              <a:latin typeface="+mn-lt"/>
              <a:ea typeface="+mn-ea"/>
              <a:cs typeface="+mn-cs"/>
            </a:rPr>
            <a:t> who will aim to answer any questions as quickly as possible.</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endParaRPr lang="en-GB" sz="4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4</xdr:col>
      <xdr:colOff>952500</xdr:colOff>
      <xdr:row>9</xdr:row>
      <xdr:rowOff>165100</xdr:rowOff>
    </xdr:from>
    <xdr:ext cx="1625600" cy="264560"/>
    <xdr:sp>
      <xdr:nvSpPr>
        <xdr:cNvPr id="2" name="TextBox 1"/>
        <xdr:cNvSpPr txBox="1"/>
      </xdr:nvSpPr>
      <xdr:spPr>
        <a:xfrm>
          <a:off x="5194300" y="2005965"/>
          <a:ext cx="162560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 where </a:t>
          </a:r>
          <a:r>
            <a:rPr lang="en-GB" sz="1100" i="1"/>
            <a:t>K</a:t>
          </a:r>
          <a:r>
            <a:rPr lang="en-GB" sz="1100" baseline="-25000"/>
            <a:t>m</a:t>
          </a:r>
          <a:r>
            <a:rPr lang="en-GB" sz="1100" i="1"/>
            <a:t> ≈ 683 lm.W</a:t>
          </a:r>
          <a:r>
            <a:rPr lang="en-GB" sz="1100" i="1" baseline="30000"/>
            <a:t>-1</a:t>
          </a:r>
          <a:endParaRPr lang="en-GB" sz="1100" i="1" baseline="30000"/>
        </a:p>
      </xdr:txBody>
    </xdr:sp>
    <xdr:clientData/>
  </xdr:oneCellAnchor>
  <xdr:oneCellAnchor>
    <xdr:from>
      <xdr:col>3</xdr:col>
      <xdr:colOff>247650</xdr:colOff>
      <xdr:row>9</xdr:row>
      <xdr:rowOff>158750</xdr:rowOff>
    </xdr:from>
    <xdr:ext cx="2051050" cy="264560"/>
    <xdr:sp>
      <xdr:nvSpPr>
        <xdr:cNvPr id="3" name="TextBox 2"/>
        <xdr:cNvSpPr txBox="1"/>
      </xdr:nvSpPr>
      <xdr:spPr>
        <a:xfrm>
          <a:off x="3206115" y="1999615"/>
          <a:ext cx="20510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5</xdr:row>
      <xdr:rowOff>0</xdr:rowOff>
    </xdr:from>
    <xdr:to>
      <xdr:col>5</xdr:col>
      <xdr:colOff>381000</xdr:colOff>
      <xdr:row>19</xdr:row>
      <xdr:rowOff>76200</xdr:rowOff>
    </xdr:to>
    <xdr:graphicFrame>
      <xdr:nvGraphicFramePr>
        <xdr:cNvPr id="25" name="Chart 24"/>
        <xdr:cNvGraphicFramePr/>
      </xdr:nvGraphicFramePr>
      <xdr:xfrm>
        <a:off x="391795" y="1063625"/>
        <a:ext cx="4691380" cy="2636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20</xdr:row>
      <xdr:rowOff>9525</xdr:rowOff>
    </xdr:from>
    <xdr:to>
      <xdr:col>5</xdr:col>
      <xdr:colOff>381000</xdr:colOff>
      <xdr:row>34</xdr:row>
      <xdr:rowOff>85725</xdr:rowOff>
    </xdr:to>
    <xdr:graphicFrame>
      <xdr:nvGraphicFramePr>
        <xdr:cNvPr id="26" name="Chart 25"/>
        <xdr:cNvGraphicFramePr/>
      </xdr:nvGraphicFramePr>
      <xdr:xfrm>
        <a:off x="391795" y="3816350"/>
        <a:ext cx="4691380" cy="2636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20</xdr:row>
      <xdr:rowOff>19050</xdr:rowOff>
    </xdr:from>
    <xdr:to>
      <xdr:col>14</xdr:col>
      <xdr:colOff>400050</xdr:colOff>
      <xdr:row>34</xdr:row>
      <xdr:rowOff>95250</xdr:rowOff>
    </xdr:to>
    <xdr:graphicFrame>
      <xdr:nvGraphicFramePr>
        <xdr:cNvPr id="27" name="Chart 26"/>
        <xdr:cNvGraphicFramePr/>
      </xdr:nvGraphicFramePr>
      <xdr:xfrm>
        <a:off x="10166350" y="3825875"/>
        <a:ext cx="4691380" cy="26365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552450</xdr:colOff>
      <xdr:row>5</xdr:row>
      <xdr:rowOff>9525</xdr:rowOff>
    </xdr:from>
    <xdr:to>
      <xdr:col>9</xdr:col>
      <xdr:colOff>923925</xdr:colOff>
      <xdr:row>19</xdr:row>
      <xdr:rowOff>85725</xdr:rowOff>
    </xdr:to>
    <xdr:graphicFrame>
      <xdr:nvGraphicFramePr>
        <xdr:cNvPr id="28" name="Chart 27"/>
        <xdr:cNvGraphicFramePr/>
      </xdr:nvGraphicFramePr>
      <xdr:xfrm>
        <a:off x="5254625" y="1073150"/>
        <a:ext cx="4691380" cy="26365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57150</xdr:colOff>
      <xdr:row>5</xdr:row>
      <xdr:rowOff>0</xdr:rowOff>
    </xdr:from>
    <xdr:to>
      <xdr:col>14</xdr:col>
      <xdr:colOff>400050</xdr:colOff>
      <xdr:row>19</xdr:row>
      <xdr:rowOff>76200</xdr:rowOff>
    </xdr:to>
    <xdr:graphicFrame>
      <xdr:nvGraphicFramePr>
        <xdr:cNvPr id="29" name="Chart 28"/>
        <xdr:cNvGraphicFramePr/>
      </xdr:nvGraphicFramePr>
      <xdr:xfrm>
        <a:off x="10166350" y="1063625"/>
        <a:ext cx="4691380" cy="26365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152400</xdr:colOff>
      <xdr:row>9</xdr:row>
      <xdr:rowOff>57150</xdr:rowOff>
    </xdr:from>
    <xdr:to>
      <xdr:col>5</xdr:col>
      <xdr:colOff>666750</xdr:colOff>
      <xdr:row>13</xdr:row>
      <xdr:rowOff>161925</xdr:rowOff>
    </xdr:to>
    <xdr:sp>
      <xdr:nvSpPr>
        <xdr:cNvPr id="30" name="TextBox 29"/>
        <xdr:cNvSpPr txBox="1"/>
      </xdr:nvSpPr>
      <xdr:spPr>
        <a:xfrm>
          <a:off x="4854575" y="1852295"/>
          <a:ext cx="514350" cy="83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endParaRPr lang="en-GB" sz="6000" b="1"/>
        </a:p>
      </xdr:txBody>
    </xdr:sp>
    <xdr:clientData/>
  </xdr:twoCellAnchor>
  <xdr:twoCellAnchor>
    <xdr:from>
      <xdr:col>9</xdr:col>
      <xdr:colOff>742950</xdr:colOff>
      <xdr:row>9</xdr:row>
      <xdr:rowOff>85725</xdr:rowOff>
    </xdr:from>
    <xdr:to>
      <xdr:col>10</xdr:col>
      <xdr:colOff>200025</xdr:colOff>
      <xdr:row>13</xdr:row>
      <xdr:rowOff>104775</xdr:rowOff>
    </xdr:to>
    <xdr:sp>
      <xdr:nvSpPr>
        <xdr:cNvPr id="31" name="TextBox 30"/>
        <xdr:cNvSpPr txBox="1"/>
      </xdr:nvSpPr>
      <xdr:spPr>
        <a:xfrm>
          <a:off x="9765030" y="1880870"/>
          <a:ext cx="544195" cy="750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endParaRPr lang="en-GB" sz="6000" b="1"/>
        </a:p>
      </xdr:txBody>
    </xdr:sp>
    <xdr:clientData/>
  </xdr:twoCellAnchor>
  <xdr:twoCellAnchor>
    <xdr:from>
      <xdr:col>5</xdr:col>
      <xdr:colOff>552450</xdr:colOff>
      <xdr:row>20</xdr:row>
      <xdr:rowOff>19050</xdr:rowOff>
    </xdr:from>
    <xdr:to>
      <xdr:col>9</xdr:col>
      <xdr:colOff>923925</xdr:colOff>
      <xdr:row>34</xdr:row>
      <xdr:rowOff>95250</xdr:rowOff>
    </xdr:to>
    <xdr:graphicFrame>
      <xdr:nvGraphicFramePr>
        <xdr:cNvPr id="9" name="Chart 8"/>
        <xdr:cNvGraphicFramePr/>
      </xdr:nvGraphicFramePr>
      <xdr:xfrm>
        <a:off x="5254625" y="3825875"/>
        <a:ext cx="4691380" cy="26365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24</xdr:row>
      <xdr:rowOff>66675</xdr:rowOff>
    </xdr:from>
    <xdr:to>
      <xdr:col>5</xdr:col>
      <xdr:colOff>666750</xdr:colOff>
      <xdr:row>28</xdr:row>
      <xdr:rowOff>171450</xdr:rowOff>
    </xdr:to>
    <xdr:sp>
      <xdr:nvSpPr>
        <xdr:cNvPr id="10" name="TextBox 9"/>
        <xdr:cNvSpPr txBox="1"/>
      </xdr:nvSpPr>
      <xdr:spPr>
        <a:xfrm>
          <a:off x="4854575" y="4605020"/>
          <a:ext cx="514350" cy="83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endParaRPr lang="en-GB" sz="6000" b="1"/>
        </a:p>
      </xdr:txBody>
    </xdr:sp>
    <xdr:clientData/>
  </xdr:twoCellAnchor>
  <xdr:twoCellAnchor>
    <xdr:from>
      <xdr:col>9</xdr:col>
      <xdr:colOff>742950</xdr:colOff>
      <xdr:row>24</xdr:row>
      <xdr:rowOff>95250</xdr:rowOff>
    </xdr:from>
    <xdr:to>
      <xdr:col>10</xdr:col>
      <xdr:colOff>200025</xdr:colOff>
      <xdr:row>28</xdr:row>
      <xdr:rowOff>114300</xdr:rowOff>
    </xdr:to>
    <xdr:sp>
      <xdr:nvSpPr>
        <xdr:cNvPr id="11" name="TextBox 10"/>
        <xdr:cNvSpPr txBox="1"/>
      </xdr:nvSpPr>
      <xdr:spPr>
        <a:xfrm>
          <a:off x="9765030" y="4633595"/>
          <a:ext cx="544195" cy="750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endParaRPr lang="en-GB" sz="6000" b="1"/>
        </a:p>
      </xdr:txBody>
    </xdr:sp>
    <xdr:clientData/>
  </xdr:twoCellAnchor>
</xdr:wsDr>
</file>

<file path=xl/drawings/drawing4.xml><?xml version="1.0" encoding="utf-8"?>
<c:userShapes xmlns:c="http://schemas.openxmlformats.org/drawingml/2006/chart">
  <cdr:relSizeAnchor xmlns:cdr="http://schemas.openxmlformats.org/drawingml/2006/chartDrawing">
    <cdr:from>
      <cdr:x>0.79375</cdr:x>
      <cdr:y>0.01736</cdr:y>
    </cdr:from>
    <cdr:to>
      <cdr:x>0.93958</cdr:x>
      <cdr:y>0.14236</cdr:y>
    </cdr:to>
    <cdr:sp>
      <cdr:nvSpPr>
        <cdr:cNvPr id="2" name="矩形 1"/>
        <cdr:cNvSpPr/>
      </cdr:nvSpPr>
      <cdr:spPr xmlns:a="http://schemas.openxmlformats.org/drawingml/2006/main">
        <a:xfrm xmlns:a="http://schemas.openxmlformats.org/drawingml/2006/main">
          <a:off x="3629025" y="47625"/>
          <a:ext cx="666750" cy="342900"/>
        </a:xfrm>
        <a:prstGeom xmlns:a="http://schemas.openxmlformats.org/drawingml/2006/main" prst="rect">
          <a:avLst/>
        </a:prstGeom>
      </cdr:spPr>
      <cdr:txBody xmlns:a="http://schemas.openxmlformats.org/drawingml/2006/main">
        <a:bodyPr vertOverflow="clip" wrap="square" rtlCol="0"/>
        <a:lstStyle/>
        <a:p>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0.79375</cdr:x>
      <cdr:y>0.01736</cdr:y>
    </cdr:from>
    <cdr:to>
      <cdr:x>0.93958</cdr:x>
      <cdr:y>0.14236</cdr:y>
    </cdr:to>
    <cdr:sp>
      <cdr:nvSpPr>
        <cdr:cNvPr id="2" name="矩形 1"/>
        <cdr:cNvSpPr/>
      </cdr:nvSpPr>
      <cdr:spPr xmlns:a="http://schemas.openxmlformats.org/drawingml/2006/main">
        <a:xfrm xmlns:a="http://schemas.openxmlformats.org/drawingml/2006/main">
          <a:off x="3629025" y="47625"/>
          <a:ext cx="666750" cy="342900"/>
        </a:xfrm>
        <a:prstGeom xmlns:a="http://schemas.openxmlformats.org/drawingml/2006/main" prst="rect">
          <a:avLst/>
        </a:prstGeom>
      </cdr:spPr>
      <cdr:txBody xmlns:a="http://schemas.openxmlformats.org/drawingml/2006/main">
        <a:bodyPr vertOverflow="clip" wrap="square" rtlCol="0"/>
        <a:lstStyle/>
        <a:p>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xdr:col>
      <xdr:colOff>1</xdr:colOff>
      <xdr:row>3</xdr:row>
      <xdr:rowOff>190499</xdr:rowOff>
    </xdr:from>
    <xdr:to>
      <xdr:col>7</xdr:col>
      <xdr:colOff>1038225</xdr:colOff>
      <xdr:row>27</xdr:row>
      <xdr:rowOff>66674</xdr:rowOff>
    </xdr:to>
    <xdr:sp>
      <xdr:nvSpPr>
        <xdr:cNvPr id="2" name="TextBox 1"/>
        <xdr:cNvSpPr txBox="1"/>
      </xdr:nvSpPr>
      <xdr:spPr>
        <a:xfrm>
          <a:off x="391795" y="880745"/>
          <a:ext cx="7503795" cy="4272280"/>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List of quantities, abbreviations and symbols</a:t>
          </a:r>
          <a:endParaRPr lang="en-GB" sz="1100" b="1"/>
        </a:p>
        <a:p>
          <a:endParaRPr lang="en-GB" sz="400" b="0"/>
        </a:p>
        <a:p>
          <a:pPr eaLnBrk="1" fontAlgn="auto" latinLnBrk="0" hangingPunct="1"/>
          <a:r>
            <a:rPr lang="en-GB" sz="1100" b="1" i="1">
              <a:solidFill>
                <a:schemeClr val="dk1"/>
              </a:solidFill>
              <a:effectLst/>
              <a:latin typeface="+mn-lt"/>
              <a:ea typeface="+mn-ea"/>
              <a:cs typeface="+mn-cs"/>
            </a:rPr>
            <a:t>Previously published (CIE DIS 017:2016; CIE 018:2019)</a:t>
          </a:r>
          <a:endParaRPr lang="en-GB" sz="1100" b="1" i="1">
            <a:solidFill>
              <a:schemeClr val="dk1"/>
            </a:solidFill>
            <a:effectLst/>
            <a:latin typeface="+mn-lt"/>
            <a:ea typeface="+mn-ea"/>
            <a:cs typeface="+mn-cs"/>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illuminance;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luminance </a:t>
          </a:r>
          <a:endParaRPr lang="en-GB">
            <a:effectLst/>
          </a:endParaRPr>
        </a:p>
        <a:p>
          <a:pPr eaLnBrk="1" fontAlgn="auto" latinLnBrk="0" hangingPunct="1"/>
          <a:r>
            <a:rPr lang="en-GB" sz="1100" i="1">
              <a:solidFill>
                <a:schemeClr val="dk1"/>
              </a:solidFill>
              <a:effectLst/>
              <a:latin typeface="+mn-lt"/>
              <a:ea typeface="+mn-ea"/>
              <a:cs typeface="+mn-cs"/>
            </a:rPr>
            <a:t>E</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endParaRPr lang="en-GB" sz="400" b="0" i="1"/>
        </a:p>
        <a:p>
          <a:pPr marL="0" marR="0" lvl="0" indent="0" defTabSz="914400" eaLnBrk="1" fontAlgn="auto" latinLnBrk="0" hangingPunct="1">
            <a:lnSpc>
              <a:spcPct val="100000"/>
            </a:lnSpc>
            <a:spcBef>
              <a:spcPts val="0"/>
            </a:spcBef>
            <a:spcAft>
              <a:spcPts val="0"/>
            </a:spcAft>
            <a:buClrTx/>
            <a:buSzTx/>
            <a:buFontTx/>
            <a:buNone/>
            <a:defRPr/>
          </a:pPr>
          <a:r>
            <a:rPr lang="en-GB" sz="1100" b="1" i="1">
              <a:solidFill>
                <a:schemeClr val="dk1"/>
              </a:solidFill>
              <a:effectLst/>
              <a:latin typeface="+mn-lt"/>
              <a:ea typeface="+mn-ea"/>
              <a:cs typeface="+mn-cs"/>
            </a:rPr>
            <a:t>From CIE S 026:2018</a:t>
          </a:r>
          <a:endParaRPr lang="en-GB" sz="800">
            <a:effectLst/>
          </a:endParaRPr>
        </a:p>
        <a:p>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-opic (</a:t>
          </a:r>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 </a:t>
          </a:r>
          <a:r>
            <a:rPr lang="en-GB" sz="1100" b="0" i="0"/>
            <a:t>may represent any one of S-cone-opic (sc), M-cone-opic (mc), L-cone-opic (lc), rhodopic (rh) and melanopic (mel)</a:t>
          </a:r>
          <a:endParaRPr lang="en-GB" sz="1100" b="0" i="0"/>
        </a:p>
        <a:p>
          <a:r>
            <a:rPr lang="en-GB" sz="1100" b="0" i="1"/>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Times New Roman" panose="02020603050405020304" pitchFamily="18" charset="0"/>
              <a:ea typeface="+mn-ea"/>
              <a:cs typeface="Times New Roman" panose="02020603050405020304" pitchFamily="18" charset="0"/>
            </a:rPr>
            <a:t>λ</a:t>
          </a:r>
          <a:r>
            <a:rPr lang="en-GB" sz="1100">
              <a:solidFill>
                <a:schemeClr val="dk1"/>
              </a:solidFill>
              <a:effectLst/>
              <a:latin typeface="+mn-lt"/>
              <a:ea typeface="+mn-ea"/>
              <a:cs typeface="+mn-cs"/>
            </a:rPr>
            <a:t>) =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a:t>
          </a:r>
          <a:endParaRPr lang="en-GB" sz="1100">
            <a:solidFill>
              <a:schemeClr val="dk1"/>
            </a:solidFill>
            <a:effectLst/>
            <a:latin typeface="+mn-lt"/>
            <a:ea typeface="+mn-ea"/>
            <a:cs typeface="+mn-cs"/>
          </a:endParaRPr>
        </a:p>
        <a:p>
          <a:endParaRPr lang="en-GB" sz="400"/>
        </a:p>
        <a:p>
          <a:r>
            <a:rPr lang="en-GB" sz="1100" i="1">
              <a:solidFill>
                <a:schemeClr val="dk1"/>
              </a:solidFill>
              <a:effectLst/>
              <a:latin typeface="+mn-lt"/>
              <a:ea typeface="+mn-ea"/>
              <a:cs typeface="+mn-cs"/>
            </a:rPr>
            <a:t>K</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efficacy of luminous radiation,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ELR </a:t>
          </a:r>
          <a:endParaRPr lang="en-GB" sz="1100" b="1">
            <a:solidFill>
              <a:schemeClr val="dk1"/>
            </a:solidFill>
            <a:effectLst/>
            <a:latin typeface="+mn-lt"/>
            <a:ea typeface="+mn-ea"/>
            <a:cs typeface="+mn-cs"/>
          </a:endParaRPr>
        </a:p>
        <a:p>
          <a:r>
            <a:rPr lang="en-GB" sz="1100" b="0" i="1">
              <a:solidFill>
                <a:sysClr val="windowText" lastClr="000000"/>
              </a:solidFill>
              <a:effectLst/>
              <a:latin typeface="+mn-lt"/>
              <a:ea typeface="+mn-ea"/>
              <a:cs typeface="+mn-cs"/>
            </a:rPr>
            <a:t>K</a:t>
          </a:r>
          <a:r>
            <a:rPr lang="en-GB" sz="1100" b="0" baseline="30000">
              <a:solidFill>
                <a:sysClr val="windowText" lastClr="000000"/>
              </a:solidFill>
              <a:effectLst/>
              <a:latin typeface="+mn-lt"/>
              <a:ea typeface="+mn-ea"/>
              <a:cs typeface="+mn-cs"/>
            </a:rPr>
            <a:t>D65</a:t>
          </a:r>
          <a:r>
            <a:rPr lang="el-GR" sz="1100" b="0" baseline="-25000">
              <a:solidFill>
                <a:sysClr val="windowText" lastClr="000000"/>
              </a:solidFill>
              <a:effectLst/>
              <a:latin typeface="+mn-lt"/>
              <a:ea typeface="+mn-ea"/>
              <a:cs typeface="+mn-cs"/>
            </a:rPr>
            <a:t>α</a:t>
          </a:r>
          <a:r>
            <a:rPr lang="en-GB" sz="1100" b="0" baseline="-25000">
              <a:solidFill>
                <a:sysClr val="windowText" lastClr="000000"/>
              </a:solidFill>
              <a:effectLst/>
              <a:latin typeface="+mn-lt"/>
              <a:ea typeface="+mn-ea"/>
              <a:cs typeface="+mn-cs"/>
            </a:rPr>
            <a:t>,v </a:t>
          </a:r>
          <a:r>
            <a:rPr lang="en-GB" sz="1100" b="0">
              <a:solidFill>
                <a:sysClr val="windowText" lastClr="000000"/>
              </a:solidFill>
              <a:effectLst/>
              <a:latin typeface="+mn-lt"/>
              <a:ea typeface="+mn-ea"/>
              <a:cs typeface="+mn-cs"/>
            </a:rPr>
            <a:t> = </a:t>
          </a:r>
          <a:r>
            <a:rPr lang="el-GR" sz="1100" b="0">
              <a:solidFill>
                <a:sysClr val="windowText" lastClr="000000"/>
              </a:solidFill>
              <a:effectLst/>
              <a:latin typeface="+mn-lt"/>
              <a:ea typeface="+mn-ea"/>
              <a:cs typeface="+mn-cs"/>
            </a:rPr>
            <a:t>α</a:t>
          </a:r>
          <a:r>
            <a:rPr lang="en-GB" sz="1100" b="0">
              <a:solidFill>
                <a:sysClr val="windowText" lastClr="000000"/>
              </a:solidFill>
              <a:effectLst/>
              <a:latin typeface="+mn-lt"/>
              <a:ea typeface="+mn-ea"/>
              <a:cs typeface="+mn-cs"/>
            </a:rPr>
            <a:t>-opic ELR for</a:t>
          </a:r>
          <a:r>
            <a:rPr lang="en-GB" sz="1100" b="0" baseline="0">
              <a:solidFill>
                <a:sysClr val="windowText" lastClr="000000"/>
              </a:solidFill>
              <a:effectLst/>
              <a:latin typeface="+mn-lt"/>
              <a:ea typeface="+mn-ea"/>
              <a:cs typeface="+mn-cs"/>
            </a:rPr>
            <a:t> daylight (D65)</a:t>
          </a:r>
          <a:endParaRPr lang="en-GB" sz="1100" b="0" baseline="0">
            <a:solidFill>
              <a:sysClr val="windowText" lastClr="000000"/>
            </a:solidFill>
            <a:effectLst/>
            <a:latin typeface="+mn-lt"/>
            <a:ea typeface="+mn-ea"/>
            <a:cs typeface="+mn-cs"/>
          </a:endParaRPr>
        </a:p>
        <a:p>
          <a:pPr eaLnBrk="1" fontAlgn="auto" latinLnBrk="0" hangingPunct="1"/>
          <a:endParaRPr lang="en-GB" sz="400" i="1">
            <a:solidFill>
              <a:schemeClr val="dk1"/>
            </a:solidFill>
            <a:effectLst/>
            <a:latin typeface="+mn-lt"/>
            <a:ea typeface="+mn-ea"/>
            <a:cs typeface="+mn-cs"/>
          </a:endParaRPr>
        </a:p>
        <a:p>
          <a:pPr eaLnBrk="1" fontAlgn="auto" latinLnBrk="0" hangingPunct="1"/>
          <a:r>
            <a:rPr lang="el-GR" sz="1100" i="1">
              <a:solidFill>
                <a:schemeClr val="dk1"/>
              </a:solidFill>
              <a:effectLst/>
              <a:latin typeface="+mn-lt"/>
              <a:ea typeface="+mn-ea"/>
              <a:cs typeface="+mn-cs"/>
            </a:rPr>
            <a:t>γ</a:t>
          </a:r>
          <a:r>
            <a:rPr lang="en-GB" sz="1100" baseline="30000">
              <a:solidFill>
                <a:schemeClr val="dk1"/>
              </a:solidFill>
              <a:effectLst/>
              <a:latin typeface="+mn-lt"/>
              <a:ea typeface="+mn-ea"/>
              <a:cs typeface="+mn-cs"/>
            </a:rPr>
            <a:t>D65</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i="0">
              <a:solidFill>
                <a:schemeClr val="dk1"/>
              </a:solidFill>
              <a:effectLst/>
              <a:latin typeface="+mn-lt"/>
              <a:ea typeface="+mn-ea"/>
              <a:cs typeface="+mn-cs"/>
            </a:rPr>
            <a:t>α</a:t>
          </a:r>
          <a:r>
            <a:rPr lang="en-GB" sz="1100" i="0">
              <a:solidFill>
                <a:schemeClr val="dk1"/>
              </a:solidFill>
              <a:effectLst/>
              <a:latin typeface="+mn-lt"/>
              <a:ea typeface="+mn-ea"/>
              <a:cs typeface="+mn-cs"/>
            </a:rPr>
            <a:t>-opic daylight (D65) efficacy ratio</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DER </a:t>
          </a:r>
          <a:endParaRPr lang="en-GB" b="0">
            <a:effectLst/>
          </a:endParaRPr>
        </a:p>
        <a:p>
          <a:endParaRPr lang="en-GB" sz="400" i="1"/>
        </a:p>
        <a:p>
          <a:r>
            <a:rPr lang="en-GB" sz="1100" i="1"/>
            <a:t>E</a:t>
          </a:r>
          <a:r>
            <a:rPr lang="el-GR" sz="1100" baseline="-25000">
              <a:latin typeface="Times New Roman" panose="02020603050405020304" pitchFamily="18" charset="0"/>
              <a:cs typeface="Times New Roman" panose="02020603050405020304" pitchFamily="18" charset="0"/>
            </a:rPr>
            <a:t>α</a:t>
          </a:r>
          <a:r>
            <a:rPr lang="en-GB" sz="1100">
              <a:latin typeface="Times New Roman" panose="02020603050405020304" pitchFamily="18" charset="0"/>
              <a:cs typeface="Times New Roman" panose="02020603050405020304" pitchFamily="18" charset="0"/>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E</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illuminance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EDI </a:t>
          </a:r>
          <a:endParaRPr lang="en-GB" b="0">
            <a:effectLst/>
          </a:endParaRPr>
        </a:p>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EDL </a:t>
          </a:r>
          <a:endParaRPr lang="en-GB"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b="1" i="1">
              <a:solidFill>
                <a:schemeClr val="dk1"/>
              </a:solidFill>
              <a:effectLst/>
              <a:latin typeface="+mn-lt"/>
              <a:ea typeface="+mn-ea"/>
              <a:cs typeface="+mn-cs"/>
            </a:rPr>
            <a:t>From CIE S 026:2018 and 9th edition of SI Brochure</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in the photon system (renormalised</a:t>
          </a:r>
          <a:r>
            <a:rPr lang="en-GB" sz="1100" baseline="0">
              <a:solidFill>
                <a:schemeClr val="dk1"/>
              </a:solidFill>
              <a:effectLst/>
              <a:latin typeface="+mn-lt"/>
              <a:ea typeface="+mn-ea"/>
              <a:cs typeface="+mn-cs"/>
            </a:rPr>
            <a:t> to maximum of 1)</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solidFill>
              <a:schemeClr val="dk1"/>
            </a:solidFill>
            <a:effectLst/>
            <a:latin typeface="+mn-lt"/>
            <a:ea typeface="+mn-ea"/>
            <a:cs typeface="+mn-cs"/>
          </a:endParaRPr>
        </a:p>
        <a:p>
          <a:pPr eaLnBrk="1" fontAlgn="auto" latinLnBrk="0" hangingPunct="1"/>
          <a:endParaRPr lang="en-GB" sz="400">
            <a:effectLst/>
          </a:endParaRPr>
        </a:p>
        <a:p>
          <a:pPr eaLnBrk="1" fontAlgn="auto" latinLnBrk="0" hangingPunct="1"/>
          <a:r>
            <a:rPr lang="en-GB" sz="1100">
              <a:solidFill>
                <a:schemeClr val="dk1"/>
              </a:solidFill>
              <a:effectLst/>
              <a:latin typeface="+mn-lt"/>
              <a:ea typeface="+mn-ea"/>
              <a:cs typeface="+mn-cs"/>
            </a:rPr>
            <a:t>Further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a:t>
          </a:r>
          <a:r>
            <a:rPr lang="en-GB" sz="1100" baseline="0">
              <a:solidFill>
                <a:schemeClr val="dk1"/>
              </a:solidFill>
              <a:effectLst/>
              <a:latin typeface="+mn-lt"/>
              <a:ea typeface="+mn-ea"/>
              <a:cs typeface="+mn-cs"/>
            </a:rPr>
            <a:t>quantities and their symbols can be derived, </a:t>
          </a:r>
          <a:r>
            <a:rPr lang="en-GB" sz="1100" i="1" baseline="0">
              <a:solidFill>
                <a:schemeClr val="dk1"/>
              </a:solidFill>
              <a:effectLst/>
              <a:latin typeface="+mn-lt"/>
              <a:ea typeface="+mn-ea"/>
              <a:cs typeface="+mn-cs"/>
            </a:rPr>
            <a:t>e.g.</a:t>
          </a:r>
          <a:r>
            <a:rPr lang="en-GB" sz="1100" baseline="0">
              <a:solidFill>
                <a:schemeClr val="dk1"/>
              </a:solidFill>
              <a:effectLst/>
              <a:latin typeface="+mn-lt"/>
              <a:ea typeface="+mn-ea"/>
              <a:cs typeface="+mn-cs"/>
            </a:rPr>
            <a:t>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 daylight (D65) luminous flux, </a:t>
          </a:r>
          <a:r>
            <a:rPr lang="el-GR" sz="1100" i="1">
              <a:solidFill>
                <a:schemeClr val="dk1"/>
              </a:solidFill>
              <a:effectLst/>
              <a:latin typeface="Times New Roman" panose="02020603050405020304" pitchFamily="18" charset="0"/>
              <a:ea typeface="+mn-ea"/>
              <a:cs typeface="Times New Roman" panose="02020603050405020304" pitchFamily="18" charset="0"/>
            </a:rPr>
            <a:t>Φ</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baseline="0">
              <a:solidFill>
                <a:schemeClr val="dk1"/>
              </a:solidFill>
              <a:effectLst/>
              <a:latin typeface="+mn-lt"/>
              <a:ea typeface="+mn-ea"/>
              <a:cs typeface="+mn-cs"/>
            </a:rPr>
            <a:t>. However, any other abbreviations, e.g.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EDLF"</a:t>
          </a:r>
          <a:r>
            <a:rPr lang="en-GB" sz="1100" baseline="0">
              <a:solidFill>
                <a:schemeClr val="dk1"/>
              </a:solidFill>
              <a:effectLst/>
              <a:latin typeface="+mn-lt"/>
              <a:ea typeface="+mn-ea"/>
              <a:cs typeface="+mn-cs"/>
            </a:rPr>
            <a:t> may be ambiguous, and should be avoided.</a:t>
          </a:r>
          <a:endParaRPr lang="en-GB">
            <a:effectLst/>
          </a:endParaRPr>
        </a:p>
        <a:p>
          <a:pPr eaLnBrk="1" fontAlgn="auto" latinLnBrk="0" hangingPunct="1"/>
          <a:endParaRPr lang="en-GB" sz="4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Due to prior publications, the subscript order for ELR and DER differs from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quantities.</a:t>
          </a:r>
          <a:endParaRPr lang="en-GB">
            <a:effectLst/>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7</xdr:col>
      <xdr:colOff>247650</xdr:colOff>
      <xdr:row>13</xdr:row>
      <xdr:rowOff>152400</xdr:rowOff>
    </xdr:from>
    <xdr:ext cx="2051050" cy="264560"/>
    <xdr:sp>
      <xdr:nvSpPr>
        <xdr:cNvPr id="2" name="TextBox 1"/>
        <xdr:cNvSpPr txBox="1"/>
      </xdr:nvSpPr>
      <xdr:spPr>
        <a:xfrm>
          <a:off x="7105015" y="2755265"/>
          <a:ext cx="20510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theme="7" tint="-0.249977111117893"/>
    <pageSetUpPr fitToPage="1"/>
  </sheetPr>
  <dimension ref="A1:K427"/>
  <sheetViews>
    <sheetView workbookViewId="0">
      <selection activeCell="B3" sqref="B3"/>
    </sheetView>
  </sheetViews>
  <sheetFormatPr defaultColWidth="0" defaultRowHeight="14.4" zeroHeight="1"/>
  <cols>
    <col min="1" max="1" width="5.71296296296296" style="309" customWidth="1"/>
    <col min="2" max="5" width="15.712962962963" style="309" customWidth="1"/>
    <col min="6" max="6" width="10.712962962963" style="235" customWidth="1"/>
    <col min="7" max="16384" width="9.13888888888889" style="310" hidden="1"/>
  </cols>
  <sheetData>
    <row r="1" s="6" customFormat="1" ht="24.95" customHeight="1" spans="2:2">
      <c r="B1" s="5" t="str">
        <f>LEFT(Disclaimer!B1,Maintenance!I3)</f>
        <v>CIE S 026 α-opic Toolbox - v1.049a - 2020/11</v>
      </c>
    </row>
    <row r="2" spans="1:4">
      <c r="A2" s="85"/>
      <c r="B2" s="85"/>
      <c r="C2" s="311"/>
      <c r="D2" s="311"/>
    </row>
    <row r="3" spans="1:11">
      <c r="A3" s="85"/>
      <c r="B3" s="219" t="s">
        <v>0</v>
      </c>
      <c r="C3" s="18" t="s">
        <v>1</v>
      </c>
      <c r="D3" s="311"/>
      <c r="H3" s="309" t="s">
        <v>2</v>
      </c>
      <c r="I3" s="235">
        <v>44</v>
      </c>
      <c r="K3" s="310" t="s">
        <v>3</v>
      </c>
    </row>
    <row r="4" spans="1:4">
      <c r="A4" s="85"/>
      <c r="B4" s="311"/>
      <c r="C4" s="312"/>
      <c r="D4" s="311"/>
    </row>
    <row r="5" spans="1:5">
      <c r="A5" s="7"/>
      <c r="B5" s="8"/>
      <c r="C5" s="8"/>
      <c r="D5" s="8"/>
      <c r="E5" s="235"/>
    </row>
    <row r="6" hidden="1" spans="1:5">
      <c r="A6" s="235"/>
      <c r="B6" s="313" t="s">
        <v>4</v>
      </c>
      <c r="C6" s="235"/>
      <c r="D6" s="235"/>
      <c r="E6" s="235"/>
    </row>
    <row r="7" hidden="1" spans="1:5">
      <c r="A7" s="235"/>
      <c r="B7" s="314" t="s">
        <v>5</v>
      </c>
      <c r="C7" s="314" t="s">
        <v>6</v>
      </c>
      <c r="D7" s="315" t="s">
        <v>7</v>
      </c>
      <c r="E7" s="314" t="s">
        <v>8</v>
      </c>
    </row>
    <row r="8" hidden="1" spans="1:5">
      <c r="A8" s="235"/>
      <c r="D8" s="316"/>
      <c r="E8" s="309" t="s">
        <v>9</v>
      </c>
    </row>
    <row r="9" hidden="1" spans="1:5">
      <c r="A9" s="235"/>
      <c r="B9" s="309" t="s">
        <v>10</v>
      </c>
      <c r="C9" s="309" t="s">
        <v>11</v>
      </c>
      <c r="D9" s="316">
        <v>43780</v>
      </c>
      <c r="E9" s="309" t="s">
        <v>12</v>
      </c>
    </row>
    <row r="10" hidden="1" spans="1:5">
      <c r="A10" s="235"/>
      <c r="B10" s="309" t="s">
        <v>13</v>
      </c>
      <c r="C10" s="309" t="s">
        <v>11</v>
      </c>
      <c r="D10" s="316">
        <v>43780</v>
      </c>
      <c r="E10" s="309" t="s">
        <v>14</v>
      </c>
    </row>
    <row r="11" hidden="1" spans="1:5">
      <c r="A11" s="235"/>
      <c r="B11" s="309" t="s">
        <v>15</v>
      </c>
      <c r="C11" s="309" t="s">
        <v>11</v>
      </c>
      <c r="D11" s="316">
        <v>43780</v>
      </c>
      <c r="E11" s="309" t="s">
        <v>16</v>
      </c>
    </row>
    <row r="12" hidden="1" spans="1:5">
      <c r="A12" s="235"/>
      <c r="B12" s="309" t="s">
        <v>17</v>
      </c>
      <c r="C12" s="309" t="s">
        <v>11</v>
      </c>
      <c r="D12" s="316">
        <v>43780</v>
      </c>
      <c r="E12" s="309" t="s">
        <v>18</v>
      </c>
    </row>
    <row r="13" hidden="1" spans="1:5">
      <c r="A13" s="235"/>
      <c r="B13" s="309" t="s">
        <v>19</v>
      </c>
      <c r="C13" s="309" t="s">
        <v>11</v>
      </c>
      <c r="D13" s="316">
        <v>43780</v>
      </c>
      <c r="E13" s="309" t="s">
        <v>20</v>
      </c>
    </row>
    <row r="14" hidden="1" spans="1:5">
      <c r="A14" s="235"/>
      <c r="B14" s="309" t="s">
        <v>21</v>
      </c>
      <c r="C14" s="309" t="s">
        <v>11</v>
      </c>
      <c r="D14" s="316">
        <v>43880</v>
      </c>
      <c r="E14" s="309" t="s">
        <v>22</v>
      </c>
    </row>
    <row r="15" hidden="1" spans="1:5">
      <c r="A15" s="235"/>
      <c r="B15" s="309" t="s">
        <v>23</v>
      </c>
      <c r="C15" s="309" t="s">
        <v>24</v>
      </c>
      <c r="D15" s="316">
        <v>43880</v>
      </c>
      <c r="E15" s="309" t="s">
        <v>25</v>
      </c>
    </row>
    <row r="16" hidden="1" spans="1:5">
      <c r="A16" s="235"/>
      <c r="B16" s="309" t="s">
        <v>26</v>
      </c>
      <c r="C16" s="309" t="s">
        <v>11</v>
      </c>
      <c r="D16" s="316">
        <v>43880</v>
      </c>
      <c r="E16" s="309" t="s">
        <v>27</v>
      </c>
    </row>
    <row r="17" hidden="1" spans="1:5">
      <c r="A17" s="235"/>
      <c r="B17" s="309" t="s">
        <v>28</v>
      </c>
      <c r="C17" s="309" t="s">
        <v>11</v>
      </c>
      <c r="D17" s="316">
        <v>43880</v>
      </c>
      <c r="E17" s="309" t="s">
        <v>29</v>
      </c>
    </row>
    <row r="18" hidden="1" spans="1:5">
      <c r="A18" s="235"/>
      <c r="B18" s="309" t="s">
        <v>30</v>
      </c>
      <c r="C18" s="309" t="s">
        <v>31</v>
      </c>
      <c r="D18" s="316">
        <v>43880</v>
      </c>
      <c r="E18" s="309" t="s">
        <v>32</v>
      </c>
    </row>
    <row r="19" hidden="1" spans="1:5">
      <c r="A19" s="235"/>
      <c r="D19" s="316"/>
      <c r="E19" s="309" t="s">
        <v>33</v>
      </c>
    </row>
    <row r="20" hidden="1" spans="1:5">
      <c r="A20" s="235"/>
      <c r="D20" s="316"/>
      <c r="E20" s="309" t="s">
        <v>34</v>
      </c>
    </row>
    <row r="21" hidden="1" spans="1:5">
      <c r="A21" s="235"/>
      <c r="E21" s="309" t="s">
        <v>35</v>
      </c>
    </row>
    <row r="22" hidden="1" spans="1:5">
      <c r="A22" s="235"/>
      <c r="E22" s="309" t="s">
        <v>36</v>
      </c>
    </row>
    <row r="23" hidden="1" spans="1:5">
      <c r="A23" s="235"/>
      <c r="B23" s="309" t="s">
        <v>37</v>
      </c>
      <c r="C23" s="309" t="s">
        <v>11</v>
      </c>
      <c r="D23" s="316">
        <v>43880</v>
      </c>
      <c r="E23" s="309" t="s">
        <v>38</v>
      </c>
    </row>
    <row r="24" hidden="1" spans="1:5">
      <c r="A24" s="235"/>
      <c r="B24" s="309" t="s">
        <v>39</v>
      </c>
      <c r="C24" s="309" t="s">
        <v>40</v>
      </c>
      <c r="D24" s="316">
        <v>43880</v>
      </c>
      <c r="E24" s="309" t="s">
        <v>41</v>
      </c>
    </row>
    <row r="25" hidden="1" spans="1:5">
      <c r="A25" s="235"/>
      <c r="B25" s="309" t="s">
        <v>42</v>
      </c>
      <c r="C25" s="309" t="s">
        <v>40</v>
      </c>
      <c r="D25" s="316">
        <v>43880</v>
      </c>
      <c r="E25" s="309" t="s">
        <v>43</v>
      </c>
    </row>
    <row r="26" hidden="1" spans="1:5">
      <c r="A26" s="235"/>
      <c r="B26" s="309" t="s">
        <v>44</v>
      </c>
      <c r="C26" s="309" t="s">
        <v>45</v>
      </c>
      <c r="D26" s="316">
        <v>43916</v>
      </c>
      <c r="E26" s="309" t="s">
        <v>46</v>
      </c>
    </row>
    <row r="27" hidden="1" spans="1:5">
      <c r="A27" s="235"/>
      <c r="B27" s="309" t="s">
        <v>47</v>
      </c>
      <c r="C27" s="309" t="s">
        <v>11</v>
      </c>
      <c r="D27" s="316">
        <v>44152</v>
      </c>
      <c r="E27" s="309" t="s">
        <v>48</v>
      </c>
    </row>
    <row r="28" hidden="1" spans="1:5">
      <c r="A28" s="235"/>
      <c r="B28" s="309" t="s">
        <v>49</v>
      </c>
      <c r="C28" s="309" t="s">
        <v>11</v>
      </c>
      <c r="D28" s="316">
        <v>44152</v>
      </c>
      <c r="E28" s="309" t="s">
        <v>50</v>
      </c>
    </row>
    <row r="29" hidden="1" spans="1:5">
      <c r="A29" s="235"/>
      <c r="B29" s="309" t="s">
        <v>51</v>
      </c>
      <c r="C29" s="309" t="s">
        <v>11</v>
      </c>
      <c r="D29" s="316">
        <v>44152</v>
      </c>
      <c r="E29" s="309" t="s">
        <v>52</v>
      </c>
    </row>
    <row r="30" hidden="1" spans="1:4">
      <c r="A30" s="235"/>
      <c r="D30" s="316"/>
    </row>
    <row r="31" hidden="1" spans="1:4">
      <c r="A31" s="235"/>
      <c r="D31" s="316"/>
    </row>
    <row r="32" hidden="1" spans="1:4">
      <c r="A32" s="235"/>
      <c r="D32" s="316"/>
    </row>
    <row r="33" hidden="1" spans="1:4">
      <c r="A33" s="235"/>
      <c r="D33" s="316"/>
    </row>
    <row r="34" hidden="1" spans="1:4">
      <c r="A34" s="235"/>
      <c r="D34" s="316"/>
    </row>
    <row r="35" hidden="1" spans="1:4">
      <c r="A35" s="235"/>
      <c r="D35" s="316"/>
    </row>
    <row r="36" hidden="1" spans="1:4">
      <c r="A36" s="235"/>
      <c r="D36" s="316"/>
    </row>
    <row r="37" hidden="1" spans="1:4">
      <c r="A37" s="235"/>
      <c r="D37" s="316"/>
    </row>
    <row r="38" hidden="1" spans="1:4">
      <c r="A38" s="235"/>
      <c r="D38" s="316"/>
    </row>
    <row r="39" hidden="1" spans="1:4">
      <c r="A39" s="235"/>
      <c r="D39" s="316"/>
    </row>
    <row r="40" hidden="1" spans="1:4">
      <c r="A40" s="235"/>
      <c r="D40" s="316"/>
    </row>
    <row r="41" hidden="1" spans="1:4">
      <c r="A41" s="235"/>
      <c r="D41" s="316"/>
    </row>
    <row r="42" hidden="1" spans="1:4">
      <c r="A42" s="235"/>
      <c r="D42" s="316"/>
    </row>
    <row r="43" hidden="1" spans="1:4">
      <c r="A43" s="235"/>
      <c r="D43" s="316"/>
    </row>
    <row r="44" hidden="1" spans="1:4">
      <c r="A44" s="235"/>
      <c r="D44" s="316"/>
    </row>
    <row r="45" hidden="1" spans="1:4">
      <c r="A45" s="235"/>
      <c r="D45" s="316"/>
    </row>
    <row r="46" hidden="1" spans="1:4">
      <c r="A46" s="235"/>
      <c r="D46" s="316"/>
    </row>
    <row r="47" hidden="1" spans="1:4">
      <c r="A47" s="235"/>
      <c r="D47" s="316"/>
    </row>
    <row r="48" hidden="1" spans="1:4">
      <c r="A48" s="235"/>
      <c r="D48" s="316"/>
    </row>
    <row r="49" hidden="1" spans="1:4">
      <c r="A49" s="235"/>
      <c r="D49" s="316"/>
    </row>
    <row r="50" hidden="1" spans="1:4">
      <c r="A50" s="235"/>
      <c r="D50" s="316"/>
    </row>
    <row r="51" hidden="1" spans="1:4">
      <c r="A51" s="235"/>
      <c r="D51" s="316"/>
    </row>
    <row r="52" hidden="1" spans="1:4">
      <c r="A52" s="235"/>
      <c r="D52" s="316"/>
    </row>
    <row r="53" hidden="1" spans="1:4">
      <c r="A53" s="235"/>
      <c r="D53" s="316"/>
    </row>
    <row r="54" hidden="1" spans="1:4">
      <c r="A54" s="235"/>
      <c r="D54" s="316"/>
    </row>
    <row r="55" hidden="1" spans="1:4">
      <c r="A55" s="235"/>
      <c r="D55" s="316"/>
    </row>
    <row r="56" hidden="1" spans="1:4">
      <c r="A56" s="235"/>
      <c r="D56" s="316"/>
    </row>
    <row r="57" hidden="1" spans="1:4">
      <c r="A57" s="235"/>
      <c r="D57" s="316"/>
    </row>
    <row r="58" hidden="1" spans="1:4">
      <c r="A58" s="235"/>
      <c r="D58" s="316"/>
    </row>
    <row r="59" hidden="1" spans="1:4">
      <c r="A59" s="235"/>
      <c r="D59" s="316"/>
    </row>
    <row r="60" hidden="1" spans="1:4">
      <c r="A60" s="235"/>
      <c r="D60" s="316"/>
    </row>
    <row r="61" hidden="1" spans="1:4">
      <c r="A61" s="235"/>
      <c r="D61" s="316"/>
    </row>
    <row r="62" hidden="1" spans="1:4">
      <c r="A62" s="235"/>
      <c r="D62" s="316"/>
    </row>
    <row r="63" hidden="1" spans="1:4">
      <c r="A63" s="235"/>
      <c r="D63" s="316"/>
    </row>
    <row r="64" hidden="1" spans="1:4">
      <c r="A64" s="235"/>
      <c r="D64" s="316"/>
    </row>
    <row r="65" hidden="1" spans="1:4">
      <c r="A65" s="235"/>
      <c r="D65" s="316"/>
    </row>
    <row r="66" hidden="1" spans="1:4">
      <c r="A66" s="235"/>
      <c r="D66" s="316"/>
    </row>
    <row r="67" hidden="1" spans="1:4">
      <c r="A67" s="235"/>
      <c r="D67" s="316"/>
    </row>
    <row r="68" hidden="1" spans="1:4">
      <c r="A68" s="235"/>
      <c r="D68" s="316"/>
    </row>
    <row r="69" hidden="1" spans="1:4">
      <c r="A69" s="235"/>
      <c r="D69" s="316"/>
    </row>
    <row r="70" hidden="1" spans="1:4">
      <c r="A70" s="235"/>
      <c r="D70" s="316"/>
    </row>
    <row r="71" hidden="1" spans="1:4">
      <c r="A71" s="235"/>
      <c r="D71" s="316"/>
    </row>
    <row r="72" hidden="1" spans="1:4">
      <c r="A72" s="235"/>
      <c r="D72" s="316"/>
    </row>
    <row r="73" hidden="1" spans="1:4">
      <c r="A73" s="235"/>
      <c r="D73" s="316"/>
    </row>
    <row r="74" hidden="1" spans="1:4">
      <c r="A74" s="235"/>
      <c r="D74" s="316"/>
    </row>
    <row r="75" hidden="1" spans="1:4">
      <c r="A75" s="235"/>
      <c r="D75" s="316"/>
    </row>
    <row r="76" hidden="1" spans="1:4">
      <c r="A76" s="235"/>
      <c r="D76" s="316"/>
    </row>
    <row r="77" hidden="1" spans="1:4">
      <c r="A77" s="235"/>
      <c r="D77" s="316"/>
    </row>
    <row r="78" hidden="1" spans="1:4">
      <c r="A78" s="235"/>
      <c r="D78" s="316"/>
    </row>
    <row r="79" hidden="1" spans="1:4">
      <c r="A79" s="235"/>
      <c r="D79" s="316"/>
    </row>
    <row r="80" hidden="1" spans="1:4">
      <c r="A80" s="235"/>
      <c r="D80" s="316"/>
    </row>
    <row r="81" hidden="1" spans="1:4">
      <c r="A81" s="235"/>
      <c r="D81" s="316"/>
    </row>
    <row r="82" hidden="1" spans="1:4">
      <c r="A82" s="235"/>
      <c r="D82" s="316"/>
    </row>
    <row r="83" hidden="1" spans="1:4">
      <c r="A83" s="235"/>
      <c r="D83" s="316"/>
    </row>
    <row r="84" hidden="1" spans="1:4">
      <c r="A84" s="235"/>
      <c r="D84" s="316"/>
    </row>
    <row r="85" hidden="1" spans="1:4">
      <c r="A85" s="235"/>
      <c r="D85" s="316"/>
    </row>
    <row r="86" hidden="1" spans="1:5">
      <c r="A86" s="235"/>
      <c r="B86" s="235"/>
      <c r="C86" s="235"/>
      <c r="D86" s="316"/>
      <c r="E86" s="235"/>
    </row>
    <row r="87" hidden="1" spans="1:5">
      <c r="A87" s="235"/>
      <c r="B87" s="235"/>
      <c r="C87" s="235"/>
      <c r="D87" s="235"/>
      <c r="E87" s="235"/>
    </row>
    <row r="88" hidden="1" spans="1:5">
      <c r="A88" s="235"/>
      <c r="B88" s="235"/>
      <c r="C88" s="235"/>
      <c r="D88" s="235"/>
      <c r="E88" s="235"/>
    </row>
    <row r="89" hidden="1" spans="1:5">
      <c r="A89" s="235"/>
      <c r="B89" s="235"/>
      <c r="C89" s="235"/>
      <c r="D89" s="235"/>
      <c r="E89" s="235"/>
    </row>
    <row r="90" hidden="1" spans="1:5">
      <c r="A90" s="235"/>
      <c r="B90" s="235"/>
      <c r="C90" s="235"/>
      <c r="D90" s="235"/>
      <c r="E90" s="235"/>
    </row>
    <row r="91" hidden="1" spans="1:5">
      <c r="A91" s="235"/>
      <c r="B91" s="235"/>
      <c r="C91" s="235"/>
      <c r="D91" s="235"/>
      <c r="E91" s="235"/>
    </row>
    <row r="92" hidden="1" spans="1:5">
      <c r="A92" s="235"/>
      <c r="B92" s="235"/>
      <c r="C92" s="235"/>
      <c r="D92" s="235"/>
      <c r="E92" s="235"/>
    </row>
    <row r="93" hidden="1" spans="1:5">
      <c r="A93" s="235"/>
      <c r="B93" s="235"/>
      <c r="C93" s="235"/>
      <c r="D93" s="235"/>
      <c r="E93" s="235"/>
    </row>
    <row r="94" hidden="1" spans="1:5">
      <c r="A94" s="235"/>
      <c r="B94" s="235"/>
      <c r="C94" s="235"/>
      <c r="D94" s="235"/>
      <c r="E94" s="235"/>
    </row>
    <row r="95" hidden="1" spans="1:5">
      <c r="A95" s="235"/>
      <c r="B95" s="235"/>
      <c r="C95" s="235"/>
      <c r="D95" s="235"/>
      <c r="E95" s="235"/>
    </row>
    <row r="96" hidden="1" spans="1:5">
      <c r="A96" s="235"/>
      <c r="B96" s="235"/>
      <c r="C96" s="235"/>
      <c r="D96" s="235"/>
      <c r="E96" s="235"/>
    </row>
    <row r="97" hidden="1" spans="1:5">
      <c r="A97" s="235"/>
      <c r="B97" s="235"/>
      <c r="C97" s="235"/>
      <c r="D97" s="235"/>
      <c r="E97" s="235"/>
    </row>
    <row r="98" hidden="1" spans="1:5">
      <c r="A98" s="235"/>
      <c r="B98" s="235"/>
      <c r="C98" s="235"/>
      <c r="D98" s="235"/>
      <c r="E98" s="235"/>
    </row>
    <row r="99" hidden="1" spans="1:5">
      <c r="A99" s="235"/>
      <c r="B99" s="235"/>
      <c r="C99" s="235"/>
      <c r="D99" s="235"/>
      <c r="E99" s="235"/>
    </row>
    <row r="100" hidden="1" spans="1:5">
      <c r="A100" s="235"/>
      <c r="B100" s="235"/>
      <c r="C100" s="235"/>
      <c r="D100" s="235"/>
      <c r="E100" s="235"/>
    </row>
    <row r="101" hidden="1" spans="1:5">
      <c r="A101" s="235"/>
      <c r="B101" s="235"/>
      <c r="C101" s="235"/>
      <c r="D101" s="235"/>
      <c r="E101" s="235"/>
    </row>
    <row r="102" hidden="1" spans="1:5">
      <c r="A102" s="235"/>
      <c r="B102" s="235"/>
      <c r="C102" s="235"/>
      <c r="D102" s="235"/>
      <c r="E102" s="235"/>
    </row>
    <row r="103" hidden="1" spans="1:5">
      <c r="A103" s="235"/>
      <c r="B103" s="235"/>
      <c r="C103" s="235"/>
      <c r="D103" s="235"/>
      <c r="E103" s="235"/>
    </row>
    <row r="104" hidden="1" spans="1:5">
      <c r="A104" s="235"/>
      <c r="B104" s="235"/>
      <c r="C104" s="235"/>
      <c r="D104" s="235"/>
      <c r="E104" s="235"/>
    </row>
    <row r="105" hidden="1" spans="1:5">
      <c r="A105" s="235"/>
      <c r="B105" s="235"/>
      <c r="C105" s="235"/>
      <c r="D105" s="235"/>
      <c r="E105" s="235"/>
    </row>
    <row r="106" hidden="1" spans="1:5">
      <c r="A106" s="235"/>
      <c r="B106" s="235"/>
      <c r="C106" s="235"/>
      <c r="D106" s="235"/>
      <c r="E106" s="235"/>
    </row>
    <row r="107" hidden="1" spans="1:5">
      <c r="A107" s="235"/>
      <c r="B107" s="235"/>
      <c r="C107" s="235"/>
      <c r="D107" s="235"/>
      <c r="E107" s="235"/>
    </row>
    <row r="108" hidden="1" spans="1:5">
      <c r="A108" s="235"/>
      <c r="B108" s="235"/>
      <c r="C108" s="235"/>
      <c r="D108" s="235"/>
      <c r="E108" s="235"/>
    </row>
    <row r="109" hidden="1" spans="1:5">
      <c r="A109" s="235"/>
      <c r="B109" s="235"/>
      <c r="C109" s="235"/>
      <c r="D109" s="235"/>
      <c r="E109" s="235"/>
    </row>
    <row r="110" hidden="1" spans="1:5">
      <c r="A110" s="235"/>
      <c r="B110" s="235"/>
      <c r="C110" s="235"/>
      <c r="D110" s="235"/>
      <c r="E110" s="235"/>
    </row>
    <row r="111" hidden="1" spans="1:5">
      <c r="A111" s="235"/>
      <c r="B111" s="235"/>
      <c r="C111" s="235"/>
      <c r="D111" s="235"/>
      <c r="E111" s="235"/>
    </row>
    <row r="112" hidden="1" spans="1:5">
      <c r="A112" s="235"/>
      <c r="B112" s="235"/>
      <c r="C112" s="235"/>
      <c r="D112" s="235"/>
      <c r="E112" s="235"/>
    </row>
    <row r="113" hidden="1" spans="1:5">
      <c r="A113" s="235"/>
      <c r="B113" s="235"/>
      <c r="C113" s="235"/>
      <c r="D113" s="235"/>
      <c r="E113" s="235"/>
    </row>
    <row r="114" hidden="1" spans="1:5">
      <c r="A114" s="235"/>
      <c r="B114" s="235"/>
      <c r="C114" s="235"/>
      <c r="D114" s="235"/>
      <c r="E114" s="235"/>
    </row>
    <row r="115" hidden="1" spans="1:5">
      <c r="A115" s="235"/>
      <c r="B115" s="235"/>
      <c r="C115" s="235"/>
      <c r="D115" s="235"/>
      <c r="E115" s="235"/>
    </row>
    <row r="116" hidden="1" spans="1:5">
      <c r="A116" s="235"/>
      <c r="B116" s="235"/>
      <c r="C116" s="235"/>
      <c r="D116" s="235"/>
      <c r="E116" s="235"/>
    </row>
    <row r="117" hidden="1" spans="1:5">
      <c r="A117" s="235"/>
      <c r="B117" s="235"/>
      <c r="C117" s="235"/>
      <c r="D117" s="235"/>
      <c r="E117" s="235"/>
    </row>
    <row r="118" hidden="1" spans="1:5">
      <c r="A118" s="235"/>
      <c r="B118" s="235"/>
      <c r="C118" s="235"/>
      <c r="D118" s="235"/>
      <c r="E118" s="235"/>
    </row>
    <row r="119" hidden="1" spans="1:5">
      <c r="A119" s="235"/>
      <c r="B119" s="235"/>
      <c r="C119" s="235"/>
      <c r="D119" s="235"/>
      <c r="E119" s="235"/>
    </row>
    <row r="120" hidden="1" spans="1:5">
      <c r="A120" s="235"/>
      <c r="B120" s="235"/>
      <c r="C120" s="235"/>
      <c r="D120" s="235"/>
      <c r="E120" s="235"/>
    </row>
    <row r="121" hidden="1" spans="1:5">
      <c r="A121" s="235"/>
      <c r="B121" s="235"/>
      <c r="C121" s="235"/>
      <c r="D121" s="235"/>
      <c r="E121" s="235"/>
    </row>
    <row r="122" hidden="1" spans="1:5">
      <c r="A122" s="235"/>
      <c r="B122" s="235"/>
      <c r="C122" s="235"/>
      <c r="D122" s="235"/>
      <c r="E122" s="235"/>
    </row>
    <row r="123" hidden="1" spans="1:5">
      <c r="A123" s="235"/>
      <c r="B123" s="235"/>
      <c r="C123" s="235"/>
      <c r="D123" s="235"/>
      <c r="E123" s="235"/>
    </row>
    <row r="124" hidden="1" spans="1:5">
      <c r="A124" s="235"/>
      <c r="B124" s="235"/>
      <c r="C124" s="235"/>
      <c r="D124" s="235"/>
      <c r="E124" s="235"/>
    </row>
    <row r="125" hidden="1" spans="1:5">
      <c r="A125" s="235"/>
      <c r="B125" s="235"/>
      <c r="C125" s="235"/>
      <c r="D125" s="235"/>
      <c r="E125" s="235"/>
    </row>
    <row r="126" hidden="1" spans="1:5">
      <c r="A126" s="235"/>
      <c r="B126" s="235"/>
      <c r="C126" s="235"/>
      <c r="D126" s="235"/>
      <c r="E126" s="235"/>
    </row>
    <row r="127" hidden="1" spans="1:5">
      <c r="A127" s="235"/>
      <c r="B127" s="235"/>
      <c r="C127" s="235"/>
      <c r="D127" s="235"/>
      <c r="E127" s="235"/>
    </row>
    <row r="128" hidden="1" spans="1:5">
      <c r="A128" s="235"/>
      <c r="B128" s="235"/>
      <c r="C128" s="235"/>
      <c r="D128" s="235"/>
      <c r="E128" s="235"/>
    </row>
    <row r="129" hidden="1" spans="1:5">
      <c r="A129" s="235"/>
      <c r="B129" s="235"/>
      <c r="C129" s="235"/>
      <c r="D129" s="235"/>
      <c r="E129" s="235"/>
    </row>
    <row r="130" hidden="1" spans="1:5">
      <c r="A130" s="235"/>
      <c r="B130" s="235"/>
      <c r="C130" s="235"/>
      <c r="D130" s="235"/>
      <c r="E130" s="235"/>
    </row>
    <row r="131" hidden="1" spans="1:5">
      <c r="A131" s="235"/>
      <c r="B131" s="235"/>
      <c r="C131" s="235"/>
      <c r="D131" s="235"/>
      <c r="E131" s="235"/>
    </row>
    <row r="132" hidden="1" spans="1:5">
      <c r="A132" s="235"/>
      <c r="B132" s="235"/>
      <c r="C132" s="235"/>
      <c r="D132" s="235"/>
      <c r="E132" s="235"/>
    </row>
    <row r="133" hidden="1" spans="1:5">
      <c r="A133" s="235"/>
      <c r="B133" s="235"/>
      <c r="C133" s="235"/>
      <c r="D133" s="235"/>
      <c r="E133" s="235"/>
    </row>
    <row r="134" hidden="1" spans="1:5">
      <c r="A134" s="235"/>
      <c r="B134" s="235"/>
      <c r="C134" s="235"/>
      <c r="D134" s="235"/>
      <c r="E134" s="235"/>
    </row>
    <row r="135" hidden="1" spans="1:5">
      <c r="A135" s="235"/>
      <c r="B135" s="235"/>
      <c r="C135" s="235"/>
      <c r="D135" s="235"/>
      <c r="E135" s="235"/>
    </row>
    <row r="136" hidden="1" spans="1:5">
      <c r="A136" s="235"/>
      <c r="B136" s="235"/>
      <c r="C136" s="235"/>
      <c r="D136" s="235"/>
      <c r="E136" s="235"/>
    </row>
    <row r="137" hidden="1" spans="1:5">
      <c r="A137" s="235"/>
      <c r="B137" s="235"/>
      <c r="C137" s="235"/>
      <c r="D137" s="235"/>
      <c r="E137" s="235"/>
    </row>
    <row r="138" hidden="1" spans="1:5">
      <c r="A138" s="235"/>
      <c r="B138" s="235"/>
      <c r="C138" s="235"/>
      <c r="D138" s="235"/>
      <c r="E138" s="235"/>
    </row>
    <row r="139" hidden="1" spans="1:5">
      <c r="A139" s="235"/>
      <c r="B139" s="235"/>
      <c r="C139" s="235"/>
      <c r="D139" s="235"/>
      <c r="E139" s="235"/>
    </row>
    <row r="140" hidden="1" spans="1:5">
      <c r="A140" s="235"/>
      <c r="B140" s="235"/>
      <c r="C140" s="235"/>
      <c r="D140" s="235"/>
      <c r="E140" s="235"/>
    </row>
    <row r="141" hidden="1" spans="1:5">
      <c r="A141" s="235"/>
      <c r="B141" s="235"/>
      <c r="C141" s="235"/>
      <c r="D141" s="235"/>
      <c r="E141" s="235"/>
    </row>
    <row r="142" hidden="1" spans="1:5">
      <c r="A142" s="235"/>
      <c r="B142" s="235"/>
      <c r="C142" s="235"/>
      <c r="D142" s="235"/>
      <c r="E142" s="235"/>
    </row>
    <row r="143" hidden="1" spans="1:5">
      <c r="A143" s="235"/>
      <c r="B143" s="235"/>
      <c r="C143" s="235"/>
      <c r="D143" s="235"/>
      <c r="E143" s="235"/>
    </row>
    <row r="144" hidden="1" spans="1:5">
      <c r="A144" s="235"/>
      <c r="B144" s="235"/>
      <c r="C144" s="235"/>
      <c r="D144" s="235"/>
      <c r="E144" s="235"/>
    </row>
    <row r="145" hidden="1" spans="1:5">
      <c r="A145" s="235"/>
      <c r="B145" s="235"/>
      <c r="C145" s="235"/>
      <c r="D145" s="235"/>
      <c r="E145" s="235"/>
    </row>
    <row r="146" hidden="1" spans="1:5">
      <c r="A146" s="235"/>
      <c r="B146" s="235"/>
      <c r="C146" s="235"/>
      <c r="D146" s="235"/>
      <c r="E146" s="235"/>
    </row>
    <row r="147" hidden="1" spans="1:5">
      <c r="A147" s="235"/>
      <c r="B147" s="235"/>
      <c r="C147" s="235"/>
      <c r="D147" s="235"/>
      <c r="E147" s="235"/>
    </row>
    <row r="148" hidden="1" spans="1:5">
      <c r="A148" s="235"/>
      <c r="B148" s="235"/>
      <c r="C148" s="235"/>
      <c r="D148" s="235"/>
      <c r="E148" s="235"/>
    </row>
    <row r="149" hidden="1" spans="1:5">
      <c r="A149" s="235"/>
      <c r="B149" s="235"/>
      <c r="C149" s="235"/>
      <c r="D149" s="235"/>
      <c r="E149" s="235"/>
    </row>
    <row r="150" hidden="1" spans="1:5">
      <c r="A150" s="235"/>
      <c r="B150" s="235"/>
      <c r="C150" s="235"/>
      <c r="D150" s="235"/>
      <c r="E150" s="235"/>
    </row>
    <row r="151" hidden="1" spans="1:5">
      <c r="A151" s="235"/>
      <c r="B151" s="235"/>
      <c r="C151" s="235"/>
      <c r="D151" s="235"/>
      <c r="E151" s="235"/>
    </row>
    <row r="152" hidden="1" spans="1:5">
      <c r="A152" s="235"/>
      <c r="B152" s="235"/>
      <c r="C152" s="235"/>
      <c r="D152" s="235"/>
      <c r="E152" s="235"/>
    </row>
    <row r="153" hidden="1" spans="1:5">
      <c r="A153" s="235"/>
      <c r="B153" s="235"/>
      <c r="C153" s="235"/>
      <c r="D153" s="235"/>
      <c r="E153" s="235"/>
    </row>
    <row r="154" hidden="1" spans="1:5">
      <c r="A154" s="235"/>
      <c r="B154" s="235"/>
      <c r="C154" s="235"/>
      <c r="D154" s="235"/>
      <c r="E154" s="235"/>
    </row>
    <row r="155" hidden="1" spans="1:5">
      <c r="A155" s="235"/>
      <c r="B155" s="235"/>
      <c r="C155" s="235"/>
      <c r="D155" s="235"/>
      <c r="E155" s="235"/>
    </row>
    <row r="156" hidden="1" spans="1:5">
      <c r="A156" s="235"/>
      <c r="B156" s="235"/>
      <c r="C156" s="235"/>
      <c r="D156" s="235"/>
      <c r="E156" s="235"/>
    </row>
    <row r="157" hidden="1" spans="1:5">
      <c r="A157" s="235"/>
      <c r="B157" s="235"/>
      <c r="C157" s="235"/>
      <c r="D157" s="235"/>
      <c r="E157" s="235"/>
    </row>
    <row r="158" hidden="1" spans="1:5">
      <c r="A158" s="235"/>
      <c r="B158" s="235"/>
      <c r="C158" s="235"/>
      <c r="D158" s="235"/>
      <c r="E158" s="235"/>
    </row>
    <row r="159" hidden="1" spans="1:5">
      <c r="A159" s="235"/>
      <c r="B159" s="235"/>
      <c r="C159" s="235"/>
      <c r="D159" s="235"/>
      <c r="E159" s="235"/>
    </row>
    <row r="160" hidden="1" spans="1:5">
      <c r="A160" s="235"/>
      <c r="B160" s="235"/>
      <c r="C160" s="235"/>
      <c r="D160" s="235"/>
      <c r="E160" s="235"/>
    </row>
    <row r="161" hidden="1" spans="1:5">
      <c r="A161" s="235"/>
      <c r="B161" s="235"/>
      <c r="C161" s="235"/>
      <c r="D161" s="235"/>
      <c r="E161" s="235"/>
    </row>
    <row r="162" hidden="1" spans="1:5">
      <c r="A162" s="235"/>
      <c r="B162" s="235"/>
      <c r="C162" s="235"/>
      <c r="D162" s="235"/>
      <c r="E162" s="235"/>
    </row>
    <row r="163" hidden="1" spans="1:5">
      <c r="A163" s="235"/>
      <c r="B163" s="235"/>
      <c r="C163" s="235"/>
      <c r="D163" s="235"/>
      <c r="E163" s="235"/>
    </row>
    <row r="164" hidden="1" spans="1:5">
      <c r="A164" s="235"/>
      <c r="B164" s="235"/>
      <c r="C164" s="235"/>
      <c r="D164" s="235"/>
      <c r="E164" s="235"/>
    </row>
    <row r="165" hidden="1" spans="1:5">
      <c r="A165" s="235"/>
      <c r="B165" s="235"/>
      <c r="C165" s="235"/>
      <c r="D165" s="235"/>
      <c r="E165" s="235"/>
    </row>
    <row r="166" hidden="1" spans="1:5">
      <c r="A166" s="235"/>
      <c r="B166" s="235"/>
      <c r="C166" s="235"/>
      <c r="D166" s="235"/>
      <c r="E166" s="235"/>
    </row>
    <row r="167" hidden="1" spans="1:5">
      <c r="A167" s="235"/>
      <c r="B167" s="235"/>
      <c r="C167" s="235"/>
      <c r="D167" s="235"/>
      <c r="E167" s="235"/>
    </row>
    <row r="168" hidden="1" spans="1:5">
      <c r="A168" s="235"/>
      <c r="B168" s="235"/>
      <c r="C168" s="235"/>
      <c r="D168" s="235"/>
      <c r="E168" s="235"/>
    </row>
    <row r="169" hidden="1" spans="1:5">
      <c r="A169" s="235"/>
      <c r="B169" s="235"/>
      <c r="C169" s="235"/>
      <c r="D169" s="235"/>
      <c r="E169" s="235"/>
    </row>
    <row r="170" hidden="1" spans="1:5">
      <c r="A170" s="235"/>
      <c r="B170" s="235"/>
      <c r="C170" s="235"/>
      <c r="D170" s="235"/>
      <c r="E170" s="235"/>
    </row>
    <row r="171" hidden="1" spans="1:5">
      <c r="A171" s="235"/>
      <c r="B171" s="235"/>
      <c r="C171" s="235"/>
      <c r="D171" s="235"/>
      <c r="E171" s="235"/>
    </row>
    <row r="172" hidden="1" spans="1:5">
      <c r="A172" s="235"/>
      <c r="B172" s="235"/>
      <c r="C172" s="235"/>
      <c r="D172" s="235"/>
      <c r="E172" s="235"/>
    </row>
    <row r="173" hidden="1" spans="1:5">
      <c r="A173" s="235"/>
      <c r="B173" s="235"/>
      <c r="C173" s="235"/>
      <c r="D173" s="235"/>
      <c r="E173" s="235"/>
    </row>
    <row r="174" hidden="1" spans="1:5">
      <c r="A174" s="235"/>
      <c r="B174" s="235"/>
      <c r="C174" s="235"/>
      <c r="D174" s="235"/>
      <c r="E174" s="235"/>
    </row>
    <row r="175" hidden="1" spans="1:5">
      <c r="A175" s="235"/>
      <c r="B175" s="235"/>
      <c r="C175" s="235"/>
      <c r="D175" s="235"/>
      <c r="E175" s="235"/>
    </row>
    <row r="176" hidden="1" spans="1:5">
      <c r="A176" s="235"/>
      <c r="B176" s="235"/>
      <c r="C176" s="235"/>
      <c r="D176" s="235"/>
      <c r="E176" s="235"/>
    </row>
    <row r="177" hidden="1" spans="1:5">
      <c r="A177" s="235"/>
      <c r="B177" s="235"/>
      <c r="C177" s="235"/>
      <c r="D177" s="235"/>
      <c r="E177" s="235"/>
    </row>
    <row r="178" hidden="1" spans="1:5">
      <c r="A178" s="235"/>
      <c r="B178" s="235"/>
      <c r="C178" s="235"/>
      <c r="D178" s="235"/>
      <c r="E178" s="235"/>
    </row>
    <row r="179" hidden="1" spans="1:5">
      <c r="A179" s="235"/>
      <c r="B179" s="235"/>
      <c r="C179" s="235"/>
      <c r="D179" s="235"/>
      <c r="E179" s="235"/>
    </row>
    <row r="180" hidden="1" spans="1:5">
      <c r="A180" s="235"/>
      <c r="B180" s="235"/>
      <c r="C180" s="235"/>
      <c r="D180" s="235"/>
      <c r="E180" s="235"/>
    </row>
    <row r="181" hidden="1" spans="1:5">
      <c r="A181" s="235"/>
      <c r="B181" s="235"/>
      <c r="C181" s="235"/>
      <c r="D181" s="235"/>
      <c r="E181" s="235"/>
    </row>
    <row r="182" hidden="1" spans="1:5">
      <c r="A182" s="235"/>
      <c r="B182" s="235"/>
      <c r="C182" s="235"/>
      <c r="D182" s="235"/>
      <c r="E182" s="235"/>
    </row>
    <row r="183" hidden="1" spans="1:5">
      <c r="A183" s="235"/>
      <c r="B183" s="235"/>
      <c r="C183" s="235"/>
      <c r="D183" s="235"/>
      <c r="E183" s="235"/>
    </row>
    <row r="184" hidden="1" spans="1:5">
      <c r="A184" s="235"/>
      <c r="B184" s="235"/>
      <c r="C184" s="235"/>
      <c r="D184" s="235"/>
      <c r="E184" s="235"/>
    </row>
    <row r="185" hidden="1" spans="1:5">
      <c r="A185" s="235"/>
      <c r="B185" s="235"/>
      <c r="C185" s="235"/>
      <c r="D185" s="235"/>
      <c r="E185" s="235"/>
    </row>
    <row r="186" hidden="1" spans="1:5">
      <c r="A186" s="235"/>
      <c r="B186" s="235"/>
      <c r="C186" s="235"/>
      <c r="D186" s="235"/>
      <c r="E186" s="235"/>
    </row>
    <row r="187" hidden="1" spans="1:5">
      <c r="A187" s="235"/>
      <c r="B187" s="235"/>
      <c r="C187" s="235"/>
      <c r="D187" s="235"/>
      <c r="E187" s="235"/>
    </row>
    <row r="188" hidden="1" spans="1:5">
      <c r="A188" s="235"/>
      <c r="B188" s="235"/>
      <c r="C188" s="235"/>
      <c r="D188" s="235"/>
      <c r="E188" s="235"/>
    </row>
    <row r="189" hidden="1" spans="1:5">
      <c r="A189" s="235"/>
      <c r="B189" s="235"/>
      <c r="C189" s="235"/>
      <c r="D189" s="235"/>
      <c r="E189" s="235"/>
    </row>
    <row r="190" hidden="1" spans="1:5">
      <c r="A190" s="235"/>
      <c r="B190" s="235"/>
      <c r="C190" s="235"/>
      <c r="D190" s="235"/>
      <c r="E190" s="235"/>
    </row>
    <row r="191" hidden="1" spans="1:5">
      <c r="A191" s="235"/>
      <c r="B191" s="235"/>
      <c r="C191" s="235"/>
      <c r="D191" s="235"/>
      <c r="E191" s="235"/>
    </row>
    <row r="192" hidden="1" spans="1:5">
      <c r="A192" s="235"/>
      <c r="B192" s="235"/>
      <c r="C192" s="235"/>
      <c r="D192" s="235"/>
      <c r="E192" s="235"/>
    </row>
    <row r="193" hidden="1" spans="1:5">
      <c r="A193" s="235"/>
      <c r="B193" s="235"/>
      <c r="C193" s="235"/>
      <c r="D193" s="235"/>
      <c r="E193" s="235"/>
    </row>
    <row r="194" hidden="1" spans="1:5">
      <c r="A194" s="235"/>
      <c r="B194" s="235"/>
      <c r="C194" s="235"/>
      <c r="D194" s="235"/>
      <c r="E194" s="235"/>
    </row>
    <row r="195" hidden="1" spans="1:5">
      <c r="A195" s="235"/>
      <c r="B195" s="235"/>
      <c r="C195" s="235"/>
      <c r="D195" s="235"/>
      <c r="E195" s="235"/>
    </row>
    <row r="196" hidden="1" spans="1:5">
      <c r="A196" s="235"/>
      <c r="B196" s="235"/>
      <c r="C196" s="235"/>
      <c r="D196" s="235"/>
      <c r="E196" s="235"/>
    </row>
    <row r="197" hidden="1" spans="1:5">
      <c r="A197" s="235"/>
      <c r="B197" s="235"/>
      <c r="C197" s="235"/>
      <c r="D197" s="235"/>
      <c r="E197" s="235"/>
    </row>
    <row r="198" hidden="1" spans="1:5">
      <c r="A198" s="235"/>
      <c r="B198" s="235"/>
      <c r="C198" s="235"/>
      <c r="D198" s="235"/>
      <c r="E198" s="235"/>
    </row>
    <row r="199" hidden="1" spans="1:5">
      <c r="A199" s="235"/>
      <c r="B199" s="235"/>
      <c r="C199" s="235"/>
      <c r="D199" s="235"/>
      <c r="E199" s="235"/>
    </row>
    <row r="200" hidden="1" spans="1:5">
      <c r="A200" s="235"/>
      <c r="B200" s="235"/>
      <c r="C200" s="235"/>
      <c r="D200" s="235"/>
      <c r="E200" s="235"/>
    </row>
    <row r="201" hidden="1" spans="1:5">
      <c r="A201" s="235"/>
      <c r="B201" s="235"/>
      <c r="C201" s="235"/>
      <c r="D201" s="235"/>
      <c r="E201" s="235"/>
    </row>
    <row r="202" hidden="1" spans="1:5">
      <c r="A202" s="235"/>
      <c r="B202" s="235"/>
      <c r="C202" s="235"/>
      <c r="D202" s="235"/>
      <c r="E202" s="235"/>
    </row>
    <row r="203" hidden="1" spans="1:5">
      <c r="A203" s="235"/>
      <c r="B203" s="235"/>
      <c r="C203" s="235"/>
      <c r="D203" s="235"/>
      <c r="E203" s="235"/>
    </row>
    <row r="204" hidden="1" spans="1:5">
      <c r="A204" s="235"/>
      <c r="B204" s="235"/>
      <c r="C204" s="235"/>
      <c r="D204" s="235"/>
      <c r="E204" s="235"/>
    </row>
    <row r="205" hidden="1" spans="1:5">
      <c r="A205" s="235"/>
      <c r="B205" s="235"/>
      <c r="C205" s="235"/>
      <c r="D205" s="235"/>
      <c r="E205" s="235"/>
    </row>
    <row r="206" hidden="1" spans="1:5">
      <c r="A206" s="235"/>
      <c r="B206" s="235"/>
      <c r="C206" s="235"/>
      <c r="D206" s="235"/>
      <c r="E206" s="235"/>
    </row>
    <row r="207" hidden="1" spans="1:5">
      <c r="A207" s="235"/>
      <c r="B207" s="235"/>
      <c r="C207" s="235"/>
      <c r="D207" s="235"/>
      <c r="E207" s="235"/>
    </row>
    <row r="208" hidden="1" spans="1:5">
      <c r="A208" s="235"/>
      <c r="B208" s="235"/>
      <c r="C208" s="235"/>
      <c r="D208" s="235"/>
      <c r="E208" s="235"/>
    </row>
    <row r="209" hidden="1" spans="1:5">
      <c r="A209" s="235"/>
      <c r="B209" s="235"/>
      <c r="C209" s="235"/>
      <c r="D209" s="235"/>
      <c r="E209" s="235"/>
    </row>
    <row r="210" hidden="1" spans="1:5">
      <c r="A210" s="235"/>
      <c r="B210" s="235"/>
      <c r="C210" s="235"/>
      <c r="D210" s="235"/>
      <c r="E210" s="235"/>
    </row>
    <row r="211" hidden="1" spans="1:5">
      <c r="A211" s="235"/>
      <c r="B211" s="235"/>
      <c r="C211" s="235"/>
      <c r="D211" s="235"/>
      <c r="E211" s="235"/>
    </row>
    <row r="212" hidden="1" spans="1:5">
      <c r="A212" s="235"/>
      <c r="B212" s="235"/>
      <c r="C212" s="235"/>
      <c r="D212" s="235"/>
      <c r="E212" s="235"/>
    </row>
    <row r="213" hidden="1" spans="1:5">
      <c r="A213" s="235"/>
      <c r="B213" s="235"/>
      <c r="C213" s="235"/>
      <c r="D213" s="235"/>
      <c r="E213" s="235"/>
    </row>
    <row r="214" hidden="1" spans="1:5">
      <c r="A214" s="235"/>
      <c r="B214" s="235"/>
      <c r="C214" s="235"/>
      <c r="D214" s="235"/>
      <c r="E214" s="235"/>
    </row>
    <row r="215" hidden="1" spans="1:5">
      <c r="A215" s="235"/>
      <c r="B215" s="235"/>
      <c r="C215" s="235"/>
      <c r="D215" s="235"/>
      <c r="E215" s="235"/>
    </row>
    <row r="216" hidden="1" spans="1:5">
      <c r="A216" s="235"/>
      <c r="B216" s="235"/>
      <c r="C216" s="235"/>
      <c r="D216" s="235"/>
      <c r="E216" s="235"/>
    </row>
    <row r="217" hidden="1" spans="1:5">
      <c r="A217" s="235"/>
      <c r="B217" s="235"/>
      <c r="C217" s="235"/>
      <c r="D217" s="235"/>
      <c r="E217" s="235"/>
    </row>
    <row r="218" hidden="1" spans="1:5">
      <c r="A218" s="235"/>
      <c r="B218" s="235"/>
      <c r="C218" s="235"/>
      <c r="D218" s="235"/>
      <c r="E218" s="235"/>
    </row>
    <row r="219" hidden="1" spans="1:5">
      <c r="A219" s="235"/>
      <c r="B219" s="235"/>
      <c r="C219" s="235"/>
      <c r="D219" s="235"/>
      <c r="E219" s="235"/>
    </row>
    <row r="220" hidden="1" spans="1:5">
      <c r="A220" s="235"/>
      <c r="B220" s="235"/>
      <c r="C220" s="235"/>
      <c r="D220" s="235"/>
      <c r="E220" s="235"/>
    </row>
    <row r="221" hidden="1" spans="1:5">
      <c r="A221" s="235"/>
      <c r="B221" s="235"/>
      <c r="C221" s="235"/>
      <c r="D221" s="235"/>
      <c r="E221" s="235"/>
    </row>
    <row r="222" hidden="1" spans="1:5">
      <c r="A222" s="235"/>
      <c r="B222" s="235"/>
      <c r="C222" s="235"/>
      <c r="D222" s="235"/>
      <c r="E222" s="235"/>
    </row>
    <row r="223" hidden="1" spans="1:5">
      <c r="A223" s="235"/>
      <c r="B223" s="235"/>
      <c r="C223" s="235"/>
      <c r="D223" s="235"/>
      <c r="E223" s="235"/>
    </row>
    <row r="224" hidden="1" spans="1:5">
      <c r="A224" s="235"/>
      <c r="B224" s="235"/>
      <c r="C224" s="235"/>
      <c r="D224" s="235"/>
      <c r="E224" s="235"/>
    </row>
    <row r="225" hidden="1" spans="1:5">
      <c r="A225" s="235"/>
      <c r="B225" s="235"/>
      <c r="C225" s="235"/>
      <c r="D225" s="235"/>
      <c r="E225" s="235"/>
    </row>
    <row r="226" hidden="1" spans="1:5">
      <c r="A226" s="235"/>
      <c r="B226" s="235"/>
      <c r="C226" s="235"/>
      <c r="D226" s="235"/>
      <c r="E226" s="235"/>
    </row>
    <row r="227" hidden="1" spans="1:5">
      <c r="A227" s="235"/>
      <c r="B227" s="235"/>
      <c r="C227" s="235"/>
      <c r="D227" s="235"/>
      <c r="E227" s="235"/>
    </row>
    <row r="228" hidden="1" spans="1:5">
      <c r="A228" s="235"/>
      <c r="B228" s="235"/>
      <c r="C228" s="235"/>
      <c r="D228" s="235"/>
      <c r="E228" s="235"/>
    </row>
    <row r="229" hidden="1" spans="1:5">
      <c r="A229" s="235"/>
      <c r="B229" s="235"/>
      <c r="C229" s="235"/>
      <c r="D229" s="235"/>
      <c r="E229" s="235"/>
    </row>
    <row r="230" hidden="1" spans="1:5">
      <c r="A230" s="235"/>
      <c r="B230" s="235"/>
      <c r="C230" s="235"/>
      <c r="D230" s="235"/>
      <c r="E230" s="235"/>
    </row>
    <row r="231" hidden="1" spans="1:5">
      <c r="A231" s="235"/>
      <c r="B231" s="235"/>
      <c r="C231" s="235"/>
      <c r="D231" s="235"/>
      <c r="E231" s="235"/>
    </row>
    <row r="232" hidden="1" spans="1:5">
      <c r="A232" s="235"/>
      <c r="B232" s="235"/>
      <c r="C232" s="235"/>
      <c r="D232" s="235"/>
      <c r="E232" s="235"/>
    </row>
    <row r="233" hidden="1" spans="1:5">
      <c r="A233" s="235"/>
      <c r="B233" s="235"/>
      <c r="C233" s="235"/>
      <c r="D233" s="235"/>
      <c r="E233" s="235"/>
    </row>
    <row r="234" hidden="1" spans="1:5">
      <c r="A234" s="235"/>
      <c r="B234" s="235"/>
      <c r="C234" s="235"/>
      <c r="D234" s="235"/>
      <c r="E234" s="235"/>
    </row>
    <row r="235" hidden="1" spans="1:5">
      <c r="A235" s="235"/>
      <c r="B235" s="235"/>
      <c r="C235" s="235"/>
      <c r="D235" s="235"/>
      <c r="E235" s="235"/>
    </row>
    <row r="236" hidden="1" spans="1:5">
      <c r="A236" s="235"/>
      <c r="B236" s="235"/>
      <c r="C236" s="235"/>
      <c r="D236" s="235"/>
      <c r="E236" s="235"/>
    </row>
    <row r="237" hidden="1" spans="1:5">
      <c r="A237" s="235"/>
      <c r="B237" s="235"/>
      <c r="C237" s="235"/>
      <c r="D237" s="235"/>
      <c r="E237" s="235"/>
    </row>
    <row r="238" hidden="1" spans="1:5">
      <c r="A238" s="235"/>
      <c r="B238" s="235"/>
      <c r="C238" s="235"/>
      <c r="D238" s="235"/>
      <c r="E238" s="235"/>
    </row>
    <row r="239" hidden="1" spans="1:5">
      <c r="A239" s="235"/>
      <c r="B239" s="235"/>
      <c r="C239" s="235"/>
      <c r="D239" s="235"/>
      <c r="E239" s="235"/>
    </row>
    <row r="240" hidden="1" spans="1:5">
      <c r="A240" s="235"/>
      <c r="B240" s="235"/>
      <c r="C240" s="235"/>
      <c r="D240" s="235"/>
      <c r="E240" s="235"/>
    </row>
    <row r="241" hidden="1" spans="1:5">
      <c r="A241" s="235"/>
      <c r="B241" s="235"/>
      <c r="C241" s="235"/>
      <c r="D241" s="235"/>
      <c r="E241" s="235"/>
    </row>
    <row r="242" hidden="1" spans="1:5">
      <c r="A242" s="235"/>
      <c r="B242" s="235"/>
      <c r="C242" s="235"/>
      <c r="D242" s="235"/>
      <c r="E242" s="235"/>
    </row>
    <row r="243" hidden="1" spans="1:5">
      <c r="A243" s="235"/>
      <c r="B243" s="235"/>
      <c r="C243" s="235"/>
      <c r="D243" s="235"/>
      <c r="E243" s="235"/>
    </row>
    <row r="244" hidden="1" spans="1:5">
      <c r="A244" s="235"/>
      <c r="B244" s="235"/>
      <c r="C244" s="235"/>
      <c r="D244" s="235"/>
      <c r="E244" s="235"/>
    </row>
    <row r="245" hidden="1" spans="1:5">
      <c r="A245" s="235"/>
      <c r="B245" s="235"/>
      <c r="C245" s="235"/>
      <c r="D245" s="235"/>
      <c r="E245" s="235"/>
    </row>
    <row r="246" hidden="1" spans="1:5">
      <c r="A246" s="235"/>
      <c r="B246" s="235"/>
      <c r="C246" s="235"/>
      <c r="D246" s="235"/>
      <c r="E246" s="235"/>
    </row>
    <row r="247" hidden="1" spans="1:5">
      <c r="A247" s="235"/>
      <c r="B247" s="235"/>
      <c r="C247" s="235"/>
      <c r="D247" s="235"/>
      <c r="E247" s="235"/>
    </row>
    <row r="248" hidden="1" spans="1:5">
      <c r="A248" s="235"/>
      <c r="B248" s="235"/>
      <c r="C248" s="235"/>
      <c r="D248" s="235"/>
      <c r="E248" s="235"/>
    </row>
    <row r="249" hidden="1" spans="1:5">
      <c r="A249" s="235"/>
      <c r="B249" s="235"/>
      <c r="C249" s="235"/>
      <c r="D249" s="235"/>
      <c r="E249" s="235"/>
    </row>
    <row r="250" hidden="1" spans="1:5">
      <c r="A250" s="235"/>
      <c r="B250" s="235"/>
      <c r="C250" s="235"/>
      <c r="D250" s="235"/>
      <c r="E250" s="235"/>
    </row>
    <row r="251" hidden="1" spans="1:5">
      <c r="A251" s="235"/>
      <c r="B251" s="235"/>
      <c r="C251" s="235"/>
      <c r="D251" s="235"/>
      <c r="E251" s="235"/>
    </row>
    <row r="252" hidden="1" spans="1:5">
      <c r="A252" s="235"/>
      <c r="B252" s="235"/>
      <c r="C252" s="235"/>
      <c r="D252" s="235"/>
      <c r="E252" s="235"/>
    </row>
    <row r="253" hidden="1" spans="1:5">
      <c r="A253" s="235"/>
      <c r="B253" s="235"/>
      <c r="C253" s="235"/>
      <c r="D253" s="235"/>
      <c r="E253" s="235"/>
    </row>
    <row r="254" hidden="1" spans="1:5">
      <c r="A254" s="235"/>
      <c r="B254" s="235"/>
      <c r="C254" s="235"/>
      <c r="D254" s="235"/>
      <c r="E254" s="235"/>
    </row>
    <row r="255" hidden="1" spans="1:5">
      <c r="A255" s="235"/>
      <c r="B255" s="235"/>
      <c r="C255" s="235"/>
      <c r="D255" s="235"/>
      <c r="E255" s="235"/>
    </row>
    <row r="256" hidden="1" spans="1:5">
      <c r="A256" s="235"/>
      <c r="B256" s="235"/>
      <c r="C256" s="235"/>
      <c r="D256" s="235"/>
      <c r="E256" s="235"/>
    </row>
    <row r="257" hidden="1" spans="1:5">
      <c r="A257" s="235"/>
      <c r="B257" s="235"/>
      <c r="C257" s="235"/>
      <c r="D257" s="235"/>
      <c r="E257" s="235"/>
    </row>
    <row r="258" hidden="1" spans="1:5">
      <c r="A258" s="235"/>
      <c r="B258" s="235"/>
      <c r="C258" s="235"/>
      <c r="D258" s="235"/>
      <c r="E258" s="235"/>
    </row>
    <row r="259" hidden="1" spans="1:5">
      <c r="A259" s="235"/>
      <c r="B259" s="235"/>
      <c r="C259" s="235"/>
      <c r="D259" s="235"/>
      <c r="E259" s="235"/>
    </row>
    <row r="260" hidden="1" spans="1:5">
      <c r="A260" s="235"/>
      <c r="B260" s="235"/>
      <c r="C260" s="235"/>
      <c r="D260" s="235"/>
      <c r="E260" s="235"/>
    </row>
    <row r="261" hidden="1" spans="1:5">
      <c r="A261" s="235"/>
      <c r="B261" s="235"/>
      <c r="C261" s="235"/>
      <c r="D261" s="235"/>
      <c r="E261" s="235"/>
    </row>
    <row r="262" hidden="1" spans="1:5">
      <c r="A262" s="235"/>
      <c r="B262" s="235"/>
      <c r="C262" s="235"/>
      <c r="D262" s="235"/>
      <c r="E262" s="235"/>
    </row>
    <row r="263" hidden="1" spans="1:5">
      <c r="A263" s="235"/>
      <c r="B263" s="235"/>
      <c r="C263" s="235"/>
      <c r="D263" s="235"/>
      <c r="E263" s="235"/>
    </row>
    <row r="264" hidden="1" spans="1:5">
      <c r="A264" s="235"/>
      <c r="B264" s="235"/>
      <c r="C264" s="235"/>
      <c r="D264" s="235"/>
      <c r="E264" s="235"/>
    </row>
    <row r="265" hidden="1" spans="1:5">
      <c r="A265" s="235"/>
      <c r="B265" s="235"/>
      <c r="C265" s="235"/>
      <c r="D265" s="235"/>
      <c r="E265" s="235"/>
    </row>
    <row r="266" hidden="1" spans="1:5">
      <c r="A266" s="235"/>
      <c r="B266" s="235"/>
      <c r="C266" s="235"/>
      <c r="D266" s="235"/>
      <c r="E266" s="235"/>
    </row>
    <row r="267" hidden="1" spans="1:5">
      <c r="A267" s="235"/>
      <c r="B267" s="235"/>
      <c r="C267" s="235"/>
      <c r="D267" s="235"/>
      <c r="E267" s="235"/>
    </row>
    <row r="268" hidden="1" spans="1:5">
      <c r="A268" s="235"/>
      <c r="B268" s="235"/>
      <c r="C268" s="235"/>
      <c r="D268" s="235"/>
      <c r="E268" s="235"/>
    </row>
    <row r="269" hidden="1" spans="1:5">
      <c r="A269" s="235"/>
      <c r="B269" s="235"/>
      <c r="C269" s="235"/>
      <c r="D269" s="235"/>
      <c r="E269" s="235"/>
    </row>
    <row r="270" hidden="1" spans="1:5">
      <c r="A270" s="235"/>
      <c r="B270" s="235"/>
      <c r="C270" s="235"/>
      <c r="D270" s="235"/>
      <c r="E270" s="235"/>
    </row>
    <row r="271" hidden="1" spans="1:5">
      <c r="A271" s="235"/>
      <c r="B271" s="235"/>
      <c r="C271" s="235"/>
      <c r="D271" s="235"/>
      <c r="E271" s="235"/>
    </row>
    <row r="272" hidden="1" spans="1:5">
      <c r="A272" s="235"/>
      <c r="B272" s="235"/>
      <c r="C272" s="235"/>
      <c r="D272" s="235"/>
      <c r="E272" s="235"/>
    </row>
    <row r="273" hidden="1" spans="1:5">
      <c r="A273" s="235"/>
      <c r="B273" s="235"/>
      <c r="C273" s="235"/>
      <c r="D273" s="235"/>
      <c r="E273" s="235"/>
    </row>
    <row r="274" hidden="1" spans="1:5">
      <c r="A274" s="235"/>
      <c r="B274" s="235"/>
      <c r="C274" s="235"/>
      <c r="D274" s="235"/>
      <c r="E274" s="235"/>
    </row>
    <row r="275" hidden="1" spans="1:5">
      <c r="A275" s="235"/>
      <c r="B275" s="235"/>
      <c r="C275" s="235"/>
      <c r="D275" s="235"/>
      <c r="E275" s="235"/>
    </row>
    <row r="276" hidden="1" spans="1:5">
      <c r="A276" s="235"/>
      <c r="B276" s="235"/>
      <c r="C276" s="235"/>
      <c r="D276" s="235"/>
      <c r="E276" s="235"/>
    </row>
    <row r="277" hidden="1" spans="1:5">
      <c r="A277" s="235"/>
      <c r="B277" s="235"/>
      <c r="C277" s="235"/>
      <c r="D277" s="235"/>
      <c r="E277" s="235"/>
    </row>
    <row r="278" hidden="1" spans="1:5">
      <c r="A278" s="235"/>
      <c r="B278" s="235"/>
      <c r="C278" s="235"/>
      <c r="D278" s="235"/>
      <c r="E278" s="235"/>
    </row>
    <row r="279" hidden="1" spans="1:5">
      <c r="A279" s="235"/>
      <c r="B279" s="235"/>
      <c r="C279" s="235"/>
      <c r="D279" s="235"/>
      <c r="E279" s="235"/>
    </row>
    <row r="280" hidden="1" spans="1:5">
      <c r="A280" s="235"/>
      <c r="B280" s="235"/>
      <c r="C280" s="235"/>
      <c r="D280" s="235"/>
      <c r="E280" s="235"/>
    </row>
    <row r="281" hidden="1" spans="1:5">
      <c r="A281" s="235"/>
      <c r="B281" s="235"/>
      <c r="C281" s="235"/>
      <c r="D281" s="235"/>
      <c r="E281" s="235"/>
    </row>
    <row r="282" hidden="1" spans="1:5">
      <c r="A282" s="235"/>
      <c r="B282" s="235"/>
      <c r="C282" s="235"/>
      <c r="D282" s="235"/>
      <c r="E282" s="235"/>
    </row>
    <row r="283" hidden="1" spans="1:5">
      <c r="A283" s="235"/>
      <c r="B283" s="235"/>
      <c r="C283" s="235"/>
      <c r="D283" s="235"/>
      <c r="E283" s="235"/>
    </row>
    <row r="284" hidden="1" spans="1:5">
      <c r="A284" s="235"/>
      <c r="B284" s="235"/>
      <c r="C284" s="235"/>
      <c r="D284" s="235"/>
      <c r="E284" s="235"/>
    </row>
    <row r="285" hidden="1" spans="1:5">
      <c r="A285" s="235"/>
      <c r="B285" s="235"/>
      <c r="C285" s="235"/>
      <c r="D285" s="235"/>
      <c r="E285" s="235"/>
    </row>
    <row r="286" hidden="1" spans="1:5">
      <c r="A286" s="235"/>
      <c r="B286" s="235"/>
      <c r="C286" s="235"/>
      <c r="D286" s="235"/>
      <c r="E286" s="235"/>
    </row>
    <row r="287" hidden="1" spans="1:5">
      <c r="A287" s="235"/>
      <c r="B287" s="235"/>
      <c r="C287" s="235"/>
      <c r="D287" s="235"/>
      <c r="E287" s="235"/>
    </row>
    <row r="288" hidden="1" spans="1:5">
      <c r="A288" s="235"/>
      <c r="B288" s="235"/>
      <c r="C288" s="235"/>
      <c r="D288" s="235"/>
      <c r="E288" s="235"/>
    </row>
    <row r="289" hidden="1" spans="1:5">
      <c r="A289" s="235"/>
      <c r="B289" s="235"/>
      <c r="C289" s="235"/>
      <c r="D289" s="235"/>
      <c r="E289" s="235"/>
    </row>
    <row r="290" hidden="1" spans="1:5">
      <c r="A290" s="235"/>
      <c r="B290" s="235"/>
      <c r="C290" s="235"/>
      <c r="D290" s="235"/>
      <c r="E290" s="235"/>
    </row>
    <row r="291" hidden="1" spans="1:5">
      <c r="A291" s="235"/>
      <c r="B291" s="235"/>
      <c r="C291" s="235"/>
      <c r="D291" s="235"/>
      <c r="E291" s="235"/>
    </row>
    <row r="292" hidden="1" spans="1:5">
      <c r="A292" s="235"/>
      <c r="B292" s="235"/>
      <c r="C292" s="235"/>
      <c r="D292" s="235"/>
      <c r="E292" s="235"/>
    </row>
    <row r="293" hidden="1" spans="1:5">
      <c r="A293" s="235"/>
      <c r="B293" s="235"/>
      <c r="C293" s="235"/>
      <c r="D293" s="235"/>
      <c r="E293" s="235"/>
    </row>
    <row r="294" hidden="1" spans="1:5">
      <c r="A294" s="235"/>
      <c r="B294" s="235"/>
      <c r="C294" s="235"/>
      <c r="D294" s="235"/>
      <c r="E294" s="235"/>
    </row>
    <row r="295" hidden="1" spans="1:5">
      <c r="A295" s="235"/>
      <c r="B295" s="235"/>
      <c r="C295" s="235"/>
      <c r="D295" s="235"/>
      <c r="E295" s="235"/>
    </row>
    <row r="296" hidden="1" spans="1:5">
      <c r="A296" s="235"/>
      <c r="B296" s="235"/>
      <c r="C296" s="235"/>
      <c r="D296" s="235"/>
      <c r="E296" s="235"/>
    </row>
    <row r="297" hidden="1" spans="1:5">
      <c r="A297" s="235"/>
      <c r="B297" s="235"/>
      <c r="C297" s="235"/>
      <c r="D297" s="235"/>
      <c r="E297" s="235"/>
    </row>
    <row r="298" hidden="1" spans="1:5">
      <c r="A298" s="235"/>
      <c r="B298" s="235"/>
      <c r="C298" s="235"/>
      <c r="D298" s="235"/>
      <c r="E298" s="235"/>
    </row>
    <row r="299" hidden="1" spans="1:5">
      <c r="A299" s="235"/>
      <c r="B299" s="235"/>
      <c r="C299" s="235"/>
      <c r="D299" s="235"/>
      <c r="E299" s="235"/>
    </row>
    <row r="300" hidden="1" spans="1:5">
      <c r="A300" s="235"/>
      <c r="B300" s="235"/>
      <c r="C300" s="235"/>
      <c r="D300" s="235"/>
      <c r="E300" s="235"/>
    </row>
    <row r="301" hidden="1" spans="1:5">
      <c r="A301" s="235"/>
      <c r="B301" s="235"/>
      <c r="C301" s="235"/>
      <c r="D301" s="235"/>
      <c r="E301" s="235"/>
    </row>
    <row r="302" hidden="1" spans="1:5">
      <c r="A302" s="235"/>
      <c r="B302" s="235"/>
      <c r="C302" s="235"/>
      <c r="D302" s="235"/>
      <c r="E302" s="235"/>
    </row>
    <row r="303" hidden="1" spans="1:5">
      <c r="A303" s="235"/>
      <c r="B303" s="235"/>
      <c r="C303" s="235"/>
      <c r="D303" s="235"/>
      <c r="E303" s="235"/>
    </row>
    <row r="304" hidden="1" spans="1:5">
      <c r="A304" s="235"/>
      <c r="B304" s="235"/>
      <c r="C304" s="235"/>
      <c r="D304" s="235"/>
      <c r="E304" s="235"/>
    </row>
    <row r="305" hidden="1" spans="1:5">
      <c r="A305" s="235"/>
      <c r="B305" s="235"/>
      <c r="C305" s="235"/>
      <c r="D305" s="235"/>
      <c r="E305" s="235"/>
    </row>
    <row r="306" hidden="1" spans="1:5">
      <c r="A306" s="235"/>
      <c r="B306" s="235"/>
      <c r="C306" s="235"/>
      <c r="D306" s="235"/>
      <c r="E306" s="235"/>
    </row>
    <row r="307" hidden="1" spans="1:5">
      <c r="A307" s="235"/>
      <c r="B307" s="235"/>
      <c r="C307" s="235"/>
      <c r="D307" s="235"/>
      <c r="E307" s="235"/>
    </row>
    <row r="308" hidden="1" spans="1:5">
      <c r="A308" s="235"/>
      <c r="B308" s="235"/>
      <c r="C308" s="235"/>
      <c r="D308" s="235"/>
      <c r="E308" s="235"/>
    </row>
    <row r="309" hidden="1" spans="1:5">
      <c r="A309" s="235"/>
      <c r="B309" s="235"/>
      <c r="C309" s="235"/>
      <c r="D309" s="235"/>
      <c r="E309" s="235"/>
    </row>
    <row r="310" hidden="1" spans="1:5">
      <c r="A310" s="235"/>
      <c r="B310" s="235"/>
      <c r="C310" s="235"/>
      <c r="D310" s="235"/>
      <c r="E310" s="235"/>
    </row>
    <row r="311" hidden="1" spans="1:5">
      <c r="A311" s="235"/>
      <c r="B311" s="235"/>
      <c r="C311" s="235"/>
      <c r="D311" s="235"/>
      <c r="E311" s="235"/>
    </row>
    <row r="312" hidden="1" spans="1:5">
      <c r="A312" s="235"/>
      <c r="B312" s="235"/>
      <c r="C312" s="235"/>
      <c r="D312" s="235"/>
      <c r="E312" s="235"/>
    </row>
    <row r="313" hidden="1" spans="1:5">
      <c r="A313" s="235"/>
      <c r="B313" s="235"/>
      <c r="C313" s="235"/>
      <c r="D313" s="235"/>
      <c r="E313" s="235"/>
    </row>
    <row r="314" hidden="1" spans="1:5">
      <c r="A314" s="235"/>
      <c r="B314" s="235"/>
      <c r="C314" s="235"/>
      <c r="D314" s="235"/>
      <c r="E314" s="235"/>
    </row>
    <row r="315" hidden="1" spans="1:5">
      <c r="A315" s="235"/>
      <c r="B315" s="235"/>
      <c r="C315" s="235"/>
      <c r="D315" s="235"/>
      <c r="E315" s="235"/>
    </row>
    <row r="316" hidden="1" spans="1:5">
      <c r="A316" s="235"/>
      <c r="B316" s="235"/>
      <c r="C316" s="235"/>
      <c r="D316" s="235"/>
      <c r="E316" s="235"/>
    </row>
    <row r="317" hidden="1" spans="1:5">
      <c r="A317" s="235"/>
      <c r="B317" s="235"/>
      <c r="C317" s="235"/>
      <c r="D317" s="235"/>
      <c r="E317" s="235"/>
    </row>
    <row r="318" hidden="1" spans="1:5">
      <c r="A318" s="235"/>
      <c r="B318" s="235"/>
      <c r="C318" s="235"/>
      <c r="D318" s="235"/>
      <c r="E318" s="235"/>
    </row>
    <row r="319" hidden="1" spans="1:5">
      <c r="A319" s="235"/>
      <c r="B319" s="235"/>
      <c r="C319" s="235"/>
      <c r="D319" s="235"/>
      <c r="E319" s="235"/>
    </row>
    <row r="320" hidden="1" spans="1:5">
      <c r="A320" s="235"/>
      <c r="B320" s="235"/>
      <c r="C320" s="235"/>
      <c r="D320" s="235"/>
      <c r="E320" s="235"/>
    </row>
    <row r="321" hidden="1" spans="1:5">
      <c r="A321" s="235"/>
      <c r="B321" s="235"/>
      <c r="C321" s="235"/>
      <c r="D321" s="235"/>
      <c r="E321" s="235"/>
    </row>
    <row r="322" hidden="1" spans="1:5">
      <c r="A322" s="235"/>
      <c r="B322" s="235"/>
      <c r="C322" s="235"/>
      <c r="D322" s="235"/>
      <c r="E322" s="235"/>
    </row>
    <row r="323" hidden="1" spans="1:5">
      <c r="A323" s="235"/>
      <c r="B323" s="235"/>
      <c r="C323" s="235"/>
      <c r="D323" s="235"/>
      <c r="E323" s="235"/>
    </row>
    <row r="324" hidden="1" spans="1:5">
      <c r="A324" s="235"/>
      <c r="B324" s="235"/>
      <c r="C324" s="235"/>
      <c r="D324" s="235"/>
      <c r="E324" s="235"/>
    </row>
    <row r="325" hidden="1" spans="1:5">
      <c r="A325" s="235"/>
      <c r="B325" s="235"/>
      <c r="C325" s="235"/>
      <c r="D325" s="235"/>
      <c r="E325" s="235"/>
    </row>
    <row r="326" hidden="1" spans="1:5">
      <c r="A326" s="235"/>
      <c r="B326" s="235"/>
      <c r="C326" s="235"/>
      <c r="D326" s="235"/>
      <c r="E326" s="235"/>
    </row>
    <row r="327" hidden="1" spans="1:5">
      <c r="A327" s="235"/>
      <c r="B327" s="235"/>
      <c r="C327" s="235"/>
      <c r="D327" s="235"/>
      <c r="E327" s="235"/>
    </row>
    <row r="328" hidden="1" spans="1:5">
      <c r="A328" s="235"/>
      <c r="B328" s="235"/>
      <c r="C328" s="235"/>
      <c r="D328" s="235"/>
      <c r="E328" s="235"/>
    </row>
    <row r="329" hidden="1" spans="1:5">
      <c r="A329" s="235"/>
      <c r="B329" s="235"/>
      <c r="C329" s="235"/>
      <c r="D329" s="235"/>
      <c r="E329" s="235"/>
    </row>
    <row r="330" hidden="1" spans="1:5">
      <c r="A330" s="235"/>
      <c r="B330" s="235"/>
      <c r="C330" s="235"/>
      <c r="D330" s="235"/>
      <c r="E330" s="235"/>
    </row>
    <row r="331" hidden="1" spans="1:5">
      <c r="A331" s="235"/>
      <c r="B331" s="235"/>
      <c r="C331" s="235"/>
      <c r="D331" s="235"/>
      <c r="E331" s="235"/>
    </row>
    <row r="332" hidden="1" spans="1:5">
      <c r="A332" s="235"/>
      <c r="B332" s="235"/>
      <c r="C332" s="235"/>
      <c r="D332" s="235"/>
      <c r="E332" s="235"/>
    </row>
    <row r="333" hidden="1" spans="1:5">
      <c r="A333" s="235"/>
      <c r="B333" s="235"/>
      <c r="C333" s="235"/>
      <c r="D333" s="235"/>
      <c r="E333" s="235"/>
    </row>
    <row r="334" hidden="1" spans="1:5">
      <c r="A334" s="235"/>
      <c r="B334" s="235"/>
      <c r="C334" s="235"/>
      <c r="D334" s="235"/>
      <c r="E334" s="235"/>
    </row>
    <row r="335" hidden="1" spans="1:5">
      <c r="A335" s="235"/>
      <c r="B335" s="235"/>
      <c r="C335" s="235"/>
      <c r="D335" s="235"/>
      <c r="E335" s="235"/>
    </row>
    <row r="336" hidden="1" spans="1:5">
      <c r="A336" s="235"/>
      <c r="B336" s="235"/>
      <c r="C336" s="235"/>
      <c r="D336" s="235"/>
      <c r="E336" s="235"/>
    </row>
    <row r="337" hidden="1" spans="1:5">
      <c r="A337" s="235"/>
      <c r="B337" s="235"/>
      <c r="C337" s="235"/>
      <c r="D337" s="235"/>
      <c r="E337" s="235"/>
    </row>
    <row r="338" hidden="1" spans="1:5">
      <c r="A338" s="235"/>
      <c r="B338" s="235"/>
      <c r="C338" s="235"/>
      <c r="D338" s="235"/>
      <c r="E338" s="235"/>
    </row>
    <row r="339" hidden="1" spans="1:5">
      <c r="A339" s="235"/>
      <c r="B339" s="235"/>
      <c r="C339" s="235"/>
      <c r="D339" s="235"/>
      <c r="E339" s="235"/>
    </row>
    <row r="340" hidden="1" spans="1:5">
      <c r="A340" s="235"/>
      <c r="B340" s="235"/>
      <c r="C340" s="235"/>
      <c r="D340" s="235"/>
      <c r="E340" s="235"/>
    </row>
    <row r="341" hidden="1" spans="1:5">
      <c r="A341" s="235"/>
      <c r="B341" s="235"/>
      <c r="C341" s="235"/>
      <c r="D341" s="235"/>
      <c r="E341" s="235"/>
    </row>
    <row r="342" hidden="1" spans="1:5">
      <c r="A342" s="235"/>
      <c r="B342" s="235"/>
      <c r="C342" s="235"/>
      <c r="D342" s="235"/>
      <c r="E342" s="235"/>
    </row>
    <row r="343" hidden="1" spans="1:5">
      <c r="A343" s="235"/>
      <c r="B343" s="235"/>
      <c r="C343" s="235"/>
      <c r="D343" s="235"/>
      <c r="E343" s="235"/>
    </row>
    <row r="344" hidden="1" spans="1:5">
      <c r="A344" s="235"/>
      <c r="B344" s="235"/>
      <c r="C344" s="235"/>
      <c r="D344" s="235"/>
      <c r="E344" s="235"/>
    </row>
    <row r="345" hidden="1" spans="1:5">
      <c r="A345" s="235"/>
      <c r="B345" s="235"/>
      <c r="C345" s="235"/>
      <c r="D345" s="235"/>
      <c r="E345" s="235"/>
    </row>
    <row r="346" hidden="1" spans="1:5">
      <c r="A346" s="235"/>
      <c r="B346" s="235"/>
      <c r="C346" s="235"/>
      <c r="D346" s="235"/>
      <c r="E346" s="235"/>
    </row>
    <row r="347" hidden="1" spans="1:5">
      <c r="A347" s="235"/>
      <c r="B347" s="235"/>
      <c r="C347" s="235"/>
      <c r="D347" s="235"/>
      <c r="E347" s="235"/>
    </row>
    <row r="348" hidden="1" spans="1:5">
      <c r="A348" s="235"/>
      <c r="B348" s="235"/>
      <c r="C348" s="235"/>
      <c r="D348" s="235"/>
      <c r="E348" s="235"/>
    </row>
    <row r="349" hidden="1" spans="1:5">
      <c r="A349" s="235"/>
      <c r="B349" s="235"/>
      <c r="C349" s="235"/>
      <c r="D349" s="235"/>
      <c r="E349" s="235"/>
    </row>
    <row r="350" hidden="1" spans="1:5">
      <c r="A350" s="235"/>
      <c r="B350" s="235"/>
      <c r="C350" s="235"/>
      <c r="D350" s="235"/>
      <c r="E350" s="235"/>
    </row>
    <row r="351" hidden="1" spans="1:5">
      <c r="A351" s="235"/>
      <c r="B351" s="235"/>
      <c r="C351" s="235"/>
      <c r="D351" s="235"/>
      <c r="E351" s="235"/>
    </row>
    <row r="352" hidden="1" spans="1:5">
      <c r="A352" s="235"/>
      <c r="B352" s="235"/>
      <c r="C352" s="235"/>
      <c r="D352" s="235"/>
      <c r="E352" s="235"/>
    </row>
    <row r="353" hidden="1" spans="1:5">
      <c r="A353" s="235"/>
      <c r="B353" s="235"/>
      <c r="C353" s="235"/>
      <c r="D353" s="235"/>
      <c r="E353" s="235"/>
    </row>
    <row r="354" hidden="1" spans="1:5">
      <c r="A354" s="235"/>
      <c r="B354" s="235"/>
      <c r="C354" s="235"/>
      <c r="D354" s="235"/>
      <c r="E354" s="235"/>
    </row>
    <row r="355" hidden="1" spans="1:5">
      <c r="A355" s="235"/>
      <c r="B355" s="235"/>
      <c r="C355" s="235"/>
      <c r="D355" s="235"/>
      <c r="E355" s="235"/>
    </row>
    <row r="356" hidden="1" spans="1:5">
      <c r="A356" s="235"/>
      <c r="B356" s="235"/>
      <c r="C356" s="235"/>
      <c r="D356" s="235"/>
      <c r="E356" s="235"/>
    </row>
    <row r="357" hidden="1" spans="1:5">
      <c r="A357" s="235"/>
      <c r="B357" s="235"/>
      <c r="C357" s="235"/>
      <c r="D357" s="235"/>
      <c r="E357" s="235"/>
    </row>
    <row r="358" hidden="1" spans="1:5">
      <c r="A358" s="235"/>
      <c r="B358" s="235"/>
      <c r="C358" s="235"/>
      <c r="D358" s="235"/>
      <c r="E358" s="235"/>
    </row>
    <row r="359" hidden="1" spans="1:5">
      <c r="A359" s="235"/>
      <c r="B359" s="235"/>
      <c r="C359" s="235"/>
      <c r="D359" s="235"/>
      <c r="E359" s="235"/>
    </row>
    <row r="360" hidden="1" spans="1:5">
      <c r="A360" s="235"/>
      <c r="B360" s="235"/>
      <c r="C360" s="235"/>
      <c r="D360" s="235"/>
      <c r="E360" s="235"/>
    </row>
    <row r="361" hidden="1" spans="1:5">
      <c r="A361" s="235"/>
      <c r="B361" s="235"/>
      <c r="C361" s="235"/>
      <c r="D361" s="235"/>
      <c r="E361" s="235"/>
    </row>
    <row r="362" hidden="1" spans="1:5">
      <c r="A362" s="235"/>
      <c r="B362" s="235"/>
      <c r="C362" s="235"/>
      <c r="D362" s="235"/>
      <c r="E362" s="235"/>
    </row>
    <row r="363" hidden="1" spans="1:5">
      <c r="A363" s="235"/>
      <c r="B363" s="235"/>
      <c r="C363" s="235"/>
      <c r="D363" s="235"/>
      <c r="E363" s="235"/>
    </row>
    <row r="364" hidden="1" spans="1:5">
      <c r="A364" s="235"/>
      <c r="B364" s="235"/>
      <c r="C364" s="235"/>
      <c r="D364" s="235"/>
      <c r="E364" s="235"/>
    </row>
    <row r="365" hidden="1" spans="1:5">
      <c r="A365" s="235"/>
      <c r="B365" s="235"/>
      <c r="C365" s="235"/>
      <c r="D365" s="235"/>
      <c r="E365" s="235"/>
    </row>
    <row r="366" hidden="1" spans="1:5">
      <c r="A366" s="235"/>
      <c r="B366" s="235"/>
      <c r="C366" s="235"/>
      <c r="D366" s="235"/>
      <c r="E366" s="235"/>
    </row>
    <row r="367" hidden="1" spans="1:5">
      <c r="A367" s="235"/>
      <c r="B367" s="235"/>
      <c r="C367" s="235"/>
      <c r="D367" s="235"/>
      <c r="E367" s="235"/>
    </row>
    <row r="368" hidden="1" spans="1:5">
      <c r="A368" s="235"/>
      <c r="B368" s="235"/>
      <c r="C368" s="235"/>
      <c r="D368" s="235"/>
      <c r="E368" s="235"/>
    </row>
    <row r="369" hidden="1" spans="1:5">
      <c r="A369" s="235"/>
      <c r="B369" s="235"/>
      <c r="C369" s="235"/>
      <c r="D369" s="235"/>
      <c r="E369" s="235"/>
    </row>
    <row r="370" hidden="1" spans="1:5">
      <c r="A370" s="235"/>
      <c r="B370" s="235"/>
      <c r="C370" s="235"/>
      <c r="D370" s="235"/>
      <c r="E370" s="235"/>
    </row>
    <row r="371" hidden="1" spans="1:5">
      <c r="A371" s="235"/>
      <c r="B371" s="235"/>
      <c r="C371" s="235"/>
      <c r="D371" s="235"/>
      <c r="E371" s="235"/>
    </row>
    <row r="372" hidden="1" spans="1:5">
      <c r="A372" s="235"/>
      <c r="B372" s="235"/>
      <c r="C372" s="235"/>
      <c r="D372" s="235"/>
      <c r="E372" s="235"/>
    </row>
    <row r="373" hidden="1" spans="1:5">
      <c r="A373" s="235"/>
      <c r="B373" s="235"/>
      <c r="C373" s="235"/>
      <c r="D373" s="235"/>
      <c r="E373" s="235"/>
    </row>
    <row r="374" hidden="1" spans="1:5">
      <c r="A374" s="235"/>
      <c r="B374" s="235"/>
      <c r="C374" s="235"/>
      <c r="D374" s="235"/>
      <c r="E374" s="235"/>
    </row>
    <row r="375" hidden="1" spans="1:5">
      <c r="A375" s="235"/>
      <c r="B375" s="235"/>
      <c r="C375" s="235"/>
      <c r="D375" s="235"/>
      <c r="E375" s="235"/>
    </row>
    <row r="376" hidden="1" spans="1:5">
      <c r="A376" s="235"/>
      <c r="B376" s="235"/>
      <c r="C376" s="235"/>
      <c r="D376" s="235"/>
      <c r="E376" s="235"/>
    </row>
    <row r="377" hidden="1" spans="1:5">
      <c r="A377" s="235"/>
      <c r="B377" s="235"/>
      <c r="C377" s="235"/>
      <c r="D377" s="235"/>
      <c r="E377" s="235"/>
    </row>
    <row r="378" hidden="1" spans="1:5">
      <c r="A378" s="235"/>
      <c r="B378" s="235"/>
      <c r="C378" s="235"/>
      <c r="D378" s="235"/>
      <c r="E378" s="235"/>
    </row>
    <row r="379" hidden="1" spans="1:5">
      <c r="A379" s="235"/>
      <c r="B379" s="235"/>
      <c r="C379" s="235"/>
      <c r="D379" s="235"/>
      <c r="E379" s="235"/>
    </row>
    <row r="380" hidden="1" spans="1:5">
      <c r="A380" s="235"/>
      <c r="B380" s="235"/>
      <c r="C380" s="235"/>
      <c r="D380" s="235"/>
      <c r="E380" s="235"/>
    </row>
    <row r="381" hidden="1" spans="1:5">
      <c r="A381" s="235"/>
      <c r="B381" s="235"/>
      <c r="C381" s="235"/>
      <c r="D381" s="235"/>
      <c r="E381" s="235"/>
    </row>
    <row r="382" hidden="1" spans="1:5">
      <c r="A382" s="235"/>
      <c r="B382" s="235"/>
      <c r="C382" s="235"/>
      <c r="D382" s="235"/>
      <c r="E382" s="235"/>
    </row>
    <row r="383" hidden="1" spans="1:5">
      <c r="A383" s="235"/>
      <c r="B383" s="235"/>
      <c r="C383" s="235"/>
      <c r="D383" s="235"/>
      <c r="E383" s="235"/>
    </row>
    <row r="384" hidden="1" spans="1:5">
      <c r="A384" s="235"/>
      <c r="B384" s="235"/>
      <c r="C384" s="235"/>
      <c r="D384" s="235"/>
      <c r="E384" s="235"/>
    </row>
    <row r="385" hidden="1" spans="1:5">
      <c r="A385" s="235"/>
      <c r="B385" s="235"/>
      <c r="C385" s="235"/>
      <c r="D385" s="235"/>
      <c r="E385" s="235"/>
    </row>
    <row r="386" hidden="1" spans="1:5">
      <c r="A386" s="235"/>
      <c r="B386" s="235"/>
      <c r="C386" s="235"/>
      <c r="D386" s="235"/>
      <c r="E386" s="235"/>
    </row>
    <row r="387" hidden="1" spans="1:5">
      <c r="A387" s="235"/>
      <c r="B387" s="235"/>
      <c r="C387" s="235"/>
      <c r="D387" s="235"/>
      <c r="E387" s="235"/>
    </row>
    <row r="388" hidden="1" spans="1:5">
      <c r="A388" s="235"/>
      <c r="B388" s="235"/>
      <c r="C388" s="235"/>
      <c r="D388" s="235"/>
      <c r="E388" s="235"/>
    </row>
    <row r="389" hidden="1" spans="1:5">
      <c r="A389" s="235"/>
      <c r="B389" s="235"/>
      <c r="C389" s="235"/>
      <c r="D389" s="235"/>
      <c r="E389" s="235"/>
    </row>
    <row r="390" hidden="1" spans="1:5">
      <c r="A390" s="235"/>
      <c r="B390" s="235"/>
      <c r="C390" s="235"/>
      <c r="D390" s="235"/>
      <c r="E390" s="235"/>
    </row>
    <row r="391" hidden="1" spans="1:5">
      <c r="A391" s="235"/>
      <c r="B391" s="235"/>
      <c r="C391" s="235"/>
      <c r="D391" s="235"/>
      <c r="E391" s="235"/>
    </row>
    <row r="392" hidden="1" spans="1:5">
      <c r="A392" s="235"/>
      <c r="B392" s="235"/>
      <c r="C392" s="235"/>
      <c r="D392" s="235"/>
      <c r="E392" s="235"/>
    </row>
    <row r="393" hidden="1" spans="1:5">
      <c r="A393" s="235"/>
      <c r="B393" s="235"/>
      <c r="C393" s="235"/>
      <c r="D393" s="235"/>
      <c r="E393" s="235"/>
    </row>
    <row r="394" hidden="1" spans="1:5">
      <c r="A394" s="235"/>
      <c r="B394" s="235"/>
      <c r="C394" s="235"/>
      <c r="D394" s="235"/>
      <c r="E394" s="235"/>
    </row>
    <row r="395" hidden="1" spans="1:5">
      <c r="A395" s="235"/>
      <c r="B395" s="235"/>
      <c r="C395" s="235"/>
      <c r="D395" s="235"/>
      <c r="E395" s="235"/>
    </row>
    <row r="396" hidden="1" spans="1:5">
      <c r="A396" s="235"/>
      <c r="B396" s="235"/>
      <c r="C396" s="235"/>
      <c r="D396" s="235"/>
      <c r="E396" s="235"/>
    </row>
    <row r="397" hidden="1" spans="1:5">
      <c r="A397" s="235"/>
      <c r="B397" s="235"/>
      <c r="C397" s="235"/>
      <c r="D397" s="235"/>
      <c r="E397" s="235"/>
    </row>
    <row r="398" hidden="1" spans="1:5">
      <c r="A398" s="235"/>
      <c r="B398" s="235"/>
      <c r="C398" s="235"/>
      <c r="D398" s="235"/>
      <c r="E398" s="235"/>
    </row>
    <row r="399" hidden="1" spans="1:5">
      <c r="A399" s="235"/>
      <c r="B399" s="235"/>
      <c r="C399" s="235"/>
      <c r="D399" s="235"/>
      <c r="E399" s="235"/>
    </row>
    <row r="400" hidden="1" spans="1:5">
      <c r="A400" s="235"/>
      <c r="B400" s="235"/>
      <c r="C400" s="235"/>
      <c r="D400" s="235"/>
      <c r="E400" s="235"/>
    </row>
    <row r="401" hidden="1" spans="1:5">
      <c r="A401" s="235"/>
      <c r="B401" s="235"/>
      <c r="C401" s="235"/>
      <c r="D401" s="235"/>
      <c r="E401" s="235"/>
    </row>
    <row r="402" hidden="1" spans="1:5">
      <c r="A402" s="235"/>
      <c r="B402" s="235"/>
      <c r="C402" s="235"/>
      <c r="D402" s="235"/>
      <c r="E402" s="235"/>
    </row>
    <row r="403" hidden="1" spans="1:5">
      <c r="A403" s="235"/>
      <c r="B403" s="235"/>
      <c r="C403" s="235"/>
      <c r="D403" s="235"/>
      <c r="E403" s="235"/>
    </row>
    <row r="404" hidden="1" spans="1:5">
      <c r="A404" s="235"/>
      <c r="B404" s="235"/>
      <c r="C404" s="235"/>
      <c r="D404" s="235"/>
      <c r="E404" s="235"/>
    </row>
    <row r="405" hidden="1" spans="1:5">
      <c r="A405" s="235"/>
      <c r="B405" s="235"/>
      <c r="C405" s="235"/>
      <c r="D405" s="235"/>
      <c r="E405" s="235"/>
    </row>
    <row r="406" hidden="1" spans="1:5">
      <c r="A406" s="235"/>
      <c r="B406" s="235"/>
      <c r="C406" s="235"/>
      <c r="D406" s="235"/>
      <c r="E406" s="235"/>
    </row>
    <row r="407" hidden="1" spans="1:5">
      <c r="A407" s="235"/>
      <c r="B407" s="235"/>
      <c r="C407" s="235"/>
      <c r="D407" s="235"/>
      <c r="E407" s="235"/>
    </row>
    <row r="408" hidden="1" spans="1:5">
      <c r="A408" s="235"/>
      <c r="B408" s="235"/>
      <c r="C408" s="235"/>
      <c r="D408" s="235"/>
      <c r="E408" s="235"/>
    </row>
    <row r="409" hidden="1" spans="1:5">
      <c r="A409" s="235"/>
      <c r="B409" s="235"/>
      <c r="C409" s="235"/>
      <c r="D409" s="235"/>
      <c r="E409" s="235"/>
    </row>
    <row r="410" hidden="1" spans="1:5">
      <c r="A410" s="235"/>
      <c r="B410" s="235"/>
      <c r="C410" s="235"/>
      <c r="D410" s="235"/>
      <c r="E410" s="235"/>
    </row>
    <row r="411" hidden="1" spans="1:5">
      <c r="A411" s="235"/>
      <c r="B411" s="235"/>
      <c r="C411" s="235"/>
      <c r="D411" s="235"/>
      <c r="E411" s="235"/>
    </row>
    <row r="412" hidden="1" spans="1:5">
      <c r="A412" s="235"/>
      <c r="B412" s="235"/>
      <c r="C412" s="235"/>
      <c r="D412" s="235"/>
      <c r="E412" s="235"/>
    </row>
    <row r="413" hidden="1" spans="1:5">
      <c r="A413" s="235"/>
      <c r="B413" s="235"/>
      <c r="C413" s="235"/>
      <c r="D413" s="235"/>
      <c r="E413" s="235"/>
    </row>
    <row r="414" hidden="1" spans="1:5">
      <c r="A414" s="235"/>
      <c r="B414" s="235"/>
      <c r="C414" s="235"/>
      <c r="D414" s="235"/>
      <c r="E414" s="235"/>
    </row>
    <row r="415" hidden="1" spans="1:5">
      <c r="A415" s="235"/>
      <c r="B415" s="235"/>
      <c r="C415" s="235"/>
      <c r="D415" s="235"/>
      <c r="E415" s="235"/>
    </row>
    <row r="416" hidden="1" spans="1:5">
      <c r="A416" s="235"/>
      <c r="B416" s="235"/>
      <c r="C416" s="235"/>
      <c r="D416" s="235"/>
      <c r="E416" s="235"/>
    </row>
    <row r="417" hidden="1" spans="1:5">
      <c r="A417" s="235"/>
      <c r="B417" s="235"/>
      <c r="C417" s="235"/>
      <c r="D417" s="235"/>
      <c r="E417" s="235"/>
    </row>
    <row r="418" hidden="1" spans="1:5">
      <c r="A418" s="235"/>
      <c r="B418" s="235"/>
      <c r="C418" s="235"/>
      <c r="D418" s="235"/>
      <c r="E418" s="235"/>
    </row>
    <row r="419" hidden="1" spans="1:5">
      <c r="A419" s="235"/>
      <c r="B419" s="235"/>
      <c r="C419" s="235"/>
      <c r="D419" s="235"/>
      <c r="E419" s="235"/>
    </row>
    <row r="420" hidden="1" spans="1:5">
      <c r="A420" s="235"/>
      <c r="B420" s="235"/>
      <c r="C420" s="235"/>
      <c r="D420" s="235"/>
      <c r="E420" s="235"/>
    </row>
    <row r="421" hidden="1" spans="1:5">
      <c r="A421" s="235"/>
      <c r="B421" s="235"/>
      <c r="C421" s="235"/>
      <c r="D421" s="235"/>
      <c r="E421" s="235"/>
    </row>
    <row r="422" hidden="1" spans="1:5">
      <c r="A422" s="235"/>
      <c r="B422" s="235"/>
      <c r="C422" s="235"/>
      <c r="D422" s="235"/>
      <c r="E422" s="235"/>
    </row>
    <row r="423" hidden="1" spans="1:5">
      <c r="A423" s="235"/>
      <c r="B423" s="235"/>
      <c r="C423" s="235"/>
      <c r="D423" s="235"/>
      <c r="E423" s="235"/>
    </row>
    <row r="424" hidden="1" spans="1:5">
      <c r="A424" s="235"/>
      <c r="B424" s="235"/>
      <c r="C424" s="235"/>
      <c r="D424" s="235"/>
      <c r="E424" s="235"/>
    </row>
    <row r="425" hidden="1" spans="1:5">
      <c r="A425" s="235"/>
      <c r="B425" s="235"/>
      <c r="C425" s="235"/>
      <c r="D425" s="235"/>
      <c r="E425" s="235"/>
    </row>
    <row r="426" hidden="1" spans="1:5">
      <c r="A426" s="235"/>
      <c r="B426" s="235"/>
      <c r="C426" s="235"/>
      <c r="D426" s="235"/>
      <c r="E426" s="235"/>
    </row>
    <row r="427" hidden="1" spans="1:5">
      <c r="A427" s="235"/>
      <c r="B427" s="235"/>
      <c r="C427" s="235"/>
      <c r="D427" s="235"/>
      <c r="E427" s="235"/>
    </row>
  </sheetData>
  <sheetProtection password="CAB0" sheet="1" objects="1" scenarios="1"/>
  <pageMargins left="0.7" right="0.7" top="0.75" bottom="0.75" header="0.3" footer="0.3"/>
  <pageSetup paperSize="9" scale="52"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rgb="FFFF0000"/>
  </sheetPr>
  <dimension ref="B1:O45"/>
  <sheetViews>
    <sheetView workbookViewId="0">
      <selection activeCell="B3" sqref="B3"/>
    </sheetView>
  </sheetViews>
  <sheetFormatPr defaultColWidth="0" defaultRowHeight="14.4" customHeight="1" zeroHeight="1"/>
  <cols>
    <col min="1" max="1" width="5.71296296296296" style="6" customWidth="1"/>
    <col min="2" max="8" width="15.712962962963" style="6" customWidth="1"/>
    <col min="9" max="9" width="5.71296296296296" style="6" customWidth="1"/>
    <col min="10" max="13" width="5.71296296296296" style="6" hidden="1" customWidth="1"/>
    <col min="14" max="15" width="0" style="6" hidden="1" customWidth="1"/>
    <col min="16" max="16384" width="9.13888888888889" style="6" hidden="1"/>
  </cols>
  <sheetData>
    <row r="1" ht="24.95" customHeight="1" spans="2:2">
      <c r="B1" s="5" t="s">
        <v>53</v>
      </c>
    </row>
    <row r="2" s="85" customFormat="1" ht="15" customHeight="1" spans="2:2">
      <c r="B2" s="218"/>
    </row>
    <row r="3" s="85" customFormat="1" ht="15" customHeight="1" spans="2:3">
      <c r="B3" s="222" t="s">
        <v>54</v>
      </c>
      <c r="C3" s="225" t="s">
        <v>55</v>
      </c>
    </row>
    <row r="4"/>
    <row r="5" spans="10:10">
      <c r="J5" s="32"/>
    </row>
    <row r="6"/>
    <row r="7" spans="10:10">
      <c r="J7" s="32"/>
    </row>
    <row r="8"/>
    <row r="9" spans="10:10">
      <c r="J9" s="32"/>
    </row>
    <row r="10"/>
    <row r="11"/>
    <row r="12"/>
    <row r="13"/>
    <row r="14"/>
    <row r="15"/>
    <row r="16"/>
    <row r="17"/>
    <row r="18"/>
    <row r="19"/>
    <row r="20"/>
    <row r="21" hidden="1"/>
    <row r="22" hidden="1"/>
    <row r="23" hidden="1"/>
    <row r="24" hidden="1"/>
    <row r="25" hidden="1"/>
    <row r="26" hidden="1"/>
    <row r="27" hidden="1"/>
    <row r="28" hidden="1"/>
    <row r="29" hidden="1" spans="10:10">
      <c r="J29" s="30"/>
    </row>
    <row r="30" hidden="1" spans="15:15">
      <c r="O30" s="220"/>
    </row>
    <row r="31" hidden="1"/>
    <row r="32" hidden="1"/>
    <row r="33" hidden="1"/>
    <row r="34" hidden="1"/>
    <row r="35" hidden="1"/>
    <row r="36" hidden="1"/>
    <row r="37" hidden="1"/>
    <row r="38" hidden="1"/>
    <row r="39" hidden="1"/>
    <row r="40" hidden="1"/>
    <row r="41" hidden="1"/>
    <row r="42" hidden="1"/>
    <row r="43" hidden="1"/>
    <row r="44" hidden="1"/>
    <row r="45" hidden="1"/>
  </sheetData>
  <sheetProtection password="CAB0" sheet="1" objects="1" scenarios="1"/>
  <pageMargins left="0.7" right="0.7" top="0.75" bottom="0.75" header="0.3" footer="0.3"/>
  <pageSetup paperSize="9"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W425"/>
  <sheetViews>
    <sheetView zoomScale="115" zoomScaleNormal="115" topLeftCell="A69" workbookViewId="0">
      <selection activeCell="C44" sqref="C44"/>
    </sheetView>
  </sheetViews>
  <sheetFormatPr defaultColWidth="0" defaultRowHeight="14.4" zeroHeight="1"/>
  <cols>
    <col min="1" max="1" width="5.71296296296296" style="3" customWidth="1"/>
    <col min="2" max="3" width="18.712962962963" style="3" customWidth="1"/>
    <col min="4" max="4" width="5.71296296296296" style="3" customWidth="1"/>
    <col min="5" max="6" width="18.712962962963" style="3" customWidth="1"/>
    <col min="7" max="7" width="5.71296296296296" style="142" customWidth="1"/>
    <col min="8" max="14" width="0" hidden="1" customWidth="1"/>
    <col min="15" max="16384" width="5.71296296296296" style="3" hidden="1"/>
  </cols>
  <sheetData>
    <row r="1" ht="24.95" customHeight="1" spans="1:16">
      <c r="A1" s="143"/>
      <c r="B1" s="144" t="str">
        <f>LEFT(Disclaimer!B1,Maintenance!I3)</f>
        <v>CIE S 026 α-opic Toolbox - v1.049a - 2020/11</v>
      </c>
      <c r="C1" s="143"/>
      <c r="D1" s="143"/>
      <c r="E1" s="145"/>
      <c r="F1" s="143"/>
      <c r="G1" s="146"/>
      <c r="P1" s="185" t="s">
        <v>56</v>
      </c>
    </row>
    <row r="2" ht="15" customHeight="1" spans="1:7">
      <c r="A2" s="143"/>
      <c r="B2" s="147"/>
      <c r="C2" s="143"/>
      <c r="D2" s="143"/>
      <c r="E2" s="143"/>
      <c r="F2" s="143"/>
      <c r="G2" s="146"/>
    </row>
    <row r="3" ht="15" customHeight="1" spans="1:17">
      <c r="A3" s="143"/>
      <c r="B3" s="219" t="s">
        <v>57</v>
      </c>
      <c r="C3" s="94" t="s">
        <v>58</v>
      </c>
      <c r="D3" s="143"/>
      <c r="E3" s="150" t="s">
        <v>59</v>
      </c>
      <c r="F3" s="143"/>
      <c r="G3" s="146"/>
      <c r="P3" s="3" t="s">
        <v>60</v>
      </c>
      <c r="Q3" s="3" t="s">
        <v>61</v>
      </c>
    </row>
    <row r="4" ht="15" customHeight="1" spans="1:17">
      <c r="A4" s="143"/>
      <c r="B4" s="143"/>
      <c r="C4" s="143"/>
      <c r="D4" s="143"/>
      <c r="E4" s="151"/>
      <c r="F4" s="143"/>
      <c r="G4" s="146"/>
      <c r="P4" s="3" t="s">
        <v>62</v>
      </c>
      <c r="Q4" s="3" t="s">
        <v>63</v>
      </c>
    </row>
    <row r="5" ht="15" customHeight="1" spans="1:17">
      <c r="A5" s="143"/>
      <c r="B5" s="89" t="s">
        <v>64</v>
      </c>
      <c r="C5" s="89"/>
      <c r="D5" s="143"/>
      <c r="E5" s="154" t="s">
        <v>65</v>
      </c>
      <c r="F5" s="114"/>
      <c r="G5" s="146"/>
      <c r="P5" s="3" t="s">
        <v>66</v>
      </c>
      <c r="Q5" s="3" t="s">
        <v>63</v>
      </c>
    </row>
    <row r="6" ht="15" customHeight="1" spans="1:17">
      <c r="A6" s="143"/>
      <c r="B6" s="143"/>
      <c r="C6" s="143"/>
      <c r="D6" s="143"/>
      <c r="E6" s="155" t="s">
        <v>67</v>
      </c>
      <c r="F6" s="115"/>
      <c r="G6" s="146"/>
      <c r="P6" s="3" t="s">
        <v>68</v>
      </c>
      <c r="Q6" s="3" t="s">
        <v>63</v>
      </c>
    </row>
    <row r="7" ht="15" customHeight="1" spans="1:17">
      <c r="A7" s="149"/>
      <c r="B7" s="151" t="s">
        <v>69</v>
      </c>
      <c r="C7" s="156"/>
      <c r="D7" s="143"/>
      <c r="E7" s="157" t="s">
        <v>70</v>
      </c>
      <c r="F7" s="115"/>
      <c r="G7" s="146"/>
      <c r="P7" s="3" t="s">
        <v>71</v>
      </c>
      <c r="Q7" s="3" t="s">
        <v>63</v>
      </c>
    </row>
    <row r="8" ht="15" customHeight="1" spans="1:19">
      <c r="A8" s="149"/>
      <c r="B8" s="146" t="s">
        <v>72</v>
      </c>
      <c r="C8" s="35" t="s">
        <v>73</v>
      </c>
      <c r="D8" s="160"/>
      <c r="E8" s="157" t="s">
        <v>74</v>
      </c>
      <c r="F8" s="115"/>
      <c r="G8" s="146"/>
      <c r="R8" s="3" t="s">
        <v>75</v>
      </c>
      <c r="S8" s="3" t="s">
        <v>76</v>
      </c>
    </row>
    <row r="9" ht="15" customHeight="1" spans="1:19">
      <c r="A9" s="143"/>
      <c r="B9" s="143"/>
      <c r="C9" s="303" t="str">
        <f>IF(OR(C8="",C8="User"),"",VLOOKUP(C8,$D$34:$E$38,2))</f>
        <v/>
      </c>
      <c r="D9" s="143"/>
      <c r="E9" s="155" t="s">
        <v>77</v>
      </c>
      <c r="F9" s="115"/>
      <c r="G9" s="146"/>
      <c r="R9" s="3" t="s">
        <v>78</v>
      </c>
      <c r="S9" s="3" t="s">
        <v>76</v>
      </c>
    </row>
    <row r="10" ht="15" customHeight="1" spans="1:19">
      <c r="A10" s="149"/>
      <c r="B10" s="161" t="s">
        <v>79</v>
      </c>
      <c r="C10" s="143"/>
      <c r="D10" s="143"/>
      <c r="E10" s="157" t="s">
        <v>80</v>
      </c>
      <c r="F10" s="115"/>
      <c r="G10" s="146"/>
      <c r="R10" s="3" t="s">
        <v>81</v>
      </c>
      <c r="S10" s="3" t="s">
        <v>76</v>
      </c>
    </row>
    <row r="11" ht="15" customHeight="1" spans="1:19">
      <c r="A11" s="149"/>
      <c r="B11" s="143" t="str">
        <f>IF($C$8="User","Spectral quantity, Q","Quantity, Q")</f>
        <v>Spectral quantity, Q</v>
      </c>
      <c r="C11" s="89" t="s">
        <v>82</v>
      </c>
      <c r="D11" s="304" t="str">
        <f>IF(AND($C$8="User",OR(C11="luminance",C11="illuminance")),"*","")</f>
        <v/>
      </c>
      <c r="E11" s="164" t="s">
        <v>83</v>
      </c>
      <c r="F11" s="115"/>
      <c r="G11" s="146"/>
      <c r="R11" s="3" t="s">
        <v>84</v>
      </c>
      <c r="S11" s="3" t="s">
        <v>61</v>
      </c>
    </row>
    <row r="12" ht="15" customHeight="1" spans="1:23">
      <c r="A12" s="149"/>
      <c r="B12" s="143" t="str">
        <f>IF(LEFT($C$11,6)="photon","Clear this input","Main SI prefix")</f>
        <v>Main SI prefix</v>
      </c>
      <c r="C12" s="35" t="s">
        <v>85</v>
      </c>
      <c r="D12" s="304" t="str">
        <f>IF(AND(LEFT($C$11,6)="photon",C12&lt;&gt;""),"*","")</f>
        <v/>
      </c>
      <c r="E12" s="166" t="s">
        <v>86</v>
      </c>
      <c r="F12" s="115"/>
      <c r="G12" s="146"/>
      <c r="P12" s="3" t="s">
        <v>87</v>
      </c>
      <c r="Q12" s="308" t="s">
        <v>88</v>
      </c>
      <c r="R12" s="308"/>
      <c r="S12" s="308"/>
      <c r="T12" s="308"/>
      <c r="U12" s="308"/>
      <c r="V12" s="308"/>
      <c r="W12" s="308"/>
    </row>
    <row r="13" ht="15" customHeight="1" spans="1:17">
      <c r="A13" s="149"/>
      <c r="B13" s="143" t="str">
        <f>IF(C$11="illuminance","Clear this input","Area prefix")</f>
        <v>Area prefix</v>
      </c>
      <c r="C13" s="35"/>
      <c r="D13" s="304" t="str">
        <f>IF(AND(C$11="illuminance",C13&lt;&gt;""),"*","")</f>
        <v/>
      </c>
      <c r="E13" s="166" t="s">
        <v>89</v>
      </c>
      <c r="F13" s="115"/>
      <c r="G13" s="146"/>
      <c r="P13" s="3" t="s">
        <v>90</v>
      </c>
      <c r="Q13" s="3" t="s">
        <v>91</v>
      </c>
    </row>
    <row r="14" ht="15" customHeight="1" spans="1:17">
      <c r="A14" s="149"/>
      <c r="B14" s="143"/>
      <c r="C14" s="169" t="str">
        <f>IF(LEFT(C16&amp;C23,3)="log","NOTE: log = log base 10","")</f>
        <v/>
      </c>
      <c r="D14" s="143"/>
      <c r="E14" s="166" t="s">
        <v>92</v>
      </c>
      <c r="F14" s="170"/>
      <c r="G14" s="171"/>
      <c r="P14" s="3" t="s">
        <v>93</v>
      </c>
      <c r="Q14" s="3" t="s">
        <v>91</v>
      </c>
    </row>
    <row r="15" ht="15" customHeight="1" spans="1:17">
      <c r="A15" s="149"/>
      <c r="B15" s="151" t="str">
        <f>"3. "&amp;IF($C$8="User","Skip this step",IF($C$8="","Enter value","Enter "&amp;$C$11&amp;" value"))</f>
        <v>3. Skip this step</v>
      </c>
      <c r="C15" s="143"/>
      <c r="D15" s="143"/>
      <c r="E15" s="166" t="s">
        <v>94</v>
      </c>
      <c r="F15" s="115"/>
      <c r="G15" s="146"/>
      <c r="P15" s="3" t="s">
        <v>95</v>
      </c>
      <c r="Q15" s="3" t="s">
        <v>91</v>
      </c>
    </row>
    <row r="16" ht="15" customHeight="1" spans="1:23">
      <c r="A16" s="149"/>
      <c r="B16" s="143"/>
      <c r="C16" s="169" t="str">
        <f>SUBSTITUTE(IF($C$8="User","",IF($C$8="","(units)",Physics!D67)),"log ","log Q/")</f>
        <v/>
      </c>
      <c r="D16" s="143"/>
      <c r="E16" s="166" t="s">
        <v>96</v>
      </c>
      <c r="F16" s="115"/>
      <c r="G16" s="146"/>
      <c r="R16" s="3" t="s">
        <v>97</v>
      </c>
      <c r="S16" s="308" t="s">
        <v>98</v>
      </c>
      <c r="T16" s="308"/>
      <c r="U16" s="308"/>
      <c r="V16" s="308"/>
      <c r="W16" s="308"/>
    </row>
    <row r="17" ht="15" customHeight="1" spans="1:19">
      <c r="A17" s="149"/>
      <c r="B17" s="172" t="str">
        <f>IF($C$8="User","Clear this input","Enter value")</f>
        <v>Clear this input</v>
      </c>
      <c r="C17" s="305"/>
      <c r="D17" s="304" t="str">
        <f>IF(AND($C$8="User",C17&lt;&gt;""),"*","")</f>
        <v/>
      </c>
      <c r="E17" s="164" t="s">
        <v>99</v>
      </c>
      <c r="F17" s="115"/>
      <c r="G17" s="146"/>
      <c r="R17" s="3" t="s">
        <v>100</v>
      </c>
      <c r="S17" s="3" t="s">
        <v>101</v>
      </c>
    </row>
    <row r="18" ht="15" customHeight="1" spans="1:19">
      <c r="A18" s="149"/>
      <c r="B18" s="174"/>
      <c r="C18" s="143"/>
      <c r="D18" s="143"/>
      <c r="E18" s="166" t="s">
        <v>102</v>
      </c>
      <c r="F18" s="115"/>
      <c r="G18" s="146"/>
      <c r="R18" s="3" t="s">
        <v>103</v>
      </c>
      <c r="S18" s="3" t="s">
        <v>101</v>
      </c>
    </row>
    <row r="19" ht="15" customHeight="1" spans="1:19">
      <c r="A19" s="149"/>
      <c r="B19" s="151" t="str">
        <f>"4. "&amp;IF($C$8="User","Select wavelength step",IF($C$8="","Select wavelength step","Skip this input"))</f>
        <v>4. Select wavelength step</v>
      </c>
      <c r="C19" s="143"/>
      <c r="D19" s="143"/>
      <c r="E19" s="166" t="s">
        <v>104</v>
      </c>
      <c r="F19" s="115"/>
      <c r="G19" s="146"/>
      <c r="R19" s="3" t="s">
        <v>105</v>
      </c>
      <c r="S19" s="3" t="s">
        <v>101</v>
      </c>
    </row>
    <row r="20" ht="15" customHeight="1" spans="1:19">
      <c r="A20" s="149"/>
      <c r="B20" s="175" t="str">
        <f>IF($C$8="User","Step size, nm",IF($C$8="","Step size, nm","Input not used"))</f>
        <v>Step size, nm</v>
      </c>
      <c r="C20" s="204">
        <v>1</v>
      </c>
      <c r="D20" s="143"/>
      <c r="E20" s="177" t="s">
        <v>106</v>
      </c>
      <c r="F20" s="116"/>
      <c r="G20" s="146"/>
      <c r="R20" s="3" t="s">
        <v>107</v>
      </c>
      <c r="S20" s="3" t="s">
        <v>101</v>
      </c>
    </row>
    <row r="21" ht="15" customHeight="1" spans="1:16">
      <c r="A21" s="143"/>
      <c r="B21" s="143"/>
      <c r="C21" s="143"/>
      <c r="D21" s="143"/>
      <c r="E21" s="143"/>
      <c r="F21" s="143"/>
      <c r="G21" s="146"/>
      <c r="P21" s="3" t="s">
        <v>108</v>
      </c>
    </row>
    <row r="22" ht="15" customHeight="1" spans="1:16">
      <c r="A22" s="143"/>
      <c r="B22" s="151" t="str">
        <f>"5. "&amp;IF($C$8="User","Enter spectral "&amp;$C$11&amp;" data",IF($C$8="","Enter spectral data","Clear the spectral data"))</f>
        <v>5. Enter spectral irradiance data</v>
      </c>
      <c r="C22" s="143"/>
      <c r="D22" s="143"/>
      <c r="E22" s="150" t="s">
        <v>109</v>
      </c>
      <c r="F22" s="143"/>
      <c r="G22" s="146"/>
      <c r="P22" s="3" t="s">
        <v>110</v>
      </c>
    </row>
    <row r="23" ht="15" customHeight="1" spans="1:16">
      <c r="A23" s="143"/>
      <c r="B23" s="178" t="s">
        <v>111</v>
      </c>
      <c r="C23" s="169" t="str">
        <f>SUBSTITUTE(SUBSTITUTE(IF($C$8="User",Physics!D67&amp;".nm-1",IF($C$8="","(units)","Clear spectral data")),").nm-1",".nm-1)"),"log ","log Q/")</f>
        <v>mW.m-2.nm-1</v>
      </c>
      <c r="D23" s="143"/>
      <c r="E23" s="143"/>
      <c r="F23" s="143"/>
      <c r="G23" s="146"/>
      <c r="P23" s="3" t="s">
        <v>112</v>
      </c>
    </row>
    <row r="24" ht="15" customHeight="1" spans="1:7">
      <c r="A24" s="143"/>
      <c r="B24" s="178">
        <f t="shared" ref="B24:B87" si="0">IF(380+C$20*(ROW()-ROW(B$23)-1)&gt;780,"",380+C$20*(ROW()-ROW(B$23)-1))</f>
        <v>380</v>
      </c>
      <c r="C24" s="306">
        <v>0.0216085294327167</v>
      </c>
      <c r="D24" s="143"/>
      <c r="E24" s="180" t="str">
        <f ca="1">IF($C$8="","ERROR: Select spectrum or User in cell C8.",IF(OR(LEFT(E$26,5)="ERROR",LEFT(E$28,5)="ERROR",LEFT(E$30,5)="ERROR"),"ERROR: At least one input error.","No errors detected."))</f>
        <v>No errors detected.</v>
      </c>
      <c r="F24" s="181"/>
      <c r="G24" s="182"/>
    </row>
    <row r="25" ht="15" customHeight="1" spans="1:16">
      <c r="A25" s="143"/>
      <c r="B25" s="178">
        <f t="shared" si="0"/>
        <v>381</v>
      </c>
      <c r="C25" s="306">
        <v>0.018694264470188</v>
      </c>
      <c r="D25" s="143"/>
      <c r="E25" s="143"/>
      <c r="F25" s="143"/>
      <c r="G25" s="146"/>
      <c r="P25" s="3" t="s">
        <v>113</v>
      </c>
    </row>
    <row r="26" ht="15" customHeight="1" spans="1:7">
      <c r="A26" s="143"/>
      <c r="B26" s="178">
        <f t="shared" si="0"/>
        <v>382</v>
      </c>
      <c r="C26" s="306">
        <v>0.0173774055255879</v>
      </c>
      <c r="D26" s="143"/>
      <c r="E26" s="180" t="str">
        <f>IF($C$8="","",IF(AND($C$8="User",OR(C11="luminance",C11="illuminance")),"ERROR: spectral "&amp;$C$11&amp;" forbidden.","Selected "&amp;IF($C$8="User","spectral quantity","quantity")&amp;" is permitted."))</f>
        <v>Selected spectral quantity is permitted.</v>
      </c>
      <c r="F26" s="181"/>
      <c r="G26" s="184"/>
    </row>
    <row r="27" ht="15" customHeight="1" spans="1:7">
      <c r="A27" s="143"/>
      <c r="B27" s="178">
        <f t="shared" si="0"/>
        <v>383</v>
      </c>
      <c r="C27" s="306">
        <v>0.0302972321955107</v>
      </c>
      <c r="D27" s="143"/>
      <c r="E27" s="143"/>
      <c r="F27" s="143"/>
      <c r="G27" s="146"/>
    </row>
    <row r="28" ht="15" customHeight="1" spans="1:7">
      <c r="A28" s="143"/>
      <c r="B28" s="178">
        <f t="shared" si="0"/>
        <v>384</v>
      </c>
      <c r="C28" s="306">
        <v>0.0296820459240615</v>
      </c>
      <c r="D28" s="143"/>
      <c r="E28" s="180" t="str">
        <f>IF($C$8="","",IF(AND(LEFT($C$11,6)="photon",C12&lt;&gt;""),"ERROR: delete prefix for photon system",IF(AND(C$11="illuminance",C13&lt;&gt;""),"ERROR: delete area prefix for illuminance","Selected prefixes are permitted.")))</f>
        <v>Selected prefixes are permitted.</v>
      </c>
      <c r="F28" s="181"/>
      <c r="G28" s="184"/>
    </row>
    <row r="29" ht="15" customHeight="1" spans="1:7">
      <c r="A29" s="143"/>
      <c r="B29" s="178">
        <f t="shared" si="0"/>
        <v>385</v>
      </c>
      <c r="C29" s="306">
        <v>0.0360933678436587</v>
      </c>
      <c r="D29" s="143"/>
      <c r="E29" s="143"/>
      <c r="F29" s="143"/>
      <c r="G29" s="146"/>
    </row>
    <row r="30" ht="15" customHeight="1" spans="1:7">
      <c r="A30" s="143"/>
      <c r="B30" s="178">
        <f t="shared" si="0"/>
        <v>386</v>
      </c>
      <c r="C30" s="306">
        <v>0.0194714221261843</v>
      </c>
      <c r="D30" s="143"/>
      <c r="E30" s="180" t="str">
        <f ca="1">IF($C$8="","",IF(AND(MIN(C17,C$24:C$424)&lt;0,LEFT($C$11,6)&lt;&gt;"photon"),"ERROR: No negative quantities permitted.",IF(NOT($C$8="User"),IF(COUNT(C$24:C$424)&lt;&gt;0,"ERROR: Clear spectral data.",IF(C$17="","ERROR: Enter "&amp;LOWER(C$11)&amp;" in cell C17.","Results based on a standard spectrum.")),IF(C$17&lt;&gt;"","ERROR: Clear cell C17.",IF(C$20="","ERROR: Enter a resolution in cell C20.",IF(OR(COUNTBLANK(INDIRECT("C24:C"&amp;INT(24+400/$C$20)))&lt;&gt;0,COUNT(B24:B424)&lt;&gt;COUNT(C$24:C$424)),"ERROR: User spectral range mismatch.","Results based on spectral data provided."))))))</f>
        <v>Results based on spectral data provided.</v>
      </c>
      <c r="F30" s="181"/>
      <c r="G30" s="182"/>
    </row>
    <row r="31" ht="15" customHeight="1" spans="1:7">
      <c r="A31" s="143"/>
      <c r="B31" s="178">
        <f t="shared" si="0"/>
        <v>387</v>
      </c>
      <c r="C31" s="306">
        <v>0.0196764842166674</v>
      </c>
      <c r="D31" s="143"/>
      <c r="E31" s="143"/>
      <c r="F31" s="143"/>
      <c r="G31" s="146"/>
    </row>
    <row r="32" ht="15" customHeight="1" spans="1:7">
      <c r="A32" s="143"/>
      <c r="B32" s="178">
        <f t="shared" si="0"/>
        <v>388</v>
      </c>
      <c r="C32" s="306">
        <v>0.0309772070207787</v>
      </c>
      <c r="D32" s="143"/>
      <c r="E32" s="150" t="s">
        <v>114</v>
      </c>
      <c r="F32" s="143"/>
      <c r="G32" s="146"/>
    </row>
    <row r="33" ht="15" customHeight="1" spans="1:7">
      <c r="A33" s="143"/>
      <c r="B33" s="178">
        <f t="shared" si="0"/>
        <v>389</v>
      </c>
      <c r="C33" s="306">
        <v>0.0225690513313133</v>
      </c>
      <c r="D33" s="143"/>
      <c r="E33" s="143"/>
      <c r="F33" s="143"/>
      <c r="G33" s="146"/>
    </row>
    <row r="34" ht="15" customHeight="1" spans="1:7">
      <c r="A34" s="143"/>
      <c r="B34" s="178">
        <f t="shared" si="0"/>
        <v>390</v>
      </c>
      <c r="C34" s="306">
        <v>0.0322075795636772</v>
      </c>
      <c r="D34" s="160" t="s">
        <v>115</v>
      </c>
      <c r="E34" s="307" t="s">
        <v>116</v>
      </c>
      <c r="F34" s="143"/>
      <c r="G34" s="146"/>
    </row>
    <row r="35" ht="15" customHeight="1" spans="1:7">
      <c r="A35" s="143"/>
      <c r="B35" s="178">
        <f t="shared" si="0"/>
        <v>391</v>
      </c>
      <c r="C35" s="306">
        <v>0.0261308968422007</v>
      </c>
      <c r="D35" s="160" t="s">
        <v>117</v>
      </c>
      <c r="E35" s="307" t="s">
        <v>118</v>
      </c>
      <c r="F35" s="143"/>
      <c r="G35" s="146"/>
    </row>
    <row r="36" ht="15" customHeight="1" spans="1:7">
      <c r="A36" s="143"/>
      <c r="B36" s="178">
        <f t="shared" si="0"/>
        <v>392</v>
      </c>
      <c r="C36" s="306">
        <v>0.0179495010911011</v>
      </c>
      <c r="D36" s="160" t="s">
        <v>119</v>
      </c>
      <c r="E36" s="307" t="s">
        <v>120</v>
      </c>
      <c r="F36" s="143"/>
      <c r="G36" s="146"/>
    </row>
    <row r="37" ht="15" customHeight="1" spans="1:7">
      <c r="A37" s="143"/>
      <c r="B37" s="178">
        <f t="shared" si="0"/>
        <v>393</v>
      </c>
      <c r="C37" s="306">
        <v>0.0155749374171762</v>
      </c>
      <c r="D37" s="160" t="s">
        <v>121</v>
      </c>
      <c r="E37" s="307" t="s">
        <v>122</v>
      </c>
      <c r="F37" s="143"/>
      <c r="G37" s="146"/>
    </row>
    <row r="38" ht="15" customHeight="1" spans="1:7">
      <c r="A38" s="143"/>
      <c r="B38" s="178">
        <f t="shared" si="0"/>
        <v>394</v>
      </c>
      <c r="C38" s="306">
        <v>0.0218566822291358</v>
      </c>
      <c r="D38" s="160" t="s">
        <v>123</v>
      </c>
      <c r="E38" s="307" t="s">
        <v>124</v>
      </c>
      <c r="F38" s="143"/>
      <c r="G38" s="146"/>
    </row>
    <row r="39" ht="15" customHeight="1" spans="1:7">
      <c r="A39" s="143"/>
      <c r="B39" s="178">
        <f t="shared" si="0"/>
        <v>395</v>
      </c>
      <c r="C39" s="306">
        <v>0.0243391251628156</v>
      </c>
      <c r="D39" s="143"/>
      <c r="E39" s="151"/>
      <c r="F39" s="143"/>
      <c r="G39" s="146"/>
    </row>
    <row r="40" ht="15" customHeight="1" spans="1:7">
      <c r="A40" s="143"/>
      <c r="B40" s="178">
        <f t="shared" si="0"/>
        <v>396</v>
      </c>
      <c r="C40" s="306">
        <v>0.0334055578296662</v>
      </c>
      <c r="D40" s="143"/>
      <c r="E40" s="143"/>
      <c r="F40" s="143"/>
      <c r="G40" s="146"/>
    </row>
    <row r="41" ht="15" customHeight="1" spans="1:7">
      <c r="A41" s="143"/>
      <c r="B41" s="178">
        <f t="shared" si="0"/>
        <v>397</v>
      </c>
      <c r="C41" s="306">
        <v>0.0379603195160596</v>
      </c>
      <c r="D41" s="143"/>
      <c r="E41" s="143"/>
      <c r="F41" s="143"/>
      <c r="G41" s="146"/>
    </row>
    <row r="42" ht="15" customHeight="1" spans="1:7">
      <c r="A42" s="143"/>
      <c r="B42" s="178">
        <f t="shared" si="0"/>
        <v>398</v>
      </c>
      <c r="C42" s="306">
        <v>0.0403455796190111</v>
      </c>
      <c r="D42" s="143"/>
      <c r="E42" s="143"/>
      <c r="F42" s="143"/>
      <c r="G42" s="146"/>
    </row>
    <row r="43" ht="15" customHeight="1" spans="1:7">
      <c r="A43" s="143"/>
      <c r="B43" s="178">
        <f t="shared" si="0"/>
        <v>399</v>
      </c>
      <c r="C43" s="306">
        <v>0.0539991682491645</v>
      </c>
      <c r="D43" s="143"/>
      <c r="E43" s="143"/>
      <c r="F43" s="143"/>
      <c r="G43" s="146"/>
    </row>
    <row r="44" ht="15" customHeight="1" spans="1:7">
      <c r="A44" s="143"/>
      <c r="B44" s="178">
        <f t="shared" si="0"/>
        <v>400</v>
      </c>
      <c r="C44" s="306">
        <v>0.0629360238083775</v>
      </c>
      <c r="D44" s="143"/>
      <c r="E44" s="143"/>
      <c r="F44" s="143"/>
      <c r="G44" s="146"/>
    </row>
    <row r="45" ht="15" customHeight="1" spans="1:7">
      <c r="A45" s="143"/>
      <c r="B45" s="178">
        <f t="shared" si="0"/>
        <v>401</v>
      </c>
      <c r="C45" s="306">
        <v>0.0837300502875307</v>
      </c>
      <c r="D45" s="143"/>
      <c r="E45" s="143"/>
      <c r="F45" s="143"/>
      <c r="G45" s="146"/>
    </row>
    <row r="46" ht="15" customHeight="1" spans="1:7">
      <c r="A46" s="143"/>
      <c r="B46" s="178">
        <f t="shared" si="0"/>
        <v>402</v>
      </c>
      <c r="C46" s="306">
        <v>0.113050808144931</v>
      </c>
      <c r="D46" s="143"/>
      <c r="E46" s="143"/>
      <c r="F46" s="143"/>
      <c r="G46" s="146"/>
    </row>
    <row r="47" ht="15" customHeight="1" spans="1:7">
      <c r="A47" s="143"/>
      <c r="B47" s="178">
        <f t="shared" si="0"/>
        <v>403</v>
      </c>
      <c r="C47" s="306">
        <v>0.139859970455199</v>
      </c>
      <c r="D47" s="143"/>
      <c r="E47" s="143"/>
      <c r="F47" s="143"/>
      <c r="G47" s="146"/>
    </row>
    <row r="48" ht="15" customHeight="1" spans="1:7">
      <c r="A48" s="143"/>
      <c r="B48" s="178">
        <f t="shared" si="0"/>
        <v>404</v>
      </c>
      <c r="C48" s="306">
        <v>0.197109142242554</v>
      </c>
      <c r="D48" s="143"/>
      <c r="E48" s="143"/>
      <c r="F48" s="143"/>
      <c r="G48" s="146"/>
    </row>
    <row r="49" ht="15" customHeight="1" spans="1:7">
      <c r="A49" s="143"/>
      <c r="B49" s="178">
        <f t="shared" si="0"/>
        <v>405</v>
      </c>
      <c r="C49" s="306">
        <v>0.249658696745467</v>
      </c>
      <c r="D49" s="143"/>
      <c r="E49" s="143"/>
      <c r="F49" s="143"/>
      <c r="G49" s="146"/>
    </row>
    <row r="50" ht="15" customHeight="1" spans="1:7">
      <c r="A50" s="143"/>
      <c r="B50" s="178">
        <f t="shared" si="0"/>
        <v>406</v>
      </c>
      <c r="C50" s="306">
        <v>0.327715769135015</v>
      </c>
      <c r="D50" s="143"/>
      <c r="E50" s="143"/>
      <c r="F50" s="143"/>
      <c r="G50" s="146"/>
    </row>
    <row r="51" ht="15" customHeight="1" spans="1:7">
      <c r="A51" s="143"/>
      <c r="B51" s="178">
        <f t="shared" si="0"/>
        <v>407</v>
      </c>
      <c r="C51" s="306">
        <v>0.429331695306812</v>
      </c>
      <c r="D51" s="143"/>
      <c r="E51" s="143"/>
      <c r="F51" s="143"/>
      <c r="G51" s="146"/>
    </row>
    <row r="52" ht="15" customHeight="1" spans="1:7">
      <c r="A52" s="143"/>
      <c r="B52" s="178">
        <f t="shared" si="0"/>
        <v>408</v>
      </c>
      <c r="C52" s="306">
        <v>0.540649100968705</v>
      </c>
      <c r="D52" s="143"/>
      <c r="E52" s="143"/>
      <c r="F52" s="143"/>
      <c r="G52" s="146"/>
    </row>
    <row r="53" ht="15" customHeight="1" spans="1:7">
      <c r="A53" s="143"/>
      <c r="B53" s="178">
        <f t="shared" si="0"/>
        <v>409</v>
      </c>
      <c r="C53" s="306">
        <v>0.703401455544653</v>
      </c>
      <c r="D53" s="143"/>
      <c r="E53" s="143"/>
      <c r="F53" s="143"/>
      <c r="G53" s="146"/>
    </row>
    <row r="54" ht="15" customHeight="1" spans="1:7">
      <c r="A54" s="143"/>
      <c r="B54" s="178">
        <f t="shared" si="0"/>
        <v>410</v>
      </c>
      <c r="C54" s="306">
        <v>0.88305593395213</v>
      </c>
      <c r="D54" s="143"/>
      <c r="E54" s="143"/>
      <c r="F54" s="143"/>
      <c r="G54" s="146"/>
    </row>
    <row r="55" ht="15" customHeight="1" spans="1:7">
      <c r="A55" s="143"/>
      <c r="B55" s="178">
        <f t="shared" si="0"/>
        <v>411</v>
      </c>
      <c r="C55" s="306">
        <v>1.07810027617698</v>
      </c>
      <c r="D55" s="143"/>
      <c r="E55" s="143"/>
      <c r="F55" s="143"/>
      <c r="G55" s="146"/>
    </row>
    <row r="56" ht="15" customHeight="1" spans="1:7">
      <c r="A56" s="143"/>
      <c r="B56" s="178">
        <f t="shared" si="0"/>
        <v>412</v>
      </c>
      <c r="C56" s="306">
        <v>1.34836150644433</v>
      </c>
      <c r="D56" s="143"/>
      <c r="E56" s="143"/>
      <c r="F56" s="143"/>
      <c r="G56" s="146"/>
    </row>
    <row r="57" ht="15" customHeight="1" spans="1:7">
      <c r="A57" s="143"/>
      <c r="B57" s="178">
        <f t="shared" si="0"/>
        <v>413</v>
      </c>
      <c r="C57" s="306">
        <v>1.6118401042455</v>
      </c>
      <c r="D57" s="143"/>
      <c r="E57" s="143"/>
      <c r="F57" s="143"/>
      <c r="G57" s="146"/>
    </row>
    <row r="58" ht="15" customHeight="1" spans="1:7">
      <c r="A58" s="143"/>
      <c r="B58" s="178">
        <f t="shared" si="0"/>
        <v>414</v>
      </c>
      <c r="C58" s="306">
        <v>1.95380117710759</v>
      </c>
      <c r="D58" s="143"/>
      <c r="E58" s="143"/>
      <c r="F58" s="143"/>
      <c r="G58" s="146"/>
    </row>
    <row r="59" ht="15" customHeight="1" spans="1:7">
      <c r="A59" s="143"/>
      <c r="B59" s="178">
        <f t="shared" si="0"/>
        <v>415</v>
      </c>
      <c r="C59" s="306">
        <v>2.30766752658566</v>
      </c>
      <c r="D59" s="143"/>
      <c r="E59" s="143"/>
      <c r="F59" s="143"/>
      <c r="G59" s="146"/>
    </row>
    <row r="60" ht="15" customHeight="1" spans="1:7">
      <c r="A60" s="143"/>
      <c r="B60" s="178">
        <f t="shared" si="0"/>
        <v>416</v>
      </c>
      <c r="C60" s="306">
        <v>2.66770596828929</v>
      </c>
      <c r="D60" s="143"/>
      <c r="E60" s="143"/>
      <c r="F60" s="143"/>
      <c r="G60" s="146"/>
    </row>
    <row r="61" ht="15" customHeight="1" spans="1:7">
      <c r="A61" s="143"/>
      <c r="B61" s="178">
        <f t="shared" si="0"/>
        <v>417</v>
      </c>
      <c r="C61" s="306">
        <v>3.20366895713732</v>
      </c>
      <c r="D61" s="143"/>
      <c r="E61" s="143"/>
      <c r="F61" s="143"/>
      <c r="G61" s="146"/>
    </row>
    <row r="62" ht="15" customHeight="1" spans="1:7">
      <c r="A62" s="143"/>
      <c r="B62" s="178">
        <f t="shared" si="0"/>
        <v>418</v>
      </c>
      <c r="C62" s="306">
        <v>3.75931925456993</v>
      </c>
      <c r="D62" s="143"/>
      <c r="E62" s="143"/>
      <c r="F62" s="143"/>
      <c r="G62" s="146"/>
    </row>
    <row r="63" ht="15" customHeight="1" spans="1:7">
      <c r="A63" s="143"/>
      <c r="B63" s="178">
        <f t="shared" si="0"/>
        <v>419</v>
      </c>
      <c r="C63" s="306">
        <v>4.39852332385377</v>
      </c>
      <c r="D63" s="143"/>
      <c r="E63" s="143"/>
      <c r="F63" s="143"/>
      <c r="G63" s="146"/>
    </row>
    <row r="64" ht="15" customHeight="1" spans="1:7">
      <c r="A64" s="143"/>
      <c r="B64" s="178">
        <f t="shared" si="0"/>
        <v>420</v>
      </c>
      <c r="C64" s="306">
        <v>5.08176733204877</v>
      </c>
      <c r="D64" s="143"/>
      <c r="E64" s="143"/>
      <c r="F64" s="143"/>
      <c r="G64" s="146"/>
    </row>
    <row r="65" ht="15" customHeight="1" spans="1:7">
      <c r="A65" s="143"/>
      <c r="B65" s="178">
        <f t="shared" si="0"/>
        <v>421</v>
      </c>
      <c r="C65" s="306">
        <v>5.77052241072665</v>
      </c>
      <c r="D65" s="143"/>
      <c r="E65" s="143"/>
      <c r="F65" s="143"/>
      <c r="G65" s="146"/>
    </row>
    <row r="66" ht="15" customHeight="1" spans="1:7">
      <c r="A66" s="143"/>
      <c r="B66" s="178">
        <f t="shared" si="0"/>
        <v>422</v>
      </c>
      <c r="C66" s="306">
        <v>6.56781111468074</v>
      </c>
      <c r="D66" s="143"/>
      <c r="E66" s="143"/>
      <c r="F66" s="143"/>
      <c r="G66" s="146"/>
    </row>
    <row r="67" ht="15" customHeight="1" spans="1:7">
      <c r="A67" s="143"/>
      <c r="B67" s="178">
        <f t="shared" si="0"/>
        <v>423</v>
      </c>
      <c r="C67" s="306">
        <v>7.37783506860311</v>
      </c>
      <c r="D67" s="143"/>
      <c r="E67" s="143"/>
      <c r="F67" s="143"/>
      <c r="G67" s="146"/>
    </row>
    <row r="68" ht="15" customHeight="1" spans="1:7">
      <c r="A68" s="143"/>
      <c r="B68" s="178">
        <f t="shared" si="0"/>
        <v>424</v>
      </c>
      <c r="C68" s="306">
        <v>8.1518074541019</v>
      </c>
      <c r="D68" s="143"/>
      <c r="E68" s="143"/>
      <c r="F68" s="143"/>
      <c r="G68" s="146"/>
    </row>
    <row r="69" ht="15" customHeight="1" spans="1:7">
      <c r="A69" s="143"/>
      <c r="B69" s="178">
        <f t="shared" si="0"/>
        <v>425</v>
      </c>
      <c r="C69" s="306">
        <v>8.82499937631178</v>
      </c>
      <c r="D69" s="143"/>
      <c r="E69" s="143"/>
      <c r="F69" s="143"/>
      <c r="G69" s="146"/>
    </row>
    <row r="70" ht="15" customHeight="1" spans="1:7">
      <c r="A70" s="143"/>
      <c r="B70" s="178">
        <f t="shared" si="0"/>
        <v>426</v>
      </c>
      <c r="C70" s="306">
        <v>9.49630919629774</v>
      </c>
      <c r="D70" s="143"/>
      <c r="E70" s="143"/>
      <c r="F70" s="143"/>
      <c r="G70" s="146"/>
    </row>
    <row r="71" ht="15" customHeight="1" spans="1:7">
      <c r="A71" s="143"/>
      <c r="B71" s="178">
        <f t="shared" si="0"/>
        <v>427</v>
      </c>
      <c r="C71" s="306">
        <v>9.91570865773669</v>
      </c>
      <c r="D71" s="143"/>
      <c r="E71" s="143"/>
      <c r="F71" s="143"/>
      <c r="G71" s="146"/>
    </row>
    <row r="72" ht="15" customHeight="1" spans="1:7">
      <c r="A72" s="143"/>
      <c r="B72" s="178">
        <f t="shared" si="0"/>
        <v>428</v>
      </c>
      <c r="C72" s="306">
        <v>10.2532863454401</v>
      </c>
      <c r="D72" s="143"/>
      <c r="E72" s="143"/>
      <c r="F72" s="143"/>
      <c r="G72" s="146"/>
    </row>
    <row r="73" ht="15" customHeight="1" spans="1:7">
      <c r="A73" s="143"/>
      <c r="B73" s="178">
        <f t="shared" si="0"/>
        <v>429</v>
      </c>
      <c r="C73" s="306">
        <v>10.6043981802274</v>
      </c>
      <c r="D73" s="143"/>
      <c r="E73" s="143"/>
      <c r="F73" s="143"/>
      <c r="G73" s="146"/>
    </row>
    <row r="74" ht="15" customHeight="1" spans="1:7">
      <c r="A74" s="143"/>
      <c r="B74" s="178">
        <f t="shared" si="0"/>
        <v>430</v>
      </c>
      <c r="C74" s="306">
        <v>10.5964754269361</v>
      </c>
      <c r="D74" s="143"/>
      <c r="E74" s="143"/>
      <c r="F74" s="143"/>
      <c r="G74" s="146"/>
    </row>
    <row r="75" ht="15" customHeight="1" spans="1:7">
      <c r="A75" s="143"/>
      <c r="B75" s="178">
        <f t="shared" si="0"/>
        <v>431</v>
      </c>
      <c r="C75" s="306">
        <v>10.5051034114509</v>
      </c>
      <c r="D75" s="143"/>
      <c r="E75" s="143"/>
      <c r="F75" s="143"/>
      <c r="G75" s="146"/>
    </row>
    <row r="76" ht="15" customHeight="1" spans="1:7">
      <c r="A76" s="143"/>
      <c r="B76" s="178">
        <f t="shared" si="0"/>
        <v>432</v>
      </c>
      <c r="C76" s="306">
        <v>10.2508015996064</v>
      </c>
      <c r="D76" s="143"/>
      <c r="E76" s="143"/>
      <c r="F76" s="143"/>
      <c r="G76" s="146"/>
    </row>
    <row r="77" ht="15" customHeight="1" spans="1:7">
      <c r="A77" s="143"/>
      <c r="B77" s="178">
        <f t="shared" si="0"/>
        <v>433</v>
      </c>
      <c r="C77" s="306">
        <v>9.84749074988137</v>
      </c>
      <c r="D77" s="143"/>
      <c r="E77" s="143"/>
      <c r="F77" s="143"/>
      <c r="G77" s="146"/>
    </row>
    <row r="78" ht="15" customHeight="1" spans="1:7">
      <c r="A78" s="143"/>
      <c r="B78" s="178">
        <f t="shared" si="0"/>
        <v>434</v>
      </c>
      <c r="C78" s="306">
        <v>9.43373627411354</v>
      </c>
      <c r="D78" s="143"/>
      <c r="E78" s="143"/>
      <c r="F78" s="143"/>
      <c r="G78" s="146"/>
    </row>
    <row r="79" ht="15" customHeight="1" spans="1:7">
      <c r="A79" s="143"/>
      <c r="B79" s="178">
        <f t="shared" si="0"/>
        <v>435</v>
      </c>
      <c r="C79" s="306">
        <v>8.90862428776355</v>
      </c>
      <c r="D79" s="143"/>
      <c r="E79" s="143"/>
      <c r="F79" s="143"/>
      <c r="G79" s="146"/>
    </row>
    <row r="80" ht="15" customHeight="1" spans="1:7">
      <c r="A80" s="143"/>
      <c r="B80" s="178">
        <f t="shared" si="0"/>
        <v>436</v>
      </c>
      <c r="C80" s="306">
        <v>8.42579267101393</v>
      </c>
      <c r="D80" s="143"/>
      <c r="E80" s="143"/>
      <c r="F80" s="143"/>
      <c r="G80" s="146"/>
    </row>
    <row r="81" ht="15" customHeight="1" spans="1:7">
      <c r="A81" s="143"/>
      <c r="B81" s="178">
        <f t="shared" si="0"/>
        <v>437</v>
      </c>
      <c r="C81" s="306">
        <v>7.97416568767227</v>
      </c>
      <c r="D81" s="143"/>
      <c r="E81" s="143"/>
      <c r="F81" s="143"/>
      <c r="G81" s="146"/>
    </row>
    <row r="82" ht="15" customHeight="1" spans="1:7">
      <c r="A82" s="143"/>
      <c r="B82" s="178">
        <f t="shared" si="0"/>
        <v>438</v>
      </c>
      <c r="C82" s="306">
        <v>7.612117145095</v>
      </c>
      <c r="D82" s="143"/>
      <c r="E82" s="143"/>
      <c r="F82" s="143"/>
      <c r="G82" s="146"/>
    </row>
    <row r="83" ht="15" customHeight="1" spans="1:7">
      <c r="A83" s="143"/>
      <c r="B83" s="178">
        <f t="shared" si="0"/>
        <v>439</v>
      </c>
      <c r="C83" s="306">
        <v>7.2911476882192</v>
      </c>
      <c r="D83" s="143"/>
      <c r="E83" s="143"/>
      <c r="F83" s="143"/>
      <c r="G83" s="146"/>
    </row>
    <row r="84" ht="15" customHeight="1" spans="1:7">
      <c r="A84" s="143"/>
      <c r="B84" s="178">
        <f t="shared" si="0"/>
        <v>440</v>
      </c>
      <c r="C84" s="306">
        <v>7.12327982895169</v>
      </c>
      <c r="D84" s="143"/>
      <c r="E84" s="143"/>
      <c r="F84" s="143"/>
      <c r="G84" s="146"/>
    </row>
    <row r="85" ht="15" customHeight="1" spans="1:7">
      <c r="A85" s="143"/>
      <c r="B85" s="178">
        <f t="shared" si="0"/>
        <v>441</v>
      </c>
      <c r="C85" s="306">
        <v>7.00625788429717</v>
      </c>
      <c r="D85" s="143"/>
      <c r="E85" s="143"/>
      <c r="F85" s="143"/>
      <c r="G85" s="146"/>
    </row>
    <row r="86" ht="15" customHeight="1" spans="1:7">
      <c r="A86" s="143"/>
      <c r="B86" s="178">
        <f t="shared" si="0"/>
        <v>442</v>
      </c>
      <c r="C86" s="306">
        <v>7.02540678445851</v>
      </c>
      <c r="D86" s="143"/>
      <c r="E86" s="143"/>
      <c r="F86" s="143"/>
      <c r="G86" s="146"/>
    </row>
    <row r="87" ht="15" customHeight="1" spans="1:7">
      <c r="A87" s="143"/>
      <c r="B87" s="178">
        <f t="shared" si="0"/>
        <v>443</v>
      </c>
      <c r="C87" s="306">
        <v>7.1498909587072</v>
      </c>
      <c r="D87" s="143"/>
      <c r="E87" s="143"/>
      <c r="F87" s="143"/>
      <c r="G87" s="146"/>
    </row>
    <row r="88" ht="15" customHeight="1" spans="1:7">
      <c r="A88" s="143"/>
      <c r="B88" s="178">
        <f t="shared" ref="B88:B151" si="1">IF(380+C$20*(ROW()-ROW(B$23)-1)&gt;780,"",380+C$20*(ROW()-ROW(B$23)-1))</f>
        <v>444</v>
      </c>
      <c r="C88" s="306">
        <v>7.35529333476443</v>
      </c>
      <c r="D88" s="143"/>
      <c r="E88" s="143"/>
      <c r="F88" s="143"/>
      <c r="G88" s="146"/>
    </row>
    <row r="89" ht="15" customHeight="1" spans="1:7">
      <c r="A89" s="143"/>
      <c r="B89" s="178">
        <f t="shared" si="1"/>
        <v>445</v>
      </c>
      <c r="C89" s="306">
        <v>7.67773705792438</v>
      </c>
      <c r="D89" s="143"/>
      <c r="E89" s="143"/>
      <c r="F89" s="143"/>
      <c r="G89" s="146"/>
    </row>
    <row r="90" ht="15" customHeight="1" spans="1:7">
      <c r="A90" s="143"/>
      <c r="B90" s="178">
        <f t="shared" si="1"/>
        <v>446</v>
      </c>
      <c r="C90" s="306">
        <v>8.13130189901888</v>
      </c>
      <c r="D90" s="143"/>
      <c r="E90" s="143"/>
      <c r="F90" s="143"/>
      <c r="G90" s="146"/>
    </row>
    <row r="91" ht="15" customHeight="1" spans="1:7">
      <c r="A91" s="143"/>
      <c r="B91" s="178">
        <f t="shared" si="1"/>
        <v>447</v>
      </c>
      <c r="C91" s="306">
        <v>8.70486342894998</v>
      </c>
      <c r="D91" s="143"/>
      <c r="E91" s="143"/>
      <c r="F91" s="143"/>
      <c r="G91" s="146"/>
    </row>
    <row r="92" ht="15" customHeight="1" spans="1:7">
      <c r="A92" s="143"/>
      <c r="B92" s="178">
        <f t="shared" si="1"/>
        <v>448</v>
      </c>
      <c r="C92" s="306">
        <v>9.42116753250387</v>
      </c>
      <c r="D92" s="143"/>
      <c r="E92" s="143"/>
      <c r="F92" s="143"/>
      <c r="G92" s="146"/>
    </row>
    <row r="93" ht="15" customHeight="1" spans="1:7">
      <c r="A93" s="143"/>
      <c r="B93" s="178">
        <f t="shared" si="1"/>
        <v>449</v>
      </c>
      <c r="C93" s="306">
        <v>10.2126237206891</v>
      </c>
      <c r="D93" s="143"/>
      <c r="E93" s="143"/>
      <c r="F93" s="143"/>
      <c r="G93" s="146"/>
    </row>
    <row r="94" ht="15" customHeight="1" spans="1:7">
      <c r="A94" s="143"/>
      <c r="B94" s="178">
        <f t="shared" si="1"/>
        <v>450</v>
      </c>
      <c r="C94" s="306">
        <v>11.0966015431153</v>
      </c>
      <c r="D94" s="143"/>
      <c r="E94" s="143"/>
      <c r="F94" s="143"/>
      <c r="G94" s="146"/>
    </row>
    <row r="95" ht="15" customHeight="1" spans="1:7">
      <c r="A95" s="143"/>
      <c r="B95" s="178">
        <f t="shared" si="1"/>
        <v>451</v>
      </c>
      <c r="C95" s="306">
        <v>11.9611840701564</v>
      </c>
      <c r="D95" s="143"/>
      <c r="E95" s="143"/>
      <c r="F95" s="143"/>
      <c r="G95" s="146"/>
    </row>
    <row r="96" ht="15" customHeight="1" spans="1:7">
      <c r="A96" s="143"/>
      <c r="B96" s="178">
        <f t="shared" si="1"/>
        <v>452</v>
      </c>
      <c r="C96" s="306">
        <v>12.7544089273933</v>
      </c>
      <c r="D96" s="143"/>
      <c r="E96" s="143"/>
      <c r="F96" s="143"/>
      <c r="G96" s="146"/>
    </row>
    <row r="97" ht="15" customHeight="1" spans="1:7">
      <c r="A97" s="143"/>
      <c r="B97" s="178">
        <f t="shared" si="1"/>
        <v>453</v>
      </c>
      <c r="C97" s="306">
        <v>13.4511634257087</v>
      </c>
      <c r="D97" s="143"/>
      <c r="E97" s="143"/>
      <c r="F97" s="143"/>
      <c r="G97" s="146"/>
    </row>
    <row r="98" ht="15" customHeight="1" spans="1:7">
      <c r="A98" s="143"/>
      <c r="B98" s="178">
        <f t="shared" si="1"/>
        <v>454</v>
      </c>
      <c r="C98" s="306">
        <v>13.9637524291881</v>
      </c>
      <c r="D98" s="143"/>
      <c r="E98" s="143"/>
      <c r="F98" s="143"/>
      <c r="G98" s="146"/>
    </row>
    <row r="99" ht="15" customHeight="1" spans="1:7">
      <c r="A99" s="143"/>
      <c r="B99" s="178">
        <f t="shared" si="1"/>
        <v>455</v>
      </c>
      <c r="C99" s="306">
        <v>14.2021715314643</v>
      </c>
      <c r="D99" s="143"/>
      <c r="E99" s="143"/>
      <c r="F99" s="143"/>
      <c r="G99" s="146"/>
    </row>
    <row r="100" ht="15" customHeight="1" spans="1:7">
      <c r="A100" s="143"/>
      <c r="B100" s="178">
        <f t="shared" si="1"/>
        <v>456</v>
      </c>
      <c r="C100" s="306">
        <v>14.1852743045172</v>
      </c>
      <c r="D100" s="143"/>
      <c r="E100" s="143"/>
      <c r="F100" s="143"/>
      <c r="G100" s="146"/>
    </row>
    <row r="101" ht="15" customHeight="1" spans="1:7">
      <c r="A101" s="143"/>
      <c r="B101" s="178">
        <f t="shared" si="1"/>
        <v>457</v>
      </c>
      <c r="C101" s="306">
        <v>13.8368643040203</v>
      </c>
      <c r="D101" s="143"/>
      <c r="E101" s="143"/>
      <c r="F101" s="143"/>
      <c r="G101" s="146"/>
    </row>
    <row r="102" ht="15" customHeight="1" spans="1:7">
      <c r="A102" s="143"/>
      <c r="B102" s="178">
        <f t="shared" si="1"/>
        <v>458</v>
      </c>
      <c r="C102" s="306">
        <v>13.2837718049858</v>
      </c>
      <c r="D102" s="143"/>
      <c r="E102" s="143"/>
      <c r="F102" s="143"/>
      <c r="G102" s="146"/>
    </row>
    <row r="103" ht="15" customHeight="1" spans="1:7">
      <c r="A103" s="143"/>
      <c r="B103" s="178">
        <f t="shared" si="1"/>
        <v>459</v>
      </c>
      <c r="C103" s="306">
        <v>12.5116921724726</v>
      </c>
      <c r="D103" s="143"/>
      <c r="E103" s="143"/>
      <c r="F103" s="143"/>
      <c r="G103" s="146"/>
    </row>
    <row r="104" ht="15" customHeight="1" spans="1:7">
      <c r="A104" s="143"/>
      <c r="B104" s="178">
        <f t="shared" si="1"/>
        <v>460</v>
      </c>
      <c r="C104" s="306">
        <v>11.6597521637311</v>
      </c>
      <c r="D104" s="143"/>
      <c r="E104" s="143"/>
      <c r="F104" s="143"/>
      <c r="G104" s="146"/>
    </row>
    <row r="105" ht="15" customHeight="1" spans="1:7">
      <c r="A105" s="143"/>
      <c r="B105" s="178">
        <f t="shared" si="1"/>
        <v>461</v>
      </c>
      <c r="C105" s="306">
        <v>10.7771200354919</v>
      </c>
      <c r="D105" s="143"/>
      <c r="E105" s="143"/>
      <c r="F105" s="143"/>
      <c r="G105" s="146"/>
    </row>
    <row r="106" ht="15" customHeight="1" spans="1:7">
      <c r="A106" s="143"/>
      <c r="B106" s="178">
        <f t="shared" si="1"/>
        <v>462</v>
      </c>
      <c r="C106" s="306">
        <v>9.96973932642137</v>
      </c>
      <c r="D106" s="143"/>
      <c r="E106" s="143"/>
      <c r="F106" s="143"/>
      <c r="G106" s="146"/>
    </row>
    <row r="107" ht="15" customHeight="1" spans="1:7">
      <c r="A107" s="143"/>
      <c r="B107" s="178">
        <f t="shared" si="1"/>
        <v>463</v>
      </c>
      <c r="C107" s="306">
        <v>9.24337422608941</v>
      </c>
      <c r="D107" s="143"/>
      <c r="E107" s="143"/>
      <c r="F107" s="143"/>
      <c r="G107" s="146"/>
    </row>
    <row r="108" ht="15" customHeight="1" spans="1:7">
      <c r="A108" s="143"/>
      <c r="B108" s="178">
        <f t="shared" si="1"/>
        <v>464</v>
      </c>
      <c r="C108" s="306">
        <v>8.61301729757752</v>
      </c>
      <c r="D108" s="143"/>
      <c r="E108" s="143"/>
      <c r="F108" s="143"/>
      <c r="G108" s="146"/>
    </row>
    <row r="109" ht="15" customHeight="1" spans="1:7">
      <c r="A109" s="143"/>
      <c r="B109" s="178">
        <f t="shared" si="1"/>
        <v>465</v>
      </c>
      <c r="C109" s="306">
        <v>8.08587209012227</v>
      </c>
      <c r="D109" s="143"/>
      <c r="E109" s="143"/>
      <c r="F109" s="143"/>
      <c r="G109" s="146"/>
    </row>
    <row r="110" ht="15" customHeight="1" spans="1:7">
      <c r="A110" s="143"/>
      <c r="B110" s="178">
        <f t="shared" si="1"/>
        <v>466</v>
      </c>
      <c r="C110" s="306">
        <v>7.67584302594608</v>
      </c>
      <c r="D110" s="143"/>
      <c r="E110" s="143"/>
      <c r="F110" s="143"/>
      <c r="G110" s="146"/>
    </row>
    <row r="111" ht="15" customHeight="1" spans="1:7">
      <c r="A111" s="143"/>
      <c r="B111" s="178">
        <f t="shared" si="1"/>
        <v>467</v>
      </c>
      <c r="C111" s="306">
        <v>7.36813492519307</v>
      </c>
      <c r="D111" s="143"/>
      <c r="E111" s="143"/>
      <c r="F111" s="143"/>
      <c r="G111" s="146"/>
    </row>
    <row r="112" ht="15" customHeight="1" spans="1:7">
      <c r="A112" s="143"/>
      <c r="B112" s="178">
        <f t="shared" si="1"/>
        <v>468</v>
      </c>
      <c r="C112" s="306">
        <v>7.08556600064468</v>
      </c>
      <c r="D112" s="143"/>
      <c r="E112" s="143"/>
      <c r="F112" s="143"/>
      <c r="G112" s="146"/>
    </row>
    <row r="113" ht="15" customHeight="1" spans="1:7">
      <c r="A113" s="143"/>
      <c r="B113" s="178">
        <f t="shared" si="1"/>
        <v>469</v>
      </c>
      <c r="C113" s="306">
        <v>6.86021736848153</v>
      </c>
      <c r="D113" s="143"/>
      <c r="E113" s="143"/>
      <c r="F113" s="143"/>
      <c r="G113" s="146"/>
    </row>
    <row r="114" ht="15" customHeight="1" spans="1:7">
      <c r="A114" s="143"/>
      <c r="B114" s="178">
        <f t="shared" si="1"/>
        <v>470</v>
      </c>
      <c r="C114" s="306">
        <v>6.61617290735099</v>
      </c>
      <c r="D114" s="143"/>
      <c r="E114" s="143"/>
      <c r="F114" s="143"/>
      <c r="G114" s="146"/>
    </row>
    <row r="115" ht="15" customHeight="1" spans="1:7">
      <c r="A115" s="143"/>
      <c r="B115" s="178">
        <f t="shared" si="1"/>
        <v>471</v>
      </c>
      <c r="C115" s="306">
        <v>6.36435280141837</v>
      </c>
      <c r="D115" s="143"/>
      <c r="E115" s="143"/>
      <c r="F115" s="143"/>
      <c r="G115" s="146"/>
    </row>
    <row r="116" ht="15" customHeight="1" spans="1:7">
      <c r="A116" s="143"/>
      <c r="B116" s="178">
        <f t="shared" si="1"/>
        <v>472</v>
      </c>
      <c r="C116" s="306">
        <v>6.09283931958187</v>
      </c>
      <c r="D116" s="143"/>
      <c r="E116" s="143"/>
      <c r="F116" s="143"/>
      <c r="G116" s="146"/>
    </row>
    <row r="117" ht="15" customHeight="1" spans="1:7">
      <c r="A117" s="143"/>
      <c r="B117" s="178">
        <f t="shared" si="1"/>
        <v>473</v>
      </c>
      <c r="C117" s="306">
        <v>5.80279544592525</v>
      </c>
      <c r="D117" s="143"/>
      <c r="E117" s="143"/>
      <c r="F117" s="143"/>
      <c r="G117" s="146"/>
    </row>
    <row r="118" ht="15" customHeight="1" spans="1:7">
      <c r="A118" s="143"/>
      <c r="B118" s="178">
        <f t="shared" si="1"/>
        <v>474</v>
      </c>
      <c r="C118" s="306">
        <v>5.51008184005896</v>
      </c>
      <c r="D118" s="143"/>
      <c r="E118" s="143"/>
      <c r="F118" s="143"/>
      <c r="G118" s="146"/>
    </row>
    <row r="119" ht="15" customHeight="1" spans="1:7">
      <c r="A119" s="143"/>
      <c r="B119" s="178">
        <f t="shared" si="1"/>
        <v>475</v>
      </c>
      <c r="C119" s="306">
        <v>5.21613721989162</v>
      </c>
      <c r="D119" s="143"/>
      <c r="E119" s="143"/>
      <c r="F119" s="143"/>
      <c r="G119" s="146"/>
    </row>
    <row r="120" ht="15" customHeight="1" spans="1:7">
      <c r="A120" s="143"/>
      <c r="B120" s="178">
        <f t="shared" si="1"/>
        <v>476</v>
      </c>
      <c r="C120" s="306">
        <v>4.94696467848443</v>
      </c>
      <c r="D120" s="143"/>
      <c r="E120" s="143"/>
      <c r="F120" s="143"/>
      <c r="G120" s="146"/>
    </row>
    <row r="121" ht="15" customHeight="1" spans="1:7">
      <c r="A121" s="143"/>
      <c r="B121" s="178">
        <f t="shared" si="1"/>
        <v>477</v>
      </c>
      <c r="C121" s="306">
        <v>4.7080347802498</v>
      </c>
      <c r="D121" s="143"/>
      <c r="E121" s="143"/>
      <c r="F121" s="143"/>
      <c r="G121" s="146"/>
    </row>
    <row r="122" ht="15" customHeight="1" spans="1:7">
      <c r="A122" s="143"/>
      <c r="B122" s="178">
        <f t="shared" si="1"/>
        <v>478</v>
      </c>
      <c r="C122" s="306">
        <v>4.48231194791477</v>
      </c>
      <c r="D122" s="143"/>
      <c r="E122" s="143"/>
      <c r="F122" s="143"/>
      <c r="G122" s="146"/>
    </row>
    <row r="123" ht="15" customHeight="1" spans="1:7">
      <c r="A123" s="143"/>
      <c r="B123" s="178">
        <f t="shared" si="1"/>
        <v>479</v>
      </c>
      <c r="C123" s="306">
        <v>4.29295243964893</v>
      </c>
      <c r="D123" s="143"/>
      <c r="E123" s="143"/>
      <c r="F123" s="143"/>
      <c r="G123" s="146"/>
    </row>
    <row r="124" ht="15" customHeight="1" spans="1:7">
      <c r="A124" s="143"/>
      <c r="B124" s="178">
        <f t="shared" si="1"/>
        <v>480</v>
      </c>
      <c r="C124" s="306">
        <v>4.15295195133414</v>
      </c>
      <c r="D124" s="143"/>
      <c r="E124" s="143"/>
      <c r="F124" s="143"/>
      <c r="G124" s="146"/>
    </row>
    <row r="125" ht="15" customHeight="1" spans="1:7">
      <c r="A125" s="143"/>
      <c r="B125" s="178">
        <f t="shared" si="1"/>
        <v>481</v>
      </c>
      <c r="C125" s="306">
        <v>4.06028912734808</v>
      </c>
      <c r="D125" s="143"/>
      <c r="E125" s="143"/>
      <c r="F125" s="143"/>
      <c r="G125" s="146"/>
    </row>
    <row r="126" ht="15" customHeight="1" spans="1:7">
      <c r="A126" s="143"/>
      <c r="B126" s="178">
        <f t="shared" si="1"/>
        <v>482</v>
      </c>
      <c r="C126" s="306">
        <v>4.02092791629221</v>
      </c>
      <c r="D126" s="143"/>
      <c r="E126" s="143"/>
      <c r="F126" s="143"/>
      <c r="G126" s="146"/>
    </row>
    <row r="127" ht="15" customHeight="1" spans="1:7">
      <c r="A127" s="143"/>
      <c r="B127" s="178">
        <f t="shared" si="1"/>
        <v>483</v>
      </c>
      <c r="C127" s="306">
        <v>4.00320860038461</v>
      </c>
      <c r="D127" s="143"/>
      <c r="E127" s="143"/>
      <c r="F127" s="143"/>
      <c r="G127" s="146"/>
    </row>
    <row r="128" ht="15" customHeight="1" spans="1:7">
      <c r="A128" s="143"/>
      <c r="B128" s="178">
        <f t="shared" si="1"/>
        <v>484</v>
      </c>
      <c r="C128" s="306">
        <v>4.0192166749808</v>
      </c>
      <c r="D128" s="143"/>
      <c r="E128" s="143"/>
      <c r="F128" s="143"/>
      <c r="G128" s="146"/>
    </row>
    <row r="129" ht="15" customHeight="1" spans="1:7">
      <c r="A129" s="143"/>
      <c r="B129" s="178">
        <f t="shared" si="1"/>
        <v>485</v>
      </c>
      <c r="C129" s="306">
        <v>4.06103850014886</v>
      </c>
      <c r="D129" s="143"/>
      <c r="E129" s="143"/>
      <c r="F129" s="143"/>
      <c r="G129" s="146"/>
    </row>
    <row r="130" ht="15" customHeight="1" spans="1:7">
      <c r="A130" s="143"/>
      <c r="B130" s="178">
        <f t="shared" si="1"/>
        <v>486</v>
      </c>
      <c r="C130" s="306">
        <v>4.13733393226677</v>
      </c>
      <c r="D130" s="143"/>
      <c r="E130" s="143"/>
      <c r="F130" s="143"/>
      <c r="G130" s="146"/>
    </row>
    <row r="131" ht="15" customHeight="1" spans="1:7">
      <c r="A131" s="143"/>
      <c r="B131" s="178">
        <f t="shared" si="1"/>
        <v>487</v>
      </c>
      <c r="C131" s="306">
        <v>4.22012194888643</v>
      </c>
      <c r="D131" s="143"/>
      <c r="E131" s="143"/>
      <c r="F131" s="143"/>
      <c r="G131" s="146"/>
    </row>
    <row r="132" ht="15" customHeight="1" spans="1:7">
      <c r="A132" s="143"/>
      <c r="B132" s="178">
        <f t="shared" si="1"/>
        <v>488</v>
      </c>
      <c r="C132" s="306">
        <v>4.32326156968776</v>
      </c>
      <c r="D132" s="143"/>
      <c r="E132" s="143"/>
      <c r="F132" s="143"/>
      <c r="G132" s="146"/>
    </row>
    <row r="133" ht="15" customHeight="1" spans="1:7">
      <c r="A133" s="143"/>
      <c r="B133" s="178">
        <f t="shared" si="1"/>
        <v>489</v>
      </c>
      <c r="C133" s="306">
        <v>4.43958838874908</v>
      </c>
      <c r="D133" s="143"/>
      <c r="E133" s="143"/>
      <c r="F133" s="143"/>
      <c r="G133" s="146"/>
    </row>
    <row r="134" ht="15" customHeight="1" spans="1:7">
      <c r="A134" s="143"/>
      <c r="B134" s="178">
        <f t="shared" si="1"/>
        <v>490</v>
      </c>
      <c r="C134" s="306">
        <v>4.6023610456678</v>
      </c>
      <c r="D134" s="143"/>
      <c r="E134" s="143"/>
      <c r="F134" s="143"/>
      <c r="G134" s="146"/>
    </row>
    <row r="135" ht="15" customHeight="1" spans="1:7">
      <c r="A135" s="143"/>
      <c r="B135" s="178">
        <f t="shared" si="1"/>
        <v>491</v>
      </c>
      <c r="C135" s="306">
        <v>4.7539736862478</v>
      </c>
      <c r="D135" s="143"/>
      <c r="E135" s="143"/>
      <c r="F135" s="143"/>
      <c r="G135" s="146"/>
    </row>
    <row r="136" ht="15" customHeight="1" spans="1:7">
      <c r="A136" s="143"/>
      <c r="B136" s="178">
        <f t="shared" si="1"/>
        <v>492</v>
      </c>
      <c r="C136" s="306">
        <v>4.93787602774324</v>
      </c>
      <c r="D136" s="143"/>
      <c r="E136" s="143"/>
      <c r="F136" s="143"/>
      <c r="G136" s="146"/>
    </row>
    <row r="137" ht="15" customHeight="1" spans="1:7">
      <c r="A137" s="143"/>
      <c r="B137" s="178">
        <f t="shared" si="1"/>
        <v>493</v>
      </c>
      <c r="C137" s="306">
        <v>5.15195433786172</v>
      </c>
      <c r="D137" s="143"/>
      <c r="E137" s="143"/>
      <c r="F137" s="143"/>
      <c r="G137" s="146"/>
    </row>
    <row r="138" ht="15" customHeight="1" spans="1:7">
      <c r="A138" s="143"/>
      <c r="B138" s="178">
        <f t="shared" si="1"/>
        <v>494</v>
      </c>
      <c r="C138" s="306">
        <v>5.37703085306423</v>
      </c>
      <c r="D138" s="143"/>
      <c r="E138" s="143"/>
      <c r="F138" s="143"/>
      <c r="G138" s="146"/>
    </row>
    <row r="139" ht="15" customHeight="1" spans="1:7">
      <c r="A139" s="143"/>
      <c r="B139" s="178">
        <f t="shared" si="1"/>
        <v>495</v>
      </c>
      <c r="C139" s="306">
        <v>5.63486264115569</v>
      </c>
      <c r="D139" s="143"/>
      <c r="E139" s="143"/>
      <c r="F139" s="143"/>
      <c r="G139" s="146"/>
    </row>
    <row r="140" ht="15" customHeight="1" spans="1:7">
      <c r="A140" s="143"/>
      <c r="B140" s="178">
        <f t="shared" si="1"/>
        <v>496</v>
      </c>
      <c r="C140" s="306">
        <v>5.89085292340509</v>
      </c>
      <c r="D140" s="143"/>
      <c r="E140" s="143"/>
      <c r="F140" s="143"/>
      <c r="G140" s="146"/>
    </row>
    <row r="141" ht="15" customHeight="1" spans="1:7">
      <c r="A141" s="143"/>
      <c r="B141" s="178">
        <f t="shared" si="1"/>
        <v>497</v>
      </c>
      <c r="C141" s="306">
        <v>6.20107586637133</v>
      </c>
      <c r="D141" s="143"/>
      <c r="E141" s="143"/>
      <c r="F141" s="143"/>
      <c r="G141" s="146"/>
    </row>
    <row r="142" ht="15" customHeight="1" spans="1:7">
      <c r="A142" s="143"/>
      <c r="B142" s="178">
        <f t="shared" si="1"/>
        <v>498</v>
      </c>
      <c r="C142" s="306">
        <v>6.51155575729748</v>
      </c>
      <c r="D142" s="143"/>
      <c r="E142" s="143"/>
      <c r="F142" s="143"/>
      <c r="G142" s="146"/>
    </row>
    <row r="143" ht="15" customHeight="1" spans="1:7">
      <c r="A143" s="143"/>
      <c r="B143" s="178">
        <f t="shared" si="1"/>
        <v>499</v>
      </c>
      <c r="C143" s="306">
        <v>6.86408298214933</v>
      </c>
      <c r="D143" s="143"/>
      <c r="E143" s="143"/>
      <c r="F143" s="143"/>
      <c r="G143" s="146"/>
    </row>
    <row r="144" ht="15" customHeight="1" spans="1:7">
      <c r="A144" s="143"/>
      <c r="B144" s="178">
        <f t="shared" si="1"/>
        <v>500</v>
      </c>
      <c r="C144" s="306">
        <v>7.23515697545042</v>
      </c>
      <c r="D144" s="143"/>
      <c r="E144" s="143"/>
      <c r="F144" s="143"/>
      <c r="G144" s="146"/>
    </row>
    <row r="145" ht="15" customHeight="1" spans="1:7">
      <c r="A145" s="143"/>
      <c r="B145" s="178">
        <f t="shared" si="1"/>
        <v>501</v>
      </c>
      <c r="C145" s="306">
        <v>7.62978736040062</v>
      </c>
      <c r="D145" s="143"/>
      <c r="E145" s="143"/>
      <c r="F145" s="143"/>
      <c r="G145" s="146"/>
    </row>
    <row r="146" ht="15" customHeight="1" spans="1:7">
      <c r="A146" s="143"/>
      <c r="B146" s="178">
        <f t="shared" si="1"/>
        <v>502</v>
      </c>
      <c r="C146" s="306">
        <v>8.09661693372806</v>
      </c>
      <c r="D146" s="143"/>
      <c r="E146" s="143"/>
      <c r="F146" s="143"/>
      <c r="G146" s="146"/>
    </row>
    <row r="147" ht="15" customHeight="1" spans="1:7">
      <c r="A147" s="143"/>
      <c r="B147" s="178">
        <f t="shared" si="1"/>
        <v>503</v>
      </c>
      <c r="C147" s="306">
        <v>8.58485094583638</v>
      </c>
      <c r="D147" s="143"/>
      <c r="E147" s="143"/>
      <c r="F147" s="143"/>
      <c r="G147" s="146"/>
    </row>
    <row r="148" ht="15" customHeight="1" spans="1:7">
      <c r="A148" s="143"/>
      <c r="B148" s="178">
        <f t="shared" si="1"/>
        <v>504</v>
      </c>
      <c r="C148" s="306">
        <v>9.06912336318339</v>
      </c>
      <c r="D148" s="143"/>
      <c r="E148" s="143"/>
      <c r="F148" s="143"/>
      <c r="G148" s="146"/>
    </row>
    <row r="149" ht="15" customHeight="1" spans="1:7">
      <c r="A149" s="143"/>
      <c r="B149" s="178">
        <f t="shared" si="1"/>
        <v>505</v>
      </c>
      <c r="C149" s="306">
        <v>9.56331943789748</v>
      </c>
      <c r="D149" s="143"/>
      <c r="E149" s="143"/>
      <c r="F149" s="143"/>
      <c r="G149" s="146"/>
    </row>
    <row r="150" ht="15" customHeight="1" spans="1:7">
      <c r="A150" s="143"/>
      <c r="B150" s="178">
        <f t="shared" si="1"/>
        <v>506</v>
      </c>
      <c r="C150" s="306">
        <v>10.0573271333789</v>
      </c>
      <c r="D150" s="143"/>
      <c r="E150" s="143"/>
      <c r="F150" s="143"/>
      <c r="G150" s="146"/>
    </row>
    <row r="151" ht="15" customHeight="1" spans="1:7">
      <c r="A151" s="143"/>
      <c r="B151" s="178">
        <f t="shared" si="1"/>
        <v>507</v>
      </c>
      <c r="C151" s="306">
        <v>10.6225534593874</v>
      </c>
      <c r="D151" s="143"/>
      <c r="E151" s="143"/>
      <c r="F151" s="143"/>
      <c r="G151" s="146"/>
    </row>
    <row r="152" ht="15" customHeight="1" spans="1:7">
      <c r="A152" s="143"/>
      <c r="B152" s="178">
        <f t="shared" ref="B152:B215" si="2">IF(380+C$20*(ROW()-ROW(B$23)-1)&gt;780,"",380+C$20*(ROW()-ROW(B$23)-1))</f>
        <v>508</v>
      </c>
      <c r="C152" s="306">
        <v>11.1617284810575</v>
      </c>
      <c r="D152" s="143"/>
      <c r="E152" s="143"/>
      <c r="F152" s="143"/>
      <c r="G152" s="146"/>
    </row>
    <row r="153" ht="15" customHeight="1" spans="1:7">
      <c r="A153" s="143"/>
      <c r="B153" s="178">
        <f t="shared" si="2"/>
        <v>509</v>
      </c>
      <c r="C153" s="306">
        <v>11.7115002186643</v>
      </c>
      <c r="D153" s="143"/>
      <c r="E153" s="143"/>
      <c r="F153" s="143"/>
      <c r="G153" s="146"/>
    </row>
    <row r="154" ht="15" customHeight="1" spans="1:7">
      <c r="A154" s="143"/>
      <c r="B154" s="178">
        <f t="shared" si="2"/>
        <v>510</v>
      </c>
      <c r="C154" s="306">
        <v>12.2645948923477</v>
      </c>
      <c r="D154" s="143"/>
      <c r="E154" s="143"/>
      <c r="F154" s="143"/>
      <c r="G154" s="146"/>
    </row>
    <row r="155" ht="15" customHeight="1" spans="1:7">
      <c r="A155" s="143"/>
      <c r="B155" s="178">
        <f t="shared" si="2"/>
        <v>511</v>
      </c>
      <c r="C155" s="306">
        <v>12.7650756320387</v>
      </c>
      <c r="D155" s="143"/>
      <c r="E155" s="143"/>
      <c r="F155" s="143"/>
      <c r="G155" s="146"/>
    </row>
    <row r="156" ht="15" customHeight="1" spans="1:7">
      <c r="A156" s="143"/>
      <c r="B156" s="178">
        <f t="shared" si="2"/>
        <v>512</v>
      </c>
      <c r="C156" s="306">
        <v>13.3204828408773</v>
      </c>
      <c r="D156" s="143"/>
      <c r="E156" s="143"/>
      <c r="F156" s="143"/>
      <c r="G156" s="146"/>
    </row>
    <row r="157" ht="15" customHeight="1" spans="1:7">
      <c r="A157" s="143"/>
      <c r="B157" s="178">
        <f t="shared" si="2"/>
        <v>513</v>
      </c>
      <c r="C157" s="306">
        <v>13.8921907974295</v>
      </c>
      <c r="D157" s="143"/>
      <c r="E157" s="143"/>
      <c r="F157" s="143"/>
      <c r="G157" s="146"/>
    </row>
    <row r="158" ht="15" customHeight="1" spans="1:7">
      <c r="A158" s="143"/>
      <c r="B158" s="178">
        <f t="shared" si="2"/>
        <v>514</v>
      </c>
      <c r="C158" s="306">
        <v>14.3777950946825</v>
      </c>
      <c r="D158" s="143"/>
      <c r="E158" s="143"/>
      <c r="F158" s="143"/>
      <c r="G158" s="146"/>
    </row>
    <row r="159" ht="15" customHeight="1" spans="1:7">
      <c r="A159" s="143"/>
      <c r="B159" s="178">
        <f t="shared" si="2"/>
        <v>515</v>
      </c>
      <c r="C159" s="306">
        <v>14.8765280608693</v>
      </c>
      <c r="D159" s="143"/>
      <c r="E159" s="143"/>
      <c r="F159" s="143"/>
      <c r="G159" s="146"/>
    </row>
    <row r="160" ht="15" customHeight="1" spans="1:7">
      <c r="A160" s="143"/>
      <c r="B160" s="178">
        <f t="shared" si="2"/>
        <v>516</v>
      </c>
      <c r="C160" s="306">
        <v>15.2940171830991</v>
      </c>
      <c r="D160" s="143"/>
      <c r="E160" s="143"/>
      <c r="F160" s="143"/>
      <c r="G160" s="146"/>
    </row>
    <row r="161" ht="15" customHeight="1" spans="1:7">
      <c r="A161" s="143"/>
      <c r="B161" s="178">
        <f t="shared" si="2"/>
        <v>517</v>
      </c>
      <c r="C161" s="306">
        <v>15.7339328128988</v>
      </c>
      <c r="D161" s="143"/>
      <c r="E161" s="143"/>
      <c r="F161" s="143"/>
      <c r="G161" s="146"/>
    </row>
    <row r="162" ht="15" customHeight="1" spans="1:7">
      <c r="A162" s="143"/>
      <c r="B162" s="178">
        <f t="shared" si="2"/>
        <v>518</v>
      </c>
      <c r="C162" s="306">
        <v>16.0881197045686</v>
      </c>
      <c r="D162" s="143"/>
      <c r="E162" s="143"/>
      <c r="F162" s="143"/>
      <c r="G162" s="146"/>
    </row>
    <row r="163" ht="15" customHeight="1" spans="1:7">
      <c r="A163" s="143"/>
      <c r="B163" s="178">
        <f t="shared" si="2"/>
        <v>519</v>
      </c>
      <c r="C163" s="306">
        <v>16.3773847649142</v>
      </c>
      <c r="D163" s="143"/>
      <c r="E163" s="143"/>
      <c r="F163" s="143"/>
      <c r="G163" s="146"/>
    </row>
    <row r="164" ht="15" customHeight="1" spans="1:7">
      <c r="A164" s="143"/>
      <c r="B164" s="178">
        <f t="shared" si="2"/>
        <v>520</v>
      </c>
      <c r="C164" s="306">
        <v>16.6629861508874</v>
      </c>
      <c r="D164" s="143"/>
      <c r="E164" s="143"/>
      <c r="F164" s="143"/>
      <c r="G164" s="146"/>
    </row>
    <row r="165" ht="15" customHeight="1" spans="1:7">
      <c r="A165" s="143"/>
      <c r="B165" s="178">
        <f t="shared" si="2"/>
        <v>521</v>
      </c>
      <c r="C165" s="306">
        <v>16.8198233407592</v>
      </c>
      <c r="D165" s="143"/>
      <c r="E165" s="143"/>
      <c r="F165" s="143"/>
      <c r="G165" s="146"/>
    </row>
    <row r="166" ht="15" customHeight="1" spans="1:7">
      <c r="A166" s="143"/>
      <c r="B166" s="178">
        <f t="shared" si="2"/>
        <v>522</v>
      </c>
      <c r="C166" s="306">
        <v>16.9075394311666</v>
      </c>
      <c r="D166" s="143"/>
      <c r="E166" s="143"/>
      <c r="F166" s="143"/>
      <c r="G166" s="146"/>
    </row>
    <row r="167" ht="15" customHeight="1" spans="1:7">
      <c r="A167" s="143"/>
      <c r="B167" s="178">
        <f t="shared" si="2"/>
        <v>523</v>
      </c>
      <c r="C167" s="306">
        <v>16.9899652885703</v>
      </c>
      <c r="D167" s="143"/>
      <c r="E167" s="143"/>
      <c r="F167" s="143"/>
      <c r="G167" s="146"/>
    </row>
    <row r="168" ht="15" customHeight="1" spans="1:7">
      <c r="A168" s="143"/>
      <c r="B168" s="178">
        <f t="shared" si="2"/>
        <v>524</v>
      </c>
      <c r="C168" s="306">
        <v>16.9542953706186</v>
      </c>
      <c r="D168" s="143"/>
      <c r="E168" s="143"/>
      <c r="F168" s="143"/>
      <c r="G168" s="146"/>
    </row>
    <row r="169" ht="15" customHeight="1" spans="1:7">
      <c r="A169" s="143"/>
      <c r="B169" s="178">
        <f t="shared" si="2"/>
        <v>525</v>
      </c>
      <c r="C169" s="306">
        <v>16.8957805642625</v>
      </c>
      <c r="D169" s="143"/>
      <c r="E169" s="143"/>
      <c r="F169" s="143"/>
      <c r="G169" s="146"/>
    </row>
    <row r="170" ht="15" customHeight="1" spans="1:7">
      <c r="A170" s="143"/>
      <c r="B170" s="178">
        <f t="shared" si="2"/>
        <v>526</v>
      </c>
      <c r="C170" s="306">
        <v>16.8773640282288</v>
      </c>
      <c r="D170" s="143"/>
      <c r="E170" s="143"/>
      <c r="F170" s="143"/>
      <c r="G170" s="146"/>
    </row>
    <row r="171" ht="15" customHeight="1" spans="1:7">
      <c r="A171" s="143"/>
      <c r="B171" s="178">
        <f t="shared" si="2"/>
        <v>527</v>
      </c>
      <c r="C171" s="306">
        <v>16.747439676177</v>
      </c>
      <c r="D171" s="143"/>
      <c r="E171" s="143"/>
      <c r="F171" s="143"/>
      <c r="G171" s="146"/>
    </row>
    <row r="172" ht="15" customHeight="1" spans="1:7">
      <c r="A172" s="143"/>
      <c r="B172" s="178">
        <f t="shared" si="2"/>
        <v>528</v>
      </c>
      <c r="C172" s="306">
        <v>16.5874742063677</v>
      </c>
      <c r="D172" s="143"/>
      <c r="E172" s="143"/>
      <c r="F172" s="143"/>
      <c r="G172" s="146"/>
    </row>
    <row r="173" ht="15" customHeight="1" spans="1:7">
      <c r="A173" s="143"/>
      <c r="B173" s="178">
        <f t="shared" si="2"/>
        <v>529</v>
      </c>
      <c r="C173" s="306">
        <v>16.4208446797811</v>
      </c>
      <c r="D173" s="143"/>
      <c r="E173" s="143"/>
      <c r="F173" s="143"/>
      <c r="G173" s="146"/>
    </row>
    <row r="174" ht="15" customHeight="1" spans="1:7">
      <c r="A174" s="143"/>
      <c r="B174" s="178">
        <f t="shared" si="2"/>
        <v>530</v>
      </c>
      <c r="C174" s="306">
        <v>16.165739738956</v>
      </c>
      <c r="D174" s="143"/>
      <c r="E174" s="143"/>
      <c r="F174" s="143"/>
      <c r="G174" s="146"/>
    </row>
    <row r="175" ht="15" customHeight="1" spans="1:7">
      <c r="A175" s="143"/>
      <c r="B175" s="178">
        <f t="shared" si="2"/>
        <v>531</v>
      </c>
      <c r="C175" s="306">
        <v>15.9799923825239</v>
      </c>
      <c r="D175" s="143"/>
      <c r="E175" s="143"/>
      <c r="F175" s="143"/>
      <c r="G175" s="146"/>
    </row>
    <row r="176" ht="15" customHeight="1" spans="1:7">
      <c r="A176" s="143"/>
      <c r="B176" s="178">
        <f t="shared" si="2"/>
        <v>532</v>
      </c>
      <c r="C176" s="306">
        <v>15.7396574092444</v>
      </c>
      <c r="D176" s="143"/>
      <c r="E176" s="143"/>
      <c r="F176" s="143"/>
      <c r="G176" s="146"/>
    </row>
    <row r="177" ht="15" customHeight="1" spans="1:7">
      <c r="A177" s="143"/>
      <c r="B177" s="178">
        <f t="shared" si="2"/>
        <v>533</v>
      </c>
      <c r="C177" s="306">
        <v>15.4961471155216</v>
      </c>
      <c r="D177" s="143"/>
      <c r="E177" s="143"/>
      <c r="F177" s="143"/>
      <c r="G177" s="146"/>
    </row>
    <row r="178" ht="15" customHeight="1" spans="1:7">
      <c r="A178" s="143"/>
      <c r="B178" s="178">
        <f t="shared" si="2"/>
        <v>534</v>
      </c>
      <c r="C178" s="306">
        <v>15.1882630123864</v>
      </c>
      <c r="D178" s="143"/>
      <c r="E178" s="143"/>
      <c r="F178" s="143"/>
      <c r="G178" s="146"/>
    </row>
    <row r="179" ht="15" customHeight="1" spans="1:7">
      <c r="A179" s="143"/>
      <c r="B179" s="178">
        <f t="shared" si="2"/>
        <v>535</v>
      </c>
      <c r="C179" s="306">
        <v>14.9423795593571</v>
      </c>
      <c r="D179" s="143"/>
      <c r="E179" s="143"/>
      <c r="F179" s="143"/>
      <c r="G179" s="146"/>
    </row>
    <row r="180" ht="15" customHeight="1" spans="1:7">
      <c r="A180" s="143"/>
      <c r="B180" s="178">
        <f t="shared" si="2"/>
        <v>536</v>
      </c>
      <c r="C180" s="306">
        <v>14.6824532478647</v>
      </c>
      <c r="D180" s="143"/>
      <c r="E180" s="143"/>
      <c r="F180" s="143"/>
      <c r="G180" s="146"/>
    </row>
    <row r="181" ht="15" customHeight="1" spans="1:7">
      <c r="A181" s="143"/>
      <c r="B181" s="178">
        <f t="shared" si="2"/>
        <v>537</v>
      </c>
      <c r="C181" s="306">
        <v>14.4073270175237</v>
      </c>
      <c r="D181" s="143"/>
      <c r="E181" s="143"/>
      <c r="F181" s="143"/>
      <c r="G181" s="146"/>
    </row>
    <row r="182" ht="15" customHeight="1" spans="1:7">
      <c r="A182" s="143"/>
      <c r="B182" s="178">
        <f t="shared" si="2"/>
        <v>538</v>
      </c>
      <c r="C182" s="306">
        <v>14.1778046301307</v>
      </c>
      <c r="D182" s="143"/>
      <c r="E182" s="143"/>
      <c r="F182" s="143"/>
      <c r="G182" s="146"/>
    </row>
    <row r="183" ht="15" customHeight="1" spans="1:7">
      <c r="A183" s="143"/>
      <c r="B183" s="178">
        <f t="shared" si="2"/>
        <v>539</v>
      </c>
      <c r="C183" s="306">
        <v>13.9416519846046</v>
      </c>
      <c r="D183" s="143"/>
      <c r="E183" s="143"/>
      <c r="F183" s="143"/>
      <c r="G183" s="146"/>
    </row>
    <row r="184" ht="15" customHeight="1" spans="1:7">
      <c r="A184" s="143"/>
      <c r="B184" s="178">
        <f t="shared" si="2"/>
        <v>540</v>
      </c>
      <c r="C184" s="306">
        <v>13.7342320006437</v>
      </c>
      <c r="D184" s="143"/>
      <c r="E184" s="143"/>
      <c r="F184" s="143"/>
      <c r="G184" s="146"/>
    </row>
    <row r="185" ht="15" customHeight="1" spans="1:7">
      <c r="A185" s="143"/>
      <c r="B185" s="178">
        <f t="shared" si="2"/>
        <v>541</v>
      </c>
      <c r="C185" s="306">
        <v>13.5224540604334</v>
      </c>
      <c r="D185" s="143"/>
      <c r="E185" s="143"/>
      <c r="F185" s="143"/>
      <c r="G185" s="146"/>
    </row>
    <row r="186" ht="15" customHeight="1" spans="1:7">
      <c r="A186" s="143"/>
      <c r="B186" s="178">
        <f t="shared" si="2"/>
        <v>542</v>
      </c>
      <c r="C186" s="306">
        <v>13.3251333705177</v>
      </c>
      <c r="D186" s="143"/>
      <c r="E186" s="143"/>
      <c r="F186" s="143"/>
      <c r="G186" s="146"/>
    </row>
    <row r="187" ht="15" customHeight="1" spans="1:7">
      <c r="A187" s="143"/>
      <c r="B187" s="178">
        <f t="shared" si="2"/>
        <v>543</v>
      </c>
      <c r="C187" s="306">
        <v>13.1210174182503</v>
      </c>
      <c r="D187" s="143"/>
      <c r="E187" s="143"/>
      <c r="F187" s="143"/>
      <c r="G187" s="146"/>
    </row>
    <row r="188" ht="15" customHeight="1" spans="1:7">
      <c r="A188" s="143"/>
      <c r="B188" s="178">
        <f t="shared" si="2"/>
        <v>544</v>
      </c>
      <c r="C188" s="306">
        <v>12.9421111596411</v>
      </c>
      <c r="D188" s="143"/>
      <c r="E188" s="143"/>
      <c r="F188" s="143"/>
      <c r="G188" s="146"/>
    </row>
    <row r="189" ht="15" customHeight="1" spans="1:7">
      <c r="A189" s="143"/>
      <c r="B189" s="178">
        <f t="shared" si="2"/>
        <v>545</v>
      </c>
      <c r="C189" s="306">
        <v>12.7799981670772</v>
      </c>
      <c r="D189" s="143"/>
      <c r="E189" s="143"/>
      <c r="F189" s="143"/>
      <c r="G189" s="146"/>
    </row>
    <row r="190" ht="15" customHeight="1" spans="1:7">
      <c r="A190" s="143"/>
      <c r="B190" s="178">
        <f t="shared" si="2"/>
        <v>546</v>
      </c>
      <c r="C190" s="306">
        <v>12.6266229544108</v>
      </c>
      <c r="D190" s="143"/>
      <c r="E190" s="143"/>
      <c r="F190" s="143"/>
      <c r="G190" s="146"/>
    </row>
    <row r="191" ht="15" customHeight="1" spans="1:7">
      <c r="A191" s="143"/>
      <c r="B191" s="178">
        <f t="shared" si="2"/>
        <v>547</v>
      </c>
      <c r="C191" s="306">
        <v>12.4821932950678</v>
      </c>
      <c r="D191" s="143"/>
      <c r="E191" s="143"/>
      <c r="F191" s="143"/>
      <c r="G191" s="146"/>
    </row>
    <row r="192" ht="15" customHeight="1" spans="1:7">
      <c r="A192" s="143"/>
      <c r="B192" s="178">
        <f t="shared" si="2"/>
        <v>548</v>
      </c>
      <c r="C192" s="306">
        <v>12.3517749657684</v>
      </c>
      <c r="D192" s="143"/>
      <c r="E192" s="143"/>
      <c r="F192" s="143"/>
      <c r="G192" s="146"/>
    </row>
    <row r="193" ht="15" customHeight="1" spans="1:7">
      <c r="A193" s="143"/>
      <c r="B193" s="178">
        <f t="shared" si="2"/>
        <v>549</v>
      </c>
      <c r="C193" s="306">
        <v>12.2199107295059</v>
      </c>
      <c r="D193" s="143"/>
      <c r="E193" s="143"/>
      <c r="F193" s="143"/>
      <c r="G193" s="146"/>
    </row>
    <row r="194" ht="15" customHeight="1" spans="1:7">
      <c r="A194" s="143"/>
      <c r="B194" s="178">
        <f t="shared" si="2"/>
        <v>550</v>
      </c>
      <c r="C194" s="306">
        <v>12.0864761937134</v>
      </c>
      <c r="D194" s="143"/>
      <c r="E194" s="143"/>
      <c r="F194" s="143"/>
      <c r="G194" s="146"/>
    </row>
    <row r="195" ht="15" customHeight="1" spans="1:7">
      <c r="A195" s="143"/>
      <c r="B195" s="178">
        <f t="shared" si="2"/>
        <v>551</v>
      </c>
      <c r="C195" s="306">
        <v>11.9845248244675</v>
      </c>
      <c r="D195" s="143"/>
      <c r="E195" s="143"/>
      <c r="F195" s="143"/>
      <c r="G195" s="146"/>
    </row>
    <row r="196" ht="15" customHeight="1" spans="1:7">
      <c r="A196" s="143"/>
      <c r="B196" s="178">
        <f t="shared" si="2"/>
        <v>552</v>
      </c>
      <c r="C196" s="306">
        <v>11.9082514181579</v>
      </c>
      <c r="D196" s="143"/>
      <c r="E196" s="143"/>
      <c r="F196" s="143"/>
      <c r="G196" s="146"/>
    </row>
    <row r="197" ht="15" customHeight="1" spans="1:7">
      <c r="A197" s="143"/>
      <c r="B197" s="178">
        <f t="shared" si="2"/>
        <v>553</v>
      </c>
      <c r="C197" s="306">
        <v>11.8182383697451</v>
      </c>
      <c r="D197" s="143"/>
      <c r="E197" s="143"/>
      <c r="F197" s="143"/>
      <c r="G197" s="146"/>
    </row>
    <row r="198" ht="15" customHeight="1" spans="1:7">
      <c r="A198" s="143"/>
      <c r="B198" s="178">
        <f t="shared" si="2"/>
        <v>554</v>
      </c>
      <c r="C198" s="306">
        <v>11.7452369850813</v>
      </c>
      <c r="D198" s="143"/>
      <c r="E198" s="143"/>
      <c r="F198" s="143"/>
      <c r="G198" s="146"/>
    </row>
    <row r="199" ht="15" customHeight="1" spans="1:7">
      <c r="A199" s="143"/>
      <c r="B199" s="178">
        <f t="shared" si="2"/>
        <v>555</v>
      </c>
      <c r="C199" s="306">
        <v>11.6672242860202</v>
      </c>
      <c r="D199" s="143"/>
      <c r="E199" s="143"/>
      <c r="F199" s="143"/>
      <c r="G199" s="146"/>
    </row>
    <row r="200" ht="15" customHeight="1" spans="1:7">
      <c r="A200" s="143"/>
      <c r="B200" s="178">
        <f t="shared" si="2"/>
        <v>556</v>
      </c>
      <c r="C200" s="306">
        <v>11.6000460947928</v>
      </c>
      <c r="D200" s="143"/>
      <c r="E200" s="143"/>
      <c r="F200" s="143"/>
      <c r="G200" s="146"/>
    </row>
    <row r="201" ht="15" customHeight="1" spans="1:7">
      <c r="A201" s="143"/>
      <c r="B201" s="178">
        <f t="shared" si="2"/>
        <v>557</v>
      </c>
      <c r="C201" s="306">
        <v>11.5331981695316</v>
      </c>
      <c r="D201" s="143"/>
      <c r="E201" s="143"/>
      <c r="F201" s="143"/>
      <c r="G201" s="146"/>
    </row>
    <row r="202" ht="15" customHeight="1" spans="1:7">
      <c r="A202" s="143"/>
      <c r="B202" s="178">
        <f t="shared" si="2"/>
        <v>558</v>
      </c>
      <c r="C202" s="306">
        <v>11.5022639247965</v>
      </c>
      <c r="D202" s="143"/>
      <c r="E202" s="143"/>
      <c r="F202" s="143"/>
      <c r="G202" s="146"/>
    </row>
    <row r="203" ht="15" customHeight="1" spans="1:7">
      <c r="A203" s="143"/>
      <c r="B203" s="178">
        <f t="shared" si="2"/>
        <v>559</v>
      </c>
      <c r="C203" s="306">
        <v>11.4289937723572</v>
      </c>
      <c r="D203" s="143"/>
      <c r="E203" s="143"/>
      <c r="F203" s="143"/>
      <c r="G203" s="146"/>
    </row>
    <row r="204" ht="15" customHeight="1" spans="1:7">
      <c r="A204" s="143"/>
      <c r="B204" s="178">
        <f t="shared" si="2"/>
        <v>560</v>
      </c>
      <c r="C204" s="306">
        <v>11.4168561107643</v>
      </c>
      <c r="D204" s="143"/>
      <c r="E204" s="143"/>
      <c r="F204" s="143"/>
      <c r="G204" s="146"/>
    </row>
    <row r="205" ht="15" customHeight="1" spans="1:7">
      <c r="A205" s="143"/>
      <c r="B205" s="178">
        <f t="shared" si="2"/>
        <v>561</v>
      </c>
      <c r="C205" s="306">
        <v>11.4158236887765</v>
      </c>
      <c r="D205" s="143"/>
      <c r="E205" s="143"/>
      <c r="F205" s="143"/>
      <c r="G205" s="146"/>
    </row>
    <row r="206" ht="15" customHeight="1" spans="1:7">
      <c r="A206" s="143"/>
      <c r="B206" s="178">
        <f t="shared" si="2"/>
        <v>562</v>
      </c>
      <c r="C206" s="306">
        <v>11.4302421805984</v>
      </c>
      <c r="D206" s="143"/>
      <c r="E206" s="143"/>
      <c r="F206" s="143"/>
      <c r="G206" s="146"/>
    </row>
    <row r="207" ht="15" customHeight="1" spans="1:7">
      <c r="A207" s="143"/>
      <c r="B207" s="178">
        <f t="shared" si="2"/>
        <v>563</v>
      </c>
      <c r="C207" s="306">
        <v>11.4273589607069</v>
      </c>
      <c r="D207" s="143"/>
      <c r="E207" s="143"/>
      <c r="F207" s="143"/>
      <c r="G207" s="146"/>
    </row>
    <row r="208" ht="15" customHeight="1" spans="1:7">
      <c r="A208" s="143"/>
      <c r="B208" s="178">
        <f t="shared" si="2"/>
        <v>564</v>
      </c>
      <c r="C208" s="306">
        <v>11.4665990604114</v>
      </c>
      <c r="D208" s="143"/>
      <c r="E208" s="143"/>
      <c r="F208" s="143"/>
      <c r="G208" s="146"/>
    </row>
    <row r="209" ht="15" customHeight="1" spans="1:7">
      <c r="A209" s="143"/>
      <c r="B209" s="178">
        <f t="shared" si="2"/>
        <v>565</v>
      </c>
      <c r="C209" s="306">
        <v>11.4845386828442</v>
      </c>
      <c r="D209" s="143"/>
      <c r="E209" s="143"/>
      <c r="F209" s="143"/>
      <c r="G209" s="146"/>
    </row>
    <row r="210" ht="15" customHeight="1" spans="1:7">
      <c r="A210" s="143"/>
      <c r="B210" s="178">
        <f t="shared" si="2"/>
        <v>566</v>
      </c>
      <c r="C210" s="306">
        <v>11.4960407996086</v>
      </c>
      <c r="D210" s="143"/>
      <c r="E210" s="143"/>
      <c r="F210" s="143"/>
      <c r="G210" s="146"/>
    </row>
    <row r="211" ht="15" customHeight="1" spans="1:7">
      <c r="A211" s="143"/>
      <c r="B211" s="178">
        <f t="shared" si="2"/>
        <v>567</v>
      </c>
      <c r="C211" s="306">
        <v>11.5214228320127</v>
      </c>
      <c r="D211" s="143"/>
      <c r="E211" s="143"/>
      <c r="F211" s="143"/>
      <c r="G211" s="146"/>
    </row>
    <row r="212" ht="15" customHeight="1" spans="1:7">
      <c r="A212" s="143"/>
      <c r="B212" s="178">
        <f t="shared" si="2"/>
        <v>568</v>
      </c>
      <c r="C212" s="306">
        <v>11.5666436496985</v>
      </c>
      <c r="D212" s="143"/>
      <c r="E212" s="143"/>
      <c r="F212" s="143"/>
      <c r="G212" s="146"/>
    </row>
    <row r="213" ht="15" customHeight="1" spans="1:7">
      <c r="A213" s="143"/>
      <c r="B213" s="178">
        <f t="shared" si="2"/>
        <v>569</v>
      </c>
      <c r="C213" s="306">
        <v>11.5898042459502</v>
      </c>
      <c r="D213" s="143"/>
      <c r="E213" s="143"/>
      <c r="F213" s="143"/>
      <c r="G213" s="146"/>
    </row>
    <row r="214" ht="15" customHeight="1" spans="1:7">
      <c r="A214" s="143"/>
      <c r="B214" s="178">
        <f t="shared" si="2"/>
        <v>570</v>
      </c>
      <c r="C214" s="306">
        <v>11.6154706530618</v>
      </c>
      <c r="D214" s="143"/>
      <c r="E214" s="143"/>
      <c r="F214" s="143"/>
      <c r="G214" s="146"/>
    </row>
    <row r="215" ht="15" customHeight="1" spans="1:7">
      <c r="A215" s="143"/>
      <c r="B215" s="178">
        <f t="shared" si="2"/>
        <v>571</v>
      </c>
      <c r="C215" s="306">
        <v>11.6708462125854</v>
      </c>
      <c r="D215" s="143"/>
      <c r="E215" s="143"/>
      <c r="F215" s="143"/>
      <c r="G215" s="146"/>
    </row>
    <row r="216" ht="15" customHeight="1" spans="1:7">
      <c r="A216" s="143"/>
      <c r="B216" s="178">
        <f t="shared" ref="B216:B279" si="3">IF(380+C$20*(ROW()-ROW(B$23)-1)&gt;780,"",380+C$20*(ROW()-ROW(B$23)-1))</f>
        <v>572</v>
      </c>
      <c r="C216" s="306">
        <v>11.7218055106327</v>
      </c>
      <c r="D216" s="143"/>
      <c r="E216" s="143"/>
      <c r="F216" s="143"/>
      <c r="G216" s="146"/>
    </row>
    <row r="217" ht="15" customHeight="1" spans="1:7">
      <c r="A217" s="143"/>
      <c r="B217" s="178">
        <f t="shared" si="3"/>
        <v>573</v>
      </c>
      <c r="C217" s="306">
        <v>11.7675564800164</v>
      </c>
      <c r="D217" s="143"/>
      <c r="E217" s="143"/>
      <c r="F217" s="143"/>
      <c r="G217" s="146"/>
    </row>
    <row r="218" ht="15" customHeight="1" spans="1:7">
      <c r="A218" s="143"/>
      <c r="B218" s="178">
        <f t="shared" si="3"/>
        <v>574</v>
      </c>
      <c r="C218" s="306">
        <v>11.8287321794608</v>
      </c>
      <c r="D218" s="143"/>
      <c r="E218" s="143"/>
      <c r="F218" s="143"/>
      <c r="G218" s="146"/>
    </row>
    <row r="219" ht="15" customHeight="1" spans="1:7">
      <c r="A219" s="143"/>
      <c r="B219" s="178">
        <f t="shared" si="3"/>
        <v>575</v>
      </c>
      <c r="C219" s="306">
        <v>11.8856165485057</v>
      </c>
      <c r="D219" s="143"/>
      <c r="E219" s="143"/>
      <c r="F219" s="143"/>
      <c r="G219" s="146"/>
    </row>
    <row r="220" ht="15" customHeight="1" spans="1:7">
      <c r="A220" s="143"/>
      <c r="B220" s="178">
        <f t="shared" si="3"/>
        <v>576</v>
      </c>
      <c r="C220" s="306">
        <v>12.0223022684537</v>
      </c>
      <c r="D220" s="143"/>
      <c r="E220" s="143"/>
      <c r="F220" s="143"/>
      <c r="G220" s="146"/>
    </row>
    <row r="221" ht="15" customHeight="1" spans="1:7">
      <c r="A221" s="143"/>
      <c r="B221" s="178">
        <f t="shared" si="3"/>
        <v>577</v>
      </c>
      <c r="C221" s="306">
        <v>12.0491466806104</v>
      </c>
      <c r="D221" s="143"/>
      <c r="E221" s="143"/>
      <c r="F221" s="143"/>
      <c r="G221" s="146"/>
    </row>
    <row r="222" ht="15" customHeight="1" spans="1:7">
      <c r="A222" s="143"/>
      <c r="B222" s="178">
        <f t="shared" si="3"/>
        <v>578</v>
      </c>
      <c r="C222" s="306">
        <v>12.1253713230888</v>
      </c>
      <c r="D222" s="143"/>
      <c r="E222" s="143"/>
      <c r="F222" s="143"/>
      <c r="G222" s="146"/>
    </row>
    <row r="223" ht="15" customHeight="1" spans="1:7">
      <c r="A223" s="143"/>
      <c r="B223" s="178">
        <f t="shared" si="3"/>
        <v>579</v>
      </c>
      <c r="C223" s="306">
        <v>12.2425234868107</v>
      </c>
      <c r="D223" s="143"/>
      <c r="E223" s="143"/>
      <c r="F223" s="143"/>
      <c r="G223" s="146"/>
    </row>
    <row r="224" ht="15" customHeight="1" spans="1:7">
      <c r="A224" s="143"/>
      <c r="B224" s="178">
        <f t="shared" si="3"/>
        <v>580</v>
      </c>
      <c r="C224" s="306">
        <v>12.3091368260627</v>
      </c>
      <c r="D224" s="143"/>
      <c r="E224" s="143"/>
      <c r="F224" s="143"/>
      <c r="G224" s="146"/>
    </row>
    <row r="225" ht="15" customHeight="1" spans="1:7">
      <c r="A225" s="143"/>
      <c r="B225" s="178">
        <f t="shared" si="3"/>
        <v>581</v>
      </c>
      <c r="C225" s="306">
        <v>12.3782503170934</v>
      </c>
      <c r="D225" s="143"/>
      <c r="E225" s="143"/>
      <c r="F225" s="143"/>
      <c r="G225" s="146"/>
    </row>
    <row r="226" ht="15" customHeight="1" spans="1:7">
      <c r="A226" s="143"/>
      <c r="B226" s="178">
        <f t="shared" si="3"/>
        <v>582</v>
      </c>
      <c r="C226" s="306">
        <v>12.5046416229075</v>
      </c>
      <c r="D226" s="143"/>
      <c r="E226" s="143"/>
      <c r="F226" s="143"/>
      <c r="G226" s="146"/>
    </row>
    <row r="227" ht="15" customHeight="1" spans="1:7">
      <c r="A227" s="143"/>
      <c r="B227" s="178">
        <f t="shared" si="3"/>
        <v>583</v>
      </c>
      <c r="C227" s="306">
        <v>12.5977376708679</v>
      </c>
      <c r="D227" s="143"/>
      <c r="E227" s="143"/>
      <c r="F227" s="143"/>
      <c r="G227" s="146"/>
    </row>
    <row r="228" ht="15" customHeight="1" spans="1:7">
      <c r="A228" s="143"/>
      <c r="B228" s="178">
        <f t="shared" si="3"/>
        <v>584</v>
      </c>
      <c r="C228" s="306">
        <v>12.7223322445611</v>
      </c>
      <c r="D228" s="143"/>
      <c r="E228" s="143"/>
      <c r="F228" s="143"/>
      <c r="G228" s="146"/>
    </row>
    <row r="229" ht="15" customHeight="1" spans="1:7">
      <c r="A229" s="143"/>
      <c r="B229" s="178">
        <f t="shared" si="3"/>
        <v>585</v>
      </c>
      <c r="C229" s="306">
        <v>12.8278673423353</v>
      </c>
      <c r="D229" s="143"/>
      <c r="E229" s="143"/>
      <c r="F229" s="143"/>
      <c r="G229" s="146"/>
    </row>
    <row r="230" ht="15" customHeight="1" spans="1:7">
      <c r="A230" s="143"/>
      <c r="B230" s="178">
        <f t="shared" si="3"/>
        <v>586</v>
      </c>
      <c r="C230" s="306">
        <v>12.8738888610031</v>
      </c>
      <c r="D230" s="143"/>
      <c r="E230" s="143"/>
      <c r="F230" s="143"/>
      <c r="G230" s="146"/>
    </row>
    <row r="231" ht="15" customHeight="1" spans="1:7">
      <c r="A231" s="143"/>
      <c r="B231" s="178">
        <f t="shared" si="3"/>
        <v>587</v>
      </c>
      <c r="C231" s="306">
        <v>12.9762569102574</v>
      </c>
      <c r="D231" s="143"/>
      <c r="E231" s="143"/>
      <c r="F231" s="143"/>
      <c r="G231" s="146"/>
    </row>
    <row r="232" ht="15" customHeight="1" spans="1:7">
      <c r="A232" s="143"/>
      <c r="B232" s="178">
        <f t="shared" si="3"/>
        <v>588</v>
      </c>
      <c r="C232" s="306">
        <v>13.1058586908268</v>
      </c>
      <c r="D232" s="143"/>
      <c r="E232" s="143"/>
      <c r="F232" s="143"/>
      <c r="G232" s="146"/>
    </row>
    <row r="233" ht="15" customHeight="1" spans="1:7">
      <c r="A233" s="143"/>
      <c r="B233" s="178">
        <f t="shared" si="3"/>
        <v>589</v>
      </c>
      <c r="C233" s="306">
        <v>13.2176263588791</v>
      </c>
      <c r="D233" s="143"/>
      <c r="E233" s="143"/>
      <c r="F233" s="143"/>
      <c r="G233" s="146"/>
    </row>
    <row r="234" ht="15" customHeight="1" spans="1:7">
      <c r="A234" s="143"/>
      <c r="B234" s="178">
        <f t="shared" si="3"/>
        <v>590</v>
      </c>
      <c r="C234" s="306">
        <v>13.3117347826341</v>
      </c>
      <c r="D234" s="143"/>
      <c r="E234" s="143"/>
      <c r="F234" s="143"/>
      <c r="G234" s="146"/>
    </row>
    <row r="235" ht="15" customHeight="1" spans="1:7">
      <c r="A235" s="143"/>
      <c r="B235" s="178">
        <f t="shared" si="3"/>
        <v>591</v>
      </c>
      <c r="C235" s="306">
        <v>13.436440951791</v>
      </c>
      <c r="D235" s="143"/>
      <c r="E235" s="143"/>
      <c r="F235" s="143"/>
      <c r="G235" s="146"/>
    </row>
    <row r="236" ht="15" customHeight="1" spans="1:7">
      <c r="A236" s="143"/>
      <c r="B236" s="178">
        <f t="shared" si="3"/>
        <v>592</v>
      </c>
      <c r="C236" s="306">
        <v>13.5463427675484</v>
      </c>
      <c r="D236" s="143"/>
      <c r="E236" s="143"/>
      <c r="F236" s="143"/>
      <c r="G236" s="146"/>
    </row>
    <row r="237" ht="15" customHeight="1" spans="1:7">
      <c r="A237" s="143"/>
      <c r="B237" s="178">
        <f t="shared" si="3"/>
        <v>593</v>
      </c>
      <c r="C237" s="306">
        <v>13.6922462505665</v>
      </c>
      <c r="D237" s="143"/>
      <c r="E237" s="143"/>
      <c r="F237" s="143"/>
      <c r="G237" s="146"/>
    </row>
    <row r="238" ht="15" customHeight="1" spans="1:7">
      <c r="A238" s="143"/>
      <c r="B238" s="178">
        <f t="shared" si="3"/>
        <v>594</v>
      </c>
      <c r="C238" s="306">
        <v>13.8196072576718</v>
      </c>
      <c r="D238" s="143"/>
      <c r="E238" s="143"/>
      <c r="F238" s="143"/>
      <c r="G238" s="146"/>
    </row>
    <row r="239" ht="15" customHeight="1" spans="1:7">
      <c r="A239" s="143"/>
      <c r="B239" s="178">
        <f t="shared" si="3"/>
        <v>595</v>
      </c>
      <c r="C239" s="306">
        <v>13.9557416639113</v>
      </c>
      <c r="D239" s="143"/>
      <c r="E239" s="143"/>
      <c r="F239" s="143"/>
      <c r="G239" s="146"/>
    </row>
    <row r="240" ht="15" customHeight="1" spans="1:7">
      <c r="A240" s="143"/>
      <c r="B240" s="178">
        <f t="shared" si="3"/>
        <v>596</v>
      </c>
      <c r="C240" s="306">
        <v>14.1088265501196</v>
      </c>
      <c r="D240" s="143"/>
      <c r="E240" s="143"/>
      <c r="F240" s="143"/>
      <c r="G240" s="146"/>
    </row>
    <row r="241" ht="15" customHeight="1" spans="1:7">
      <c r="A241" s="143"/>
      <c r="B241" s="178">
        <f t="shared" si="3"/>
        <v>597</v>
      </c>
      <c r="C241" s="306">
        <v>14.3049762191587</v>
      </c>
      <c r="D241" s="143"/>
      <c r="E241" s="143"/>
      <c r="F241" s="143"/>
      <c r="G241" s="146"/>
    </row>
    <row r="242" ht="15" customHeight="1" spans="1:7">
      <c r="A242" s="143"/>
      <c r="B242" s="178">
        <f t="shared" si="3"/>
        <v>598</v>
      </c>
      <c r="C242" s="306">
        <v>14.4463090689415</v>
      </c>
      <c r="D242" s="143"/>
      <c r="E242" s="143"/>
      <c r="F242" s="143"/>
      <c r="G242" s="146"/>
    </row>
    <row r="243" ht="15" customHeight="1" spans="1:7">
      <c r="A243" s="143"/>
      <c r="B243" s="178">
        <f t="shared" si="3"/>
        <v>599</v>
      </c>
      <c r="C243" s="306">
        <v>14.6149567205183</v>
      </c>
      <c r="D243" s="143"/>
      <c r="E243" s="143"/>
      <c r="F243" s="143"/>
      <c r="G243" s="146"/>
    </row>
    <row r="244" ht="15" customHeight="1" spans="1:7">
      <c r="A244" s="143"/>
      <c r="B244" s="178">
        <f t="shared" si="3"/>
        <v>600</v>
      </c>
      <c r="C244" s="306">
        <v>14.8710724625532</v>
      </c>
      <c r="D244" s="143"/>
      <c r="E244" s="143"/>
      <c r="F244" s="143"/>
      <c r="G244" s="146"/>
    </row>
    <row r="245" ht="15" customHeight="1" spans="1:7">
      <c r="A245" s="143"/>
      <c r="B245" s="178">
        <f t="shared" si="3"/>
        <v>601</v>
      </c>
      <c r="C245" s="306">
        <v>15.0844901182691</v>
      </c>
      <c r="D245" s="143"/>
      <c r="E245" s="143"/>
      <c r="F245" s="143"/>
      <c r="G245" s="146"/>
    </row>
    <row r="246" ht="15" customHeight="1" spans="1:7">
      <c r="A246" s="143"/>
      <c r="B246" s="178">
        <f t="shared" si="3"/>
        <v>602</v>
      </c>
      <c r="C246" s="306">
        <v>15.3006815565815</v>
      </c>
      <c r="D246" s="143"/>
      <c r="E246" s="143"/>
      <c r="F246" s="143"/>
      <c r="G246" s="146"/>
    </row>
    <row r="247" ht="15" customHeight="1" spans="1:7">
      <c r="A247" s="143"/>
      <c r="B247" s="178">
        <f t="shared" si="3"/>
        <v>603</v>
      </c>
      <c r="C247" s="306">
        <v>15.5845159653638</v>
      </c>
      <c r="D247" s="143"/>
      <c r="E247" s="143"/>
      <c r="F247" s="143"/>
      <c r="G247" s="146"/>
    </row>
    <row r="248" ht="15" customHeight="1" spans="1:7">
      <c r="A248" s="143"/>
      <c r="B248" s="178">
        <f t="shared" si="3"/>
        <v>604</v>
      </c>
      <c r="C248" s="306">
        <v>15.8618799356908</v>
      </c>
      <c r="D248" s="143"/>
      <c r="E248" s="143"/>
      <c r="F248" s="143"/>
      <c r="G248" s="146"/>
    </row>
    <row r="249" ht="15" customHeight="1" spans="1:7">
      <c r="A249" s="143"/>
      <c r="B249" s="178">
        <f t="shared" si="3"/>
        <v>605</v>
      </c>
      <c r="C249" s="306">
        <v>16.2048742934763</v>
      </c>
      <c r="D249" s="143"/>
      <c r="E249" s="143"/>
      <c r="F249" s="143"/>
      <c r="G249" s="146"/>
    </row>
    <row r="250" ht="15" customHeight="1" spans="1:7">
      <c r="A250" s="143"/>
      <c r="B250" s="178">
        <f t="shared" si="3"/>
        <v>606</v>
      </c>
      <c r="C250" s="306">
        <v>16.5036195138469</v>
      </c>
      <c r="D250" s="143"/>
      <c r="E250" s="143"/>
      <c r="F250" s="143"/>
      <c r="G250" s="146"/>
    </row>
    <row r="251" ht="15" customHeight="1" spans="1:7">
      <c r="A251" s="143"/>
      <c r="B251" s="178">
        <f t="shared" si="3"/>
        <v>607</v>
      </c>
      <c r="C251" s="306">
        <v>16.9201855876923</v>
      </c>
      <c r="D251" s="143"/>
      <c r="E251" s="143"/>
      <c r="F251" s="143"/>
      <c r="G251" s="146"/>
    </row>
    <row r="252" ht="15" customHeight="1" spans="1:7">
      <c r="A252" s="143"/>
      <c r="B252" s="178">
        <f t="shared" si="3"/>
        <v>608</v>
      </c>
      <c r="C252" s="306">
        <v>17.2628602703595</v>
      </c>
      <c r="D252" s="143"/>
      <c r="E252" s="143"/>
      <c r="F252" s="143"/>
      <c r="G252" s="146"/>
    </row>
    <row r="253" ht="15" customHeight="1" spans="1:7">
      <c r="A253" s="143"/>
      <c r="B253" s="178">
        <f t="shared" si="3"/>
        <v>609</v>
      </c>
      <c r="C253" s="306">
        <v>17.6894608816923</v>
      </c>
      <c r="D253" s="143"/>
      <c r="E253" s="143"/>
      <c r="F253" s="143"/>
      <c r="G253" s="146"/>
    </row>
    <row r="254" ht="15" customHeight="1" spans="1:7">
      <c r="A254" s="143"/>
      <c r="B254" s="178">
        <f t="shared" si="3"/>
        <v>610</v>
      </c>
      <c r="C254" s="306">
        <v>18.1287610846953</v>
      </c>
      <c r="D254" s="143"/>
      <c r="E254" s="143"/>
      <c r="F254" s="143"/>
      <c r="G254" s="146"/>
    </row>
    <row r="255" ht="15" customHeight="1" spans="1:7">
      <c r="A255" s="143"/>
      <c r="B255" s="178">
        <f t="shared" si="3"/>
        <v>611</v>
      </c>
      <c r="C255" s="306">
        <v>18.6447390758936</v>
      </c>
      <c r="D255" s="143"/>
      <c r="E255" s="143"/>
      <c r="F255" s="143"/>
      <c r="G255" s="146"/>
    </row>
    <row r="256" ht="15" customHeight="1" spans="1:7">
      <c r="A256" s="143"/>
      <c r="B256" s="178">
        <f t="shared" si="3"/>
        <v>612</v>
      </c>
      <c r="C256" s="306">
        <v>19.1445137263083</v>
      </c>
      <c r="D256" s="143"/>
      <c r="E256" s="143"/>
      <c r="F256" s="143"/>
      <c r="G256" s="146"/>
    </row>
    <row r="257" ht="15" customHeight="1" spans="1:7">
      <c r="A257" s="143"/>
      <c r="B257" s="178">
        <f t="shared" si="3"/>
        <v>613</v>
      </c>
      <c r="C257" s="306">
        <v>19.705144181365</v>
      </c>
      <c r="D257" s="143"/>
      <c r="E257" s="143"/>
      <c r="F257" s="143"/>
      <c r="G257" s="146"/>
    </row>
    <row r="258" ht="15" customHeight="1" spans="1:7">
      <c r="A258" s="143"/>
      <c r="B258" s="178">
        <f t="shared" si="3"/>
        <v>614</v>
      </c>
      <c r="C258" s="306">
        <v>20.3012932944239</v>
      </c>
      <c r="D258" s="143"/>
      <c r="E258" s="143"/>
      <c r="F258" s="143"/>
      <c r="G258" s="146"/>
    </row>
    <row r="259" ht="15" customHeight="1" spans="1:7">
      <c r="A259" s="143"/>
      <c r="B259" s="178">
        <f t="shared" si="3"/>
        <v>615</v>
      </c>
      <c r="C259" s="306">
        <v>20.8578022781599</v>
      </c>
      <c r="D259" s="143"/>
      <c r="E259" s="143"/>
      <c r="F259" s="143"/>
      <c r="G259" s="146"/>
    </row>
    <row r="260" ht="15" customHeight="1" spans="1:7">
      <c r="A260" s="143"/>
      <c r="B260" s="178">
        <f t="shared" si="3"/>
        <v>616</v>
      </c>
      <c r="C260" s="306">
        <v>21.4352598786018</v>
      </c>
      <c r="D260" s="143"/>
      <c r="E260" s="143"/>
      <c r="F260" s="143"/>
      <c r="G260" s="146"/>
    </row>
    <row r="261" ht="15" customHeight="1" spans="1:7">
      <c r="A261" s="143"/>
      <c r="B261" s="178">
        <f t="shared" si="3"/>
        <v>617</v>
      </c>
      <c r="C261" s="306">
        <v>21.9604434693433</v>
      </c>
      <c r="D261" s="143"/>
      <c r="E261" s="143"/>
      <c r="F261" s="143"/>
      <c r="G261" s="146"/>
    </row>
    <row r="262" ht="15" customHeight="1" spans="1:7">
      <c r="A262" s="143"/>
      <c r="B262" s="178">
        <f t="shared" si="3"/>
        <v>618</v>
      </c>
      <c r="C262" s="306">
        <v>22.4614734318123</v>
      </c>
      <c r="D262" s="143"/>
      <c r="E262" s="143"/>
      <c r="F262" s="143"/>
      <c r="G262" s="146"/>
    </row>
    <row r="263" ht="15" customHeight="1" spans="1:7">
      <c r="A263" s="143"/>
      <c r="B263" s="178">
        <f t="shared" si="3"/>
        <v>619</v>
      </c>
      <c r="C263" s="306">
        <v>22.8901225859509</v>
      </c>
      <c r="D263" s="143"/>
      <c r="E263" s="143"/>
      <c r="F263" s="143"/>
      <c r="G263" s="146"/>
    </row>
    <row r="264" ht="15" customHeight="1" spans="1:7">
      <c r="A264" s="143"/>
      <c r="B264" s="178">
        <f t="shared" si="3"/>
        <v>620</v>
      </c>
      <c r="C264" s="306">
        <v>23.0521478823813</v>
      </c>
      <c r="D264" s="143"/>
      <c r="E264" s="143"/>
      <c r="F264" s="143"/>
      <c r="G264" s="146"/>
    </row>
    <row r="265" ht="15" customHeight="1" spans="1:7">
      <c r="A265" s="143"/>
      <c r="B265" s="178">
        <f t="shared" si="3"/>
        <v>621</v>
      </c>
      <c r="C265" s="306">
        <v>23.2396644244116</v>
      </c>
      <c r="D265" s="143"/>
      <c r="E265" s="143"/>
      <c r="F265" s="143"/>
      <c r="G265" s="146"/>
    </row>
    <row r="266" ht="15" customHeight="1" spans="1:7">
      <c r="A266" s="143"/>
      <c r="B266" s="178">
        <f t="shared" si="3"/>
        <v>622</v>
      </c>
      <c r="C266" s="306">
        <v>23.0938151901321</v>
      </c>
      <c r="D266" s="143"/>
      <c r="E266" s="143"/>
      <c r="F266" s="143"/>
      <c r="G266" s="146"/>
    </row>
    <row r="267" ht="15" customHeight="1" spans="1:7">
      <c r="A267" s="143"/>
      <c r="B267" s="178">
        <f t="shared" si="3"/>
        <v>623</v>
      </c>
      <c r="C267" s="306">
        <v>22.977735612464</v>
      </c>
      <c r="D267" s="143"/>
      <c r="E267" s="143"/>
      <c r="F267" s="143"/>
      <c r="G267" s="146"/>
    </row>
    <row r="268" ht="15" customHeight="1" spans="1:7">
      <c r="A268" s="143"/>
      <c r="B268" s="178">
        <f t="shared" si="3"/>
        <v>624</v>
      </c>
      <c r="C268" s="306">
        <v>22.4808546085394</v>
      </c>
      <c r="D268" s="143"/>
      <c r="E268" s="143"/>
      <c r="F268" s="143"/>
      <c r="G268" s="146"/>
    </row>
    <row r="269" ht="15" customHeight="1" spans="1:7">
      <c r="A269" s="143"/>
      <c r="B269" s="178">
        <f t="shared" si="3"/>
        <v>625</v>
      </c>
      <c r="C269" s="306">
        <v>21.9201745912262</v>
      </c>
      <c r="D269" s="143"/>
      <c r="E269" s="143"/>
      <c r="F269" s="143"/>
      <c r="G269" s="146"/>
    </row>
    <row r="270" ht="15" customHeight="1" spans="1:7">
      <c r="A270" s="143"/>
      <c r="B270" s="178">
        <f t="shared" si="3"/>
        <v>626</v>
      </c>
      <c r="C270" s="306">
        <v>21.1266295544325</v>
      </c>
      <c r="D270" s="143"/>
      <c r="E270" s="143"/>
      <c r="F270" s="143"/>
      <c r="G270" s="146"/>
    </row>
    <row r="271" ht="15" customHeight="1" spans="1:7">
      <c r="A271" s="143"/>
      <c r="B271" s="178">
        <f t="shared" si="3"/>
        <v>627</v>
      </c>
      <c r="C271" s="306">
        <v>20.2886151772201</v>
      </c>
      <c r="D271" s="143"/>
      <c r="E271" s="143"/>
      <c r="F271" s="143"/>
      <c r="G271" s="146"/>
    </row>
    <row r="272" ht="15" customHeight="1" spans="1:7">
      <c r="A272" s="143"/>
      <c r="B272" s="178">
        <f t="shared" si="3"/>
        <v>628</v>
      </c>
      <c r="C272" s="306">
        <v>19.3789909388054</v>
      </c>
      <c r="D272" s="143"/>
      <c r="E272" s="143"/>
      <c r="F272" s="143"/>
      <c r="G272" s="146"/>
    </row>
    <row r="273" ht="15" customHeight="1" spans="1:7">
      <c r="A273" s="143"/>
      <c r="B273" s="178">
        <f t="shared" si="3"/>
        <v>629</v>
      </c>
      <c r="C273" s="306">
        <v>18.4551831521659</v>
      </c>
      <c r="D273" s="143"/>
      <c r="E273" s="143"/>
      <c r="F273" s="143"/>
      <c r="G273" s="146"/>
    </row>
    <row r="274" ht="15" customHeight="1" spans="1:7">
      <c r="A274" s="143"/>
      <c r="B274" s="178">
        <f t="shared" si="3"/>
        <v>630</v>
      </c>
      <c r="C274" s="306">
        <v>17.620951393974</v>
      </c>
      <c r="D274" s="143"/>
      <c r="E274" s="143"/>
      <c r="F274" s="143"/>
      <c r="G274" s="146"/>
    </row>
    <row r="275" ht="15" customHeight="1" spans="1:7">
      <c r="A275" s="143"/>
      <c r="B275" s="178">
        <f t="shared" si="3"/>
        <v>631</v>
      </c>
      <c r="C275" s="306">
        <v>16.7234212372488</v>
      </c>
      <c r="D275" s="143"/>
      <c r="E275" s="143"/>
      <c r="F275" s="143"/>
      <c r="G275" s="146"/>
    </row>
    <row r="276" ht="15" customHeight="1" spans="1:7">
      <c r="A276" s="143"/>
      <c r="B276" s="178">
        <f t="shared" si="3"/>
        <v>632</v>
      </c>
      <c r="C276" s="306">
        <v>15.9501657702916</v>
      </c>
      <c r="D276" s="143"/>
      <c r="E276" s="143"/>
      <c r="F276" s="143"/>
      <c r="G276" s="146"/>
    </row>
    <row r="277" ht="15" customHeight="1" spans="1:7">
      <c r="A277" s="143"/>
      <c r="B277" s="178">
        <f t="shared" si="3"/>
        <v>633</v>
      </c>
      <c r="C277" s="306">
        <v>15.2884473089901</v>
      </c>
      <c r="D277" s="143"/>
      <c r="E277" s="143"/>
      <c r="F277" s="143"/>
      <c r="G277" s="146"/>
    </row>
    <row r="278" ht="15" customHeight="1" spans="1:7">
      <c r="A278" s="143"/>
      <c r="B278" s="178">
        <f t="shared" si="3"/>
        <v>634</v>
      </c>
      <c r="C278" s="306">
        <v>14.6724315615107</v>
      </c>
      <c r="D278" s="143"/>
      <c r="E278" s="143"/>
      <c r="F278" s="143"/>
      <c r="G278" s="146"/>
    </row>
    <row r="279" ht="15" customHeight="1" spans="1:7">
      <c r="A279" s="143"/>
      <c r="B279" s="178">
        <f t="shared" si="3"/>
        <v>635</v>
      </c>
      <c r="C279" s="306">
        <v>14.1859965749222</v>
      </c>
      <c r="D279" s="143"/>
      <c r="E279" s="143"/>
      <c r="F279" s="143"/>
      <c r="G279" s="146"/>
    </row>
    <row r="280" ht="15" customHeight="1" spans="1:7">
      <c r="A280" s="143"/>
      <c r="B280" s="178">
        <f t="shared" ref="B280:B343" si="4">IF(380+C$20*(ROW()-ROW(B$23)-1)&gt;780,"",380+C$20*(ROW()-ROW(B$23)-1))</f>
        <v>636</v>
      </c>
      <c r="C280" s="306">
        <v>13.7480624799047</v>
      </c>
      <c r="D280" s="143"/>
      <c r="E280" s="143"/>
      <c r="F280" s="143"/>
      <c r="G280" s="146"/>
    </row>
    <row r="281" ht="15" customHeight="1" spans="1:7">
      <c r="A281" s="143"/>
      <c r="B281" s="178">
        <f t="shared" si="4"/>
        <v>637</v>
      </c>
      <c r="C281" s="306">
        <v>13.3647557349541</v>
      </c>
      <c r="D281" s="143"/>
      <c r="E281" s="143"/>
      <c r="F281" s="143"/>
      <c r="G281" s="146"/>
    </row>
    <row r="282" ht="15" customHeight="1" spans="1:7">
      <c r="A282" s="143"/>
      <c r="B282" s="178">
        <f t="shared" si="4"/>
        <v>638</v>
      </c>
      <c r="C282" s="306">
        <v>13.0140648813602</v>
      </c>
      <c r="D282" s="143"/>
      <c r="E282" s="143"/>
      <c r="F282" s="143"/>
      <c r="G282" s="146"/>
    </row>
    <row r="283" ht="15" customHeight="1" spans="1:7">
      <c r="A283" s="143"/>
      <c r="B283" s="178">
        <f t="shared" si="4"/>
        <v>639</v>
      </c>
      <c r="C283" s="306">
        <v>12.7172963092157</v>
      </c>
      <c r="D283" s="143"/>
      <c r="E283" s="143"/>
      <c r="F283" s="143"/>
      <c r="G283" s="146"/>
    </row>
    <row r="284" ht="15" customHeight="1" spans="1:7">
      <c r="A284" s="143"/>
      <c r="B284" s="178">
        <f t="shared" si="4"/>
        <v>640</v>
      </c>
      <c r="C284" s="306">
        <v>12.463739645725</v>
      </c>
      <c r="D284" s="143"/>
      <c r="E284" s="143"/>
      <c r="F284" s="143"/>
      <c r="G284" s="146"/>
    </row>
    <row r="285" ht="15" customHeight="1" spans="1:7">
      <c r="A285" s="143"/>
      <c r="B285" s="178">
        <f t="shared" si="4"/>
        <v>641</v>
      </c>
      <c r="C285" s="306">
        <v>12.2005820328195</v>
      </c>
      <c r="D285" s="143"/>
      <c r="E285" s="143"/>
      <c r="F285" s="143"/>
      <c r="G285" s="146"/>
    </row>
    <row r="286" ht="15" customHeight="1" spans="1:7">
      <c r="A286" s="143"/>
      <c r="B286" s="178">
        <f t="shared" si="4"/>
        <v>642</v>
      </c>
      <c r="C286" s="306">
        <v>11.9448026830897</v>
      </c>
      <c r="D286" s="143"/>
      <c r="E286" s="143"/>
      <c r="F286" s="143"/>
      <c r="G286" s="146"/>
    </row>
    <row r="287" ht="15" customHeight="1" spans="1:7">
      <c r="A287" s="143"/>
      <c r="B287" s="178">
        <f t="shared" si="4"/>
        <v>643</v>
      </c>
      <c r="C287" s="306">
        <v>11.7845331165384</v>
      </c>
      <c r="D287" s="143"/>
      <c r="E287" s="143"/>
      <c r="F287" s="143"/>
      <c r="G287" s="146"/>
    </row>
    <row r="288" ht="15" customHeight="1" spans="1:7">
      <c r="A288" s="143"/>
      <c r="B288" s="178">
        <f t="shared" si="4"/>
        <v>644</v>
      </c>
      <c r="C288" s="306">
        <v>11.5593619678365</v>
      </c>
      <c r="D288" s="143"/>
      <c r="E288" s="143"/>
      <c r="F288" s="143"/>
      <c r="G288" s="146"/>
    </row>
    <row r="289" ht="15" customHeight="1" spans="1:7">
      <c r="A289" s="143"/>
      <c r="B289" s="178">
        <f t="shared" si="4"/>
        <v>645</v>
      </c>
      <c r="C289" s="306">
        <v>11.385670506693</v>
      </c>
      <c r="D289" s="143"/>
      <c r="E289" s="143"/>
      <c r="F289" s="143"/>
      <c r="G289" s="146"/>
    </row>
    <row r="290" ht="15" customHeight="1" spans="1:7">
      <c r="A290" s="143"/>
      <c r="B290" s="178">
        <f t="shared" si="4"/>
        <v>646</v>
      </c>
      <c r="C290" s="306">
        <v>11.2307899844429</v>
      </c>
      <c r="D290" s="143"/>
      <c r="E290" s="143"/>
      <c r="F290" s="143"/>
      <c r="G290" s="146"/>
    </row>
    <row r="291" ht="15" customHeight="1" spans="1:7">
      <c r="A291" s="143"/>
      <c r="B291" s="178">
        <f t="shared" si="4"/>
        <v>647</v>
      </c>
      <c r="C291" s="306">
        <v>11.0731106761155</v>
      </c>
      <c r="D291" s="143"/>
      <c r="E291" s="143"/>
      <c r="F291" s="143"/>
      <c r="G291" s="146"/>
    </row>
    <row r="292" ht="15" customHeight="1" spans="1:7">
      <c r="A292" s="143"/>
      <c r="B292" s="178">
        <f t="shared" si="4"/>
        <v>648</v>
      </c>
      <c r="C292" s="306">
        <v>10.873154262209</v>
      </c>
      <c r="D292" s="143"/>
      <c r="E292" s="143"/>
      <c r="F292" s="143"/>
      <c r="G292" s="146"/>
    </row>
    <row r="293" ht="15" customHeight="1" spans="1:7">
      <c r="A293" s="143"/>
      <c r="B293" s="178">
        <f t="shared" si="4"/>
        <v>649</v>
      </c>
      <c r="C293" s="306">
        <v>10.6907593014405</v>
      </c>
      <c r="D293" s="143"/>
      <c r="E293" s="143"/>
      <c r="F293" s="143"/>
      <c r="G293" s="146"/>
    </row>
    <row r="294" ht="15" customHeight="1" spans="1:7">
      <c r="A294" s="143"/>
      <c r="B294" s="178">
        <f t="shared" si="4"/>
        <v>650</v>
      </c>
      <c r="C294" s="306">
        <v>10.5662873114981</v>
      </c>
      <c r="D294" s="143"/>
      <c r="E294" s="143"/>
      <c r="F294" s="143"/>
      <c r="G294" s="146"/>
    </row>
    <row r="295" ht="15" customHeight="1" spans="1:7">
      <c r="A295" s="143"/>
      <c r="B295" s="178">
        <f t="shared" si="4"/>
        <v>651</v>
      </c>
      <c r="C295" s="306">
        <v>10.3765491849845</v>
      </c>
      <c r="D295" s="143"/>
      <c r="E295" s="143"/>
      <c r="F295" s="143"/>
      <c r="G295" s="146"/>
    </row>
    <row r="296" ht="15" customHeight="1" spans="1:7">
      <c r="A296" s="143"/>
      <c r="B296" s="178">
        <f t="shared" si="4"/>
        <v>652</v>
      </c>
      <c r="C296" s="306">
        <v>10.2468707036746</v>
      </c>
      <c r="D296" s="143"/>
      <c r="E296" s="143"/>
      <c r="F296" s="143"/>
      <c r="G296" s="146"/>
    </row>
    <row r="297" ht="15" customHeight="1" spans="1:7">
      <c r="A297" s="143"/>
      <c r="B297" s="178">
        <f t="shared" si="4"/>
        <v>653</v>
      </c>
      <c r="C297" s="306">
        <v>10.1322110413467</v>
      </c>
      <c r="D297" s="143"/>
      <c r="E297" s="143"/>
      <c r="F297" s="143"/>
      <c r="G297" s="146"/>
    </row>
    <row r="298" ht="15" customHeight="1" spans="1:7">
      <c r="A298" s="143"/>
      <c r="B298" s="178">
        <f t="shared" si="4"/>
        <v>654</v>
      </c>
      <c r="C298" s="306">
        <v>9.97796679345373</v>
      </c>
      <c r="D298" s="143"/>
      <c r="E298" s="143"/>
      <c r="F298" s="143"/>
      <c r="G298" s="146"/>
    </row>
    <row r="299" ht="15" customHeight="1" spans="1:7">
      <c r="A299" s="143"/>
      <c r="B299" s="178">
        <f t="shared" si="4"/>
        <v>655</v>
      </c>
      <c r="C299" s="306">
        <v>9.79049514252479</v>
      </c>
      <c r="D299" s="143"/>
      <c r="E299" s="143"/>
      <c r="F299" s="143"/>
      <c r="G299" s="146"/>
    </row>
    <row r="300" ht="15" customHeight="1" spans="1:7">
      <c r="A300" s="143"/>
      <c r="B300" s="178">
        <f t="shared" si="4"/>
        <v>656</v>
      </c>
      <c r="C300" s="306">
        <v>9.67364168086019</v>
      </c>
      <c r="D300" s="143"/>
      <c r="E300" s="143"/>
      <c r="F300" s="143"/>
      <c r="G300" s="146"/>
    </row>
    <row r="301" ht="15" customHeight="1" spans="1:7">
      <c r="A301" s="143"/>
      <c r="B301" s="178">
        <f t="shared" si="4"/>
        <v>657</v>
      </c>
      <c r="C301" s="306">
        <v>9.52543825564907</v>
      </c>
      <c r="D301" s="143"/>
      <c r="E301" s="143"/>
      <c r="F301" s="143"/>
      <c r="G301" s="146"/>
    </row>
    <row r="302" ht="15" customHeight="1" spans="1:7">
      <c r="A302" s="143"/>
      <c r="B302" s="178">
        <f t="shared" si="4"/>
        <v>658</v>
      </c>
      <c r="C302" s="306">
        <v>9.33661572303197</v>
      </c>
      <c r="D302" s="143"/>
      <c r="E302" s="143"/>
      <c r="F302" s="143"/>
      <c r="G302" s="146"/>
    </row>
    <row r="303" ht="15" customHeight="1" spans="1:7">
      <c r="A303" s="143"/>
      <c r="B303" s="178">
        <f t="shared" si="4"/>
        <v>659</v>
      </c>
      <c r="C303" s="306">
        <v>9.18925548826821</v>
      </c>
      <c r="D303" s="143"/>
      <c r="E303" s="143"/>
      <c r="F303" s="143"/>
      <c r="G303" s="146"/>
    </row>
    <row r="304" ht="15" customHeight="1" spans="1:7">
      <c r="A304" s="143"/>
      <c r="B304" s="178">
        <f t="shared" si="4"/>
        <v>660</v>
      </c>
      <c r="C304" s="306">
        <v>9.06646280868406</v>
      </c>
      <c r="D304" s="143"/>
      <c r="E304" s="143"/>
      <c r="F304" s="143"/>
      <c r="G304" s="146"/>
    </row>
    <row r="305" ht="15" customHeight="1" spans="1:7">
      <c r="A305" s="143"/>
      <c r="B305" s="178">
        <f t="shared" si="4"/>
        <v>661</v>
      </c>
      <c r="C305" s="306">
        <v>8.92174159486832</v>
      </c>
      <c r="D305" s="143"/>
      <c r="E305" s="143"/>
      <c r="F305" s="143"/>
      <c r="G305" s="146"/>
    </row>
    <row r="306" ht="15" customHeight="1" spans="1:7">
      <c r="A306" s="143"/>
      <c r="B306" s="178">
        <f t="shared" si="4"/>
        <v>662</v>
      </c>
      <c r="C306" s="306">
        <v>8.78907077897767</v>
      </c>
      <c r="D306" s="143"/>
      <c r="E306" s="143"/>
      <c r="F306" s="143"/>
      <c r="G306" s="146"/>
    </row>
    <row r="307" ht="15" customHeight="1" spans="1:7">
      <c r="A307" s="143"/>
      <c r="B307" s="178">
        <f t="shared" si="4"/>
        <v>663</v>
      </c>
      <c r="C307" s="306">
        <v>8.65967164920324</v>
      </c>
      <c r="D307" s="143"/>
      <c r="E307" s="143"/>
      <c r="F307" s="143"/>
      <c r="G307" s="146"/>
    </row>
    <row r="308" ht="15" customHeight="1" spans="1:7">
      <c r="A308" s="143"/>
      <c r="B308" s="178">
        <f t="shared" si="4"/>
        <v>664</v>
      </c>
      <c r="C308" s="306">
        <v>8.50394272941239</v>
      </c>
      <c r="D308" s="143"/>
      <c r="E308" s="143"/>
      <c r="F308" s="143"/>
      <c r="G308" s="146"/>
    </row>
    <row r="309" ht="15" customHeight="1" spans="1:7">
      <c r="A309" s="143"/>
      <c r="B309" s="178">
        <f t="shared" si="4"/>
        <v>665</v>
      </c>
      <c r="C309" s="306">
        <v>8.3482965478233</v>
      </c>
      <c r="D309" s="143"/>
      <c r="E309" s="143"/>
      <c r="F309" s="143"/>
      <c r="G309" s="146"/>
    </row>
    <row r="310" ht="15" customHeight="1" spans="1:7">
      <c r="A310" s="143"/>
      <c r="B310" s="178">
        <f t="shared" si="4"/>
        <v>666</v>
      </c>
      <c r="C310" s="306">
        <v>8.19918217474644</v>
      </c>
      <c r="D310" s="143"/>
      <c r="E310" s="143"/>
      <c r="F310" s="143"/>
      <c r="G310" s="146"/>
    </row>
    <row r="311" ht="15" customHeight="1" spans="1:7">
      <c r="A311" s="143"/>
      <c r="B311" s="178">
        <f t="shared" si="4"/>
        <v>667</v>
      </c>
      <c r="C311" s="306">
        <v>8.06240564765378</v>
      </c>
      <c r="D311" s="143"/>
      <c r="E311" s="143"/>
      <c r="F311" s="143"/>
      <c r="G311" s="146"/>
    </row>
    <row r="312" ht="15" customHeight="1" spans="1:7">
      <c r="A312" s="143"/>
      <c r="B312" s="178">
        <f t="shared" si="4"/>
        <v>668</v>
      </c>
      <c r="C312" s="306">
        <v>7.92506139822756</v>
      </c>
      <c r="D312" s="143"/>
      <c r="E312" s="143"/>
      <c r="F312" s="143"/>
      <c r="G312" s="146"/>
    </row>
    <row r="313" ht="15" customHeight="1" spans="1:7">
      <c r="A313" s="143"/>
      <c r="B313" s="178">
        <f t="shared" si="4"/>
        <v>669</v>
      </c>
      <c r="C313" s="306">
        <v>7.79975939332108</v>
      </c>
      <c r="D313" s="143"/>
      <c r="E313" s="143"/>
      <c r="F313" s="143"/>
      <c r="G313" s="146"/>
    </row>
    <row r="314" ht="15" customHeight="1" spans="1:7">
      <c r="A314" s="143"/>
      <c r="B314" s="178">
        <f t="shared" si="4"/>
        <v>670</v>
      </c>
      <c r="C314" s="306">
        <v>7.68334423701224</v>
      </c>
      <c r="D314" s="143"/>
      <c r="E314" s="143"/>
      <c r="F314" s="143"/>
      <c r="G314" s="146"/>
    </row>
    <row r="315" ht="15" customHeight="1" spans="1:7">
      <c r="A315" s="143"/>
      <c r="B315" s="178">
        <f t="shared" si="4"/>
        <v>671</v>
      </c>
      <c r="C315" s="306">
        <v>7.55335347138018</v>
      </c>
      <c r="D315" s="143"/>
      <c r="E315" s="143"/>
      <c r="F315" s="143"/>
      <c r="G315" s="146"/>
    </row>
    <row r="316" ht="15" customHeight="1" spans="1:7">
      <c r="A316" s="143"/>
      <c r="B316" s="178">
        <f t="shared" si="4"/>
        <v>672</v>
      </c>
      <c r="C316" s="306">
        <v>7.42715255543491</v>
      </c>
      <c r="D316" s="143"/>
      <c r="E316" s="143"/>
      <c r="F316" s="143"/>
      <c r="G316" s="146"/>
    </row>
    <row r="317" ht="15" customHeight="1" spans="1:7">
      <c r="A317" s="143"/>
      <c r="B317" s="178">
        <f t="shared" si="4"/>
        <v>673</v>
      </c>
      <c r="C317" s="306">
        <v>7.28509384316255</v>
      </c>
      <c r="D317" s="143"/>
      <c r="E317" s="143"/>
      <c r="F317" s="143"/>
      <c r="G317" s="146"/>
    </row>
    <row r="318" ht="15" customHeight="1" spans="1:7">
      <c r="A318" s="143"/>
      <c r="B318" s="178">
        <f t="shared" si="4"/>
        <v>674</v>
      </c>
      <c r="C318" s="306">
        <v>7.17064636801013</v>
      </c>
      <c r="D318" s="143"/>
      <c r="E318" s="143"/>
      <c r="F318" s="143"/>
      <c r="G318" s="146"/>
    </row>
    <row r="319" ht="15" customHeight="1" spans="1:7">
      <c r="A319" s="143"/>
      <c r="B319" s="178">
        <f t="shared" si="4"/>
        <v>675</v>
      </c>
      <c r="C319" s="306">
        <v>7.07447691149651</v>
      </c>
      <c r="D319" s="143"/>
      <c r="E319" s="143"/>
      <c r="F319" s="143"/>
      <c r="G319" s="146"/>
    </row>
    <row r="320" ht="15" customHeight="1" spans="1:7">
      <c r="A320" s="143"/>
      <c r="B320" s="178">
        <f t="shared" si="4"/>
        <v>676</v>
      </c>
      <c r="C320" s="306">
        <v>6.90164780271233</v>
      </c>
      <c r="D320" s="143"/>
      <c r="E320" s="143"/>
      <c r="F320" s="143"/>
      <c r="G320" s="146"/>
    </row>
    <row r="321" ht="15" customHeight="1" spans="1:7">
      <c r="A321" s="143"/>
      <c r="B321" s="178">
        <f t="shared" si="4"/>
        <v>677</v>
      </c>
      <c r="C321" s="306">
        <v>6.765016355317</v>
      </c>
      <c r="D321" s="143"/>
      <c r="E321" s="143"/>
      <c r="F321" s="143"/>
      <c r="G321" s="146"/>
    </row>
    <row r="322" ht="15" customHeight="1" spans="1:7">
      <c r="A322" s="143"/>
      <c r="B322" s="178">
        <f t="shared" si="4"/>
        <v>678</v>
      </c>
      <c r="C322" s="306">
        <v>6.63577985395512</v>
      </c>
      <c r="D322" s="143"/>
      <c r="E322" s="143"/>
      <c r="F322" s="143"/>
      <c r="G322" s="146"/>
    </row>
    <row r="323" ht="15" customHeight="1" spans="1:7">
      <c r="A323" s="143"/>
      <c r="B323" s="178">
        <f t="shared" si="4"/>
        <v>679</v>
      </c>
      <c r="C323" s="306">
        <v>6.51278438250529</v>
      </c>
      <c r="D323" s="143"/>
      <c r="E323" s="143"/>
      <c r="F323" s="143"/>
      <c r="G323" s="146"/>
    </row>
    <row r="324" ht="15" customHeight="1" spans="1:7">
      <c r="A324" s="143"/>
      <c r="B324" s="178">
        <f t="shared" si="4"/>
        <v>680</v>
      </c>
      <c r="C324" s="306">
        <v>6.38638024176562</v>
      </c>
      <c r="D324" s="143"/>
      <c r="E324" s="143"/>
      <c r="F324" s="143"/>
      <c r="G324" s="146"/>
    </row>
    <row r="325" ht="15" customHeight="1" spans="1:7">
      <c r="A325" s="143"/>
      <c r="B325" s="178">
        <f t="shared" si="4"/>
        <v>681</v>
      </c>
      <c r="C325" s="306">
        <v>6.27638585956787</v>
      </c>
      <c r="D325" s="143"/>
      <c r="E325" s="143"/>
      <c r="F325" s="143"/>
      <c r="G325" s="146"/>
    </row>
    <row r="326" ht="15" customHeight="1" spans="1:7">
      <c r="A326" s="143"/>
      <c r="B326" s="178">
        <f t="shared" si="4"/>
        <v>682</v>
      </c>
      <c r="C326" s="306">
        <v>6.14920131950875</v>
      </c>
      <c r="D326" s="143"/>
      <c r="E326" s="143"/>
      <c r="F326" s="143"/>
      <c r="G326" s="146"/>
    </row>
    <row r="327" ht="15" customHeight="1" spans="1:7">
      <c r="A327" s="143"/>
      <c r="B327" s="178">
        <f t="shared" si="4"/>
        <v>683</v>
      </c>
      <c r="C327" s="306">
        <v>6.01694591558804</v>
      </c>
      <c r="D327" s="143"/>
      <c r="E327" s="143"/>
      <c r="F327" s="143"/>
      <c r="G327" s="146"/>
    </row>
    <row r="328" ht="15" customHeight="1" spans="1:7">
      <c r="A328" s="143"/>
      <c r="B328" s="178">
        <f t="shared" si="4"/>
        <v>684</v>
      </c>
      <c r="C328" s="306">
        <v>5.88881921365435</v>
      </c>
      <c r="D328" s="143"/>
      <c r="E328" s="143"/>
      <c r="F328" s="143"/>
      <c r="G328" s="146"/>
    </row>
    <row r="329" ht="15" customHeight="1" spans="1:7">
      <c r="A329" s="143"/>
      <c r="B329" s="178">
        <f t="shared" si="4"/>
        <v>685</v>
      </c>
      <c r="C329" s="306">
        <v>5.76553580433507</v>
      </c>
      <c r="D329" s="143"/>
      <c r="E329" s="143"/>
      <c r="F329" s="143"/>
      <c r="G329" s="146"/>
    </row>
    <row r="330" ht="15" customHeight="1" spans="1:7">
      <c r="A330" s="143"/>
      <c r="B330" s="178">
        <f t="shared" si="4"/>
        <v>686</v>
      </c>
      <c r="C330" s="306">
        <v>5.6564817954154</v>
      </c>
      <c r="D330" s="143"/>
      <c r="E330" s="143"/>
      <c r="F330" s="143"/>
      <c r="G330" s="146"/>
    </row>
    <row r="331" ht="15" customHeight="1" spans="1:7">
      <c r="A331" s="143"/>
      <c r="B331" s="178">
        <f t="shared" si="4"/>
        <v>687</v>
      </c>
      <c r="C331" s="306">
        <v>5.53662417117244</v>
      </c>
      <c r="D331" s="143"/>
      <c r="E331" s="143"/>
      <c r="F331" s="143"/>
      <c r="G331" s="146"/>
    </row>
    <row r="332" ht="15" customHeight="1" spans="1:7">
      <c r="A332" s="143"/>
      <c r="B332" s="178">
        <f t="shared" si="4"/>
        <v>688</v>
      </c>
      <c r="C332" s="306">
        <v>5.40282551732805</v>
      </c>
      <c r="D332" s="143"/>
      <c r="E332" s="143"/>
      <c r="F332" s="143"/>
      <c r="G332" s="146"/>
    </row>
    <row r="333" ht="15" customHeight="1" spans="1:7">
      <c r="A333" s="143"/>
      <c r="B333" s="178">
        <f t="shared" si="4"/>
        <v>689</v>
      </c>
      <c r="C333" s="306">
        <v>5.29344933896592</v>
      </c>
      <c r="D333" s="143"/>
      <c r="E333" s="143"/>
      <c r="F333" s="143"/>
      <c r="G333" s="146"/>
    </row>
    <row r="334" ht="15" customHeight="1" spans="1:7">
      <c r="A334" s="143"/>
      <c r="B334" s="178">
        <f t="shared" si="4"/>
        <v>690</v>
      </c>
      <c r="C334" s="306">
        <v>5.15982011127164</v>
      </c>
      <c r="D334" s="143"/>
      <c r="E334" s="143"/>
      <c r="F334" s="143"/>
      <c r="G334" s="146"/>
    </row>
    <row r="335" ht="15" customHeight="1" spans="1:7">
      <c r="A335" s="143"/>
      <c r="B335" s="178">
        <f t="shared" si="4"/>
        <v>691</v>
      </c>
      <c r="C335" s="306">
        <v>5.06336753975284</v>
      </c>
      <c r="D335" s="143"/>
      <c r="E335" s="143"/>
      <c r="F335" s="143"/>
      <c r="G335" s="146"/>
    </row>
    <row r="336" ht="15" customHeight="1" spans="1:7">
      <c r="A336" s="143"/>
      <c r="B336" s="178">
        <f t="shared" si="4"/>
        <v>692</v>
      </c>
      <c r="C336" s="306">
        <v>4.94632559327431</v>
      </c>
      <c r="D336" s="143"/>
      <c r="E336" s="143"/>
      <c r="F336" s="143"/>
      <c r="G336" s="146"/>
    </row>
    <row r="337" ht="15" customHeight="1" spans="1:7">
      <c r="A337" s="143"/>
      <c r="B337" s="178">
        <f t="shared" si="4"/>
        <v>693</v>
      </c>
      <c r="C337" s="306">
        <v>4.84821082718376</v>
      </c>
      <c r="D337" s="143"/>
      <c r="E337" s="143"/>
      <c r="F337" s="143"/>
      <c r="G337" s="146"/>
    </row>
    <row r="338" ht="15" customHeight="1" spans="1:7">
      <c r="A338" s="143"/>
      <c r="B338" s="178">
        <f t="shared" si="4"/>
        <v>694</v>
      </c>
      <c r="C338" s="306">
        <v>4.7222649163211</v>
      </c>
      <c r="D338" s="143"/>
      <c r="E338" s="143"/>
      <c r="F338" s="143"/>
      <c r="G338" s="146"/>
    </row>
    <row r="339" ht="15" customHeight="1" spans="1:7">
      <c r="A339" s="143"/>
      <c r="B339" s="178">
        <f t="shared" si="4"/>
        <v>695</v>
      </c>
      <c r="C339" s="306">
        <v>4.63039161307131</v>
      </c>
      <c r="D339" s="143"/>
      <c r="E339" s="143"/>
      <c r="F339" s="143"/>
      <c r="G339" s="146"/>
    </row>
    <row r="340" ht="15" customHeight="1" spans="1:7">
      <c r="A340" s="143"/>
      <c r="B340" s="178">
        <f t="shared" si="4"/>
        <v>696</v>
      </c>
      <c r="C340" s="306">
        <v>4.51275580920995</v>
      </c>
      <c r="D340" s="143"/>
      <c r="E340" s="143"/>
      <c r="F340" s="143"/>
      <c r="G340" s="146"/>
    </row>
    <row r="341" ht="15" customHeight="1" spans="1:7">
      <c r="A341" s="143"/>
      <c r="B341" s="178">
        <f t="shared" si="4"/>
        <v>697</v>
      </c>
      <c r="C341" s="306">
        <v>4.41360693750348</v>
      </c>
      <c r="D341" s="143"/>
      <c r="E341" s="143"/>
      <c r="F341" s="143"/>
      <c r="G341" s="146"/>
    </row>
    <row r="342" ht="15" customHeight="1" spans="1:7">
      <c r="A342" s="143"/>
      <c r="B342" s="178">
        <f t="shared" si="4"/>
        <v>698</v>
      </c>
      <c r="C342" s="306">
        <v>4.30150022738071</v>
      </c>
      <c r="D342" s="143"/>
      <c r="E342" s="143"/>
      <c r="F342" s="143"/>
      <c r="G342" s="146"/>
    </row>
    <row r="343" ht="15" customHeight="1" spans="1:7">
      <c r="A343" s="143"/>
      <c r="B343" s="178">
        <f t="shared" si="4"/>
        <v>699</v>
      </c>
      <c r="C343" s="306">
        <v>4.20031564430055</v>
      </c>
      <c r="D343" s="143"/>
      <c r="E343" s="143"/>
      <c r="F343" s="143"/>
      <c r="G343" s="146"/>
    </row>
    <row r="344" ht="15" customHeight="1" spans="1:7">
      <c r="A344" s="143"/>
      <c r="B344" s="178">
        <f t="shared" ref="B344:B407" si="5">IF(380+C$20*(ROW()-ROW(B$23)-1)&gt;780,"",380+C$20*(ROW()-ROW(B$23)-1))</f>
        <v>700</v>
      </c>
      <c r="C344" s="306">
        <v>4.11137653053453</v>
      </c>
      <c r="D344" s="143"/>
      <c r="E344" s="143"/>
      <c r="F344" s="143"/>
      <c r="G344" s="146"/>
    </row>
    <row r="345" ht="15" customHeight="1" spans="1:7">
      <c r="A345" s="143"/>
      <c r="B345" s="178">
        <f t="shared" si="5"/>
        <v>701</v>
      </c>
      <c r="C345" s="306">
        <v>4.00479891415034</v>
      </c>
      <c r="D345" s="143"/>
      <c r="E345" s="143"/>
      <c r="F345" s="143"/>
      <c r="G345" s="146"/>
    </row>
    <row r="346" ht="15" customHeight="1" spans="1:7">
      <c r="A346" s="143"/>
      <c r="B346" s="178">
        <f t="shared" si="5"/>
        <v>702</v>
      </c>
      <c r="C346" s="306">
        <v>3.90729512122913</v>
      </c>
      <c r="D346" s="143"/>
      <c r="E346" s="143"/>
      <c r="F346" s="143"/>
      <c r="G346" s="146"/>
    </row>
    <row r="347" ht="15" customHeight="1" spans="1:7">
      <c r="A347" s="143"/>
      <c r="B347" s="178">
        <f t="shared" si="5"/>
        <v>703</v>
      </c>
      <c r="C347" s="306">
        <v>3.81092726278538</v>
      </c>
      <c r="D347" s="143"/>
      <c r="E347" s="143"/>
      <c r="F347" s="143"/>
      <c r="G347" s="146"/>
    </row>
    <row r="348" ht="15" customHeight="1" spans="1:7">
      <c r="A348" s="143"/>
      <c r="B348" s="178">
        <f t="shared" si="5"/>
        <v>704</v>
      </c>
      <c r="C348" s="306">
        <v>3.73745574568672</v>
      </c>
      <c r="D348" s="143"/>
      <c r="E348" s="143"/>
      <c r="F348" s="143"/>
      <c r="G348" s="146"/>
    </row>
    <row r="349" ht="15" customHeight="1" spans="1:7">
      <c r="A349" s="143"/>
      <c r="B349" s="178">
        <f t="shared" si="5"/>
        <v>705</v>
      </c>
      <c r="C349" s="306">
        <v>3.63913775480177</v>
      </c>
      <c r="D349" s="143"/>
      <c r="E349" s="143"/>
      <c r="F349" s="143"/>
      <c r="G349" s="146"/>
    </row>
    <row r="350" ht="15" customHeight="1" spans="1:7">
      <c r="A350" s="143"/>
      <c r="B350" s="178">
        <f t="shared" si="5"/>
        <v>706</v>
      </c>
      <c r="C350" s="306">
        <v>3.55394702848325</v>
      </c>
      <c r="D350" s="143"/>
      <c r="E350" s="143"/>
      <c r="F350" s="143"/>
      <c r="G350" s="146"/>
    </row>
    <row r="351" ht="15" customHeight="1" spans="1:7">
      <c r="A351" s="143"/>
      <c r="B351" s="178">
        <f t="shared" si="5"/>
        <v>707</v>
      </c>
      <c r="C351" s="306">
        <v>3.46297220334354</v>
      </c>
      <c r="D351" s="143"/>
      <c r="E351" s="143"/>
      <c r="F351" s="143"/>
      <c r="G351" s="146"/>
    </row>
    <row r="352" ht="15" customHeight="1" spans="1:7">
      <c r="A352" s="143"/>
      <c r="B352" s="178">
        <f t="shared" si="5"/>
        <v>708</v>
      </c>
      <c r="C352" s="306">
        <v>3.38035203482705</v>
      </c>
      <c r="D352" s="143"/>
      <c r="E352" s="143"/>
      <c r="F352" s="143"/>
      <c r="G352" s="146"/>
    </row>
    <row r="353" ht="15" customHeight="1" spans="1:7">
      <c r="A353" s="143"/>
      <c r="B353" s="178">
        <f t="shared" si="5"/>
        <v>709</v>
      </c>
      <c r="C353" s="306">
        <v>3.28580677784239</v>
      </c>
      <c r="D353" s="143"/>
      <c r="E353" s="143"/>
      <c r="F353" s="143"/>
      <c r="G353" s="146"/>
    </row>
    <row r="354" ht="15" customHeight="1" spans="1:7">
      <c r="A354" s="143"/>
      <c r="B354" s="178">
        <f t="shared" si="5"/>
        <v>710</v>
      </c>
      <c r="C354" s="306">
        <v>3.20027676629493</v>
      </c>
      <c r="D354" s="143"/>
      <c r="E354" s="143"/>
      <c r="F354" s="143"/>
      <c r="G354" s="146"/>
    </row>
    <row r="355" ht="15" customHeight="1" spans="1:7">
      <c r="A355" s="143"/>
      <c r="B355" s="178">
        <f t="shared" si="5"/>
        <v>711</v>
      </c>
      <c r="C355" s="306">
        <v>3.12685616362704</v>
      </c>
      <c r="D355" s="143"/>
      <c r="E355" s="143"/>
      <c r="F355" s="143"/>
      <c r="G355" s="146"/>
    </row>
    <row r="356" ht="15" customHeight="1" spans="1:7">
      <c r="A356" s="143"/>
      <c r="B356" s="178">
        <f t="shared" si="5"/>
        <v>712</v>
      </c>
      <c r="C356" s="306">
        <v>3.03839239552452</v>
      </c>
      <c r="D356" s="143"/>
      <c r="E356" s="143"/>
      <c r="F356" s="143"/>
      <c r="G356" s="146"/>
    </row>
    <row r="357" ht="15" customHeight="1" spans="1:7">
      <c r="A357" s="143"/>
      <c r="B357" s="178">
        <f t="shared" si="5"/>
        <v>713</v>
      </c>
      <c r="C357" s="306">
        <v>2.96532776094337</v>
      </c>
      <c r="D357" s="143"/>
      <c r="E357" s="143"/>
      <c r="F357" s="143"/>
      <c r="G357" s="146"/>
    </row>
    <row r="358" ht="15" customHeight="1" spans="1:7">
      <c r="A358" s="143"/>
      <c r="B358" s="178">
        <f t="shared" si="5"/>
        <v>714</v>
      </c>
      <c r="C358" s="306">
        <v>2.89835184591064</v>
      </c>
      <c r="D358" s="143"/>
      <c r="E358" s="143"/>
      <c r="F358" s="143"/>
      <c r="G358" s="146"/>
    </row>
    <row r="359" ht="15" customHeight="1" spans="1:7">
      <c r="A359" s="143"/>
      <c r="B359" s="178">
        <f t="shared" si="5"/>
        <v>715</v>
      </c>
      <c r="C359" s="306">
        <v>2.81353420346535</v>
      </c>
      <c r="D359" s="143"/>
      <c r="E359" s="143"/>
      <c r="F359" s="143"/>
      <c r="G359" s="146"/>
    </row>
    <row r="360" ht="15" customHeight="1" spans="1:7">
      <c r="A360" s="143"/>
      <c r="B360" s="178">
        <f t="shared" si="5"/>
        <v>716</v>
      </c>
      <c r="C360" s="306">
        <v>2.74879722460072</v>
      </c>
      <c r="D360" s="143"/>
      <c r="E360" s="143"/>
      <c r="F360" s="143"/>
      <c r="G360" s="146"/>
    </row>
    <row r="361" ht="15" customHeight="1" spans="1:7">
      <c r="A361" s="143"/>
      <c r="B361" s="178">
        <f t="shared" si="5"/>
        <v>717</v>
      </c>
      <c r="C361" s="306">
        <v>2.67276503482023</v>
      </c>
      <c r="D361" s="143"/>
      <c r="E361" s="143"/>
      <c r="F361" s="143"/>
      <c r="G361" s="146"/>
    </row>
    <row r="362" ht="15" customHeight="1" spans="1:7">
      <c r="A362" s="143"/>
      <c r="B362" s="178">
        <f t="shared" si="5"/>
        <v>718</v>
      </c>
      <c r="C362" s="306">
        <v>2.60587426579128</v>
      </c>
      <c r="D362" s="143"/>
      <c r="E362" s="143"/>
      <c r="F362" s="143"/>
      <c r="G362" s="146"/>
    </row>
    <row r="363" ht="15" customHeight="1" spans="1:7">
      <c r="A363" s="143"/>
      <c r="B363" s="178">
        <f t="shared" si="5"/>
        <v>719</v>
      </c>
      <c r="C363" s="306">
        <v>2.53367474360464</v>
      </c>
      <c r="D363" s="143"/>
      <c r="E363" s="143"/>
      <c r="F363" s="143"/>
      <c r="G363" s="146"/>
    </row>
    <row r="364" ht="15" customHeight="1" spans="1:7">
      <c r="A364" s="143"/>
      <c r="B364" s="178">
        <f t="shared" si="5"/>
        <v>720</v>
      </c>
      <c r="C364" s="306">
        <v>2.47210941059116</v>
      </c>
      <c r="D364" s="143"/>
      <c r="E364" s="143"/>
      <c r="F364" s="143"/>
      <c r="G364" s="146"/>
    </row>
    <row r="365" ht="15" customHeight="1" spans="1:7">
      <c r="A365" s="143"/>
      <c r="B365" s="178">
        <f t="shared" si="5"/>
        <v>721</v>
      </c>
      <c r="C365" s="306">
        <v>2.40513392848715</v>
      </c>
      <c r="D365" s="143"/>
      <c r="E365" s="143"/>
      <c r="F365" s="143"/>
      <c r="G365" s="146"/>
    </row>
    <row r="366" ht="15" customHeight="1" spans="1:7">
      <c r="A366" s="143"/>
      <c r="B366" s="178">
        <f t="shared" si="5"/>
        <v>722</v>
      </c>
      <c r="C366" s="306">
        <v>2.34171985896532</v>
      </c>
      <c r="D366" s="143"/>
      <c r="E366" s="143"/>
      <c r="F366" s="143"/>
      <c r="G366" s="146"/>
    </row>
    <row r="367" ht="15" customHeight="1" spans="1:7">
      <c r="A367" s="143"/>
      <c r="B367" s="178">
        <f t="shared" si="5"/>
        <v>723</v>
      </c>
      <c r="C367" s="306">
        <v>2.27677965530628</v>
      </c>
      <c r="D367" s="143"/>
      <c r="E367" s="143"/>
      <c r="F367" s="143"/>
      <c r="G367" s="146"/>
    </row>
    <row r="368" ht="15" customHeight="1" spans="1:7">
      <c r="A368" s="143"/>
      <c r="B368" s="178">
        <f t="shared" si="5"/>
        <v>724</v>
      </c>
      <c r="C368" s="306">
        <v>2.21772451347257</v>
      </c>
      <c r="D368" s="143"/>
      <c r="E368" s="143"/>
      <c r="F368" s="143"/>
      <c r="G368" s="146"/>
    </row>
    <row r="369" ht="15" customHeight="1" spans="1:7">
      <c r="A369" s="143"/>
      <c r="B369" s="178">
        <f t="shared" si="5"/>
        <v>725</v>
      </c>
      <c r="C369" s="306">
        <v>2.16995070843166</v>
      </c>
      <c r="D369" s="143"/>
      <c r="E369" s="143"/>
      <c r="F369" s="143"/>
      <c r="G369" s="146"/>
    </row>
    <row r="370" ht="15" customHeight="1" spans="1:7">
      <c r="A370" s="143"/>
      <c r="B370" s="178">
        <f t="shared" si="5"/>
        <v>726</v>
      </c>
      <c r="C370" s="306">
        <v>2.10302289909497</v>
      </c>
      <c r="D370" s="143"/>
      <c r="E370" s="143"/>
      <c r="F370" s="143"/>
      <c r="G370" s="146"/>
    </row>
    <row r="371" ht="15" customHeight="1" spans="1:7">
      <c r="A371" s="143"/>
      <c r="B371" s="178">
        <f t="shared" si="5"/>
        <v>727</v>
      </c>
      <c r="C371" s="306">
        <v>2.05203317722888</v>
      </c>
      <c r="D371" s="143"/>
      <c r="E371" s="143"/>
      <c r="F371" s="143"/>
      <c r="G371" s="146"/>
    </row>
    <row r="372" ht="15" customHeight="1" spans="1:7">
      <c r="A372" s="143"/>
      <c r="B372" s="178">
        <f t="shared" si="5"/>
        <v>728</v>
      </c>
      <c r="C372" s="306">
        <v>2.01032995581164</v>
      </c>
      <c r="D372" s="143"/>
      <c r="E372" s="143"/>
      <c r="F372" s="143"/>
      <c r="G372" s="146"/>
    </row>
    <row r="373" ht="15" customHeight="1" spans="1:7">
      <c r="A373" s="143"/>
      <c r="B373" s="178">
        <f t="shared" si="5"/>
        <v>729</v>
      </c>
      <c r="C373" s="306">
        <v>1.95422389772299</v>
      </c>
      <c r="D373" s="143"/>
      <c r="E373" s="143"/>
      <c r="F373" s="143"/>
      <c r="G373" s="146"/>
    </row>
    <row r="374" ht="15" customHeight="1" spans="1:7">
      <c r="A374" s="143"/>
      <c r="B374" s="178">
        <f t="shared" si="5"/>
        <v>730</v>
      </c>
      <c r="C374" s="306">
        <v>1.89242877193713</v>
      </c>
      <c r="D374" s="143"/>
      <c r="E374" s="143"/>
      <c r="F374" s="143"/>
      <c r="G374" s="146"/>
    </row>
    <row r="375" ht="15" customHeight="1" spans="1:7">
      <c r="A375" s="143"/>
      <c r="B375" s="178">
        <f t="shared" si="5"/>
        <v>731</v>
      </c>
      <c r="C375" s="306">
        <v>1.84056448548504</v>
      </c>
      <c r="D375" s="143"/>
      <c r="E375" s="143"/>
      <c r="F375" s="143"/>
      <c r="G375" s="146"/>
    </row>
    <row r="376" ht="15" customHeight="1" spans="1:7">
      <c r="A376" s="143"/>
      <c r="B376" s="178">
        <f t="shared" si="5"/>
        <v>732</v>
      </c>
      <c r="C376" s="306">
        <v>1.78379919425019</v>
      </c>
      <c r="D376" s="143"/>
      <c r="E376" s="143"/>
      <c r="F376" s="143"/>
      <c r="G376" s="146"/>
    </row>
    <row r="377" ht="15" customHeight="1" spans="1:7">
      <c r="A377" s="143"/>
      <c r="B377" s="178">
        <f t="shared" si="5"/>
        <v>733</v>
      </c>
      <c r="C377" s="306">
        <v>1.74582545589747</v>
      </c>
      <c r="D377" s="143"/>
      <c r="E377" s="143"/>
      <c r="F377" s="143"/>
      <c r="G377" s="146"/>
    </row>
    <row r="378" ht="15" customHeight="1" spans="1:7">
      <c r="A378" s="143"/>
      <c r="B378" s="178">
        <f t="shared" si="5"/>
        <v>734</v>
      </c>
      <c r="C378" s="306">
        <v>1.69240080373518</v>
      </c>
      <c r="D378" s="143"/>
      <c r="E378" s="143"/>
      <c r="F378" s="143"/>
      <c r="G378" s="146"/>
    </row>
    <row r="379" ht="15" customHeight="1" spans="1:7">
      <c r="A379" s="143"/>
      <c r="B379" s="178">
        <f t="shared" si="5"/>
        <v>735</v>
      </c>
      <c r="C379" s="306">
        <v>1.64425110608631</v>
      </c>
      <c r="D379" s="143"/>
      <c r="E379" s="143"/>
      <c r="F379" s="143"/>
      <c r="G379" s="146"/>
    </row>
    <row r="380" ht="15" customHeight="1" spans="1:7">
      <c r="A380" s="143"/>
      <c r="B380" s="178">
        <f t="shared" si="5"/>
        <v>736</v>
      </c>
      <c r="C380" s="306">
        <v>1.60029047704672</v>
      </c>
      <c r="D380" s="143"/>
      <c r="E380" s="143"/>
      <c r="F380" s="143"/>
      <c r="G380" s="146"/>
    </row>
    <row r="381" ht="15" customHeight="1" spans="1:7">
      <c r="A381" s="143"/>
      <c r="B381" s="178">
        <f t="shared" si="5"/>
        <v>737</v>
      </c>
      <c r="C381" s="306">
        <v>1.56900071999265</v>
      </c>
      <c r="D381" s="143"/>
      <c r="E381" s="143"/>
      <c r="F381" s="143"/>
      <c r="G381" s="146"/>
    </row>
    <row r="382" ht="15" customHeight="1" spans="1:7">
      <c r="A382" s="143"/>
      <c r="B382" s="178">
        <f t="shared" si="5"/>
        <v>738</v>
      </c>
      <c r="C382" s="306">
        <v>1.51595098899967</v>
      </c>
      <c r="D382" s="143"/>
      <c r="E382" s="143"/>
      <c r="F382" s="143"/>
      <c r="G382" s="146"/>
    </row>
    <row r="383" ht="15" customHeight="1" spans="1:7">
      <c r="A383" s="143"/>
      <c r="B383" s="178">
        <f t="shared" si="5"/>
        <v>739</v>
      </c>
      <c r="C383" s="306">
        <v>1.479744082815</v>
      </c>
      <c r="D383" s="143"/>
      <c r="E383" s="143"/>
      <c r="F383" s="143"/>
      <c r="G383" s="146"/>
    </row>
    <row r="384" ht="15" customHeight="1" spans="1:7">
      <c r="A384" s="143"/>
      <c r="B384" s="178">
        <f t="shared" si="5"/>
        <v>740</v>
      </c>
      <c r="C384" s="306">
        <v>1.44029793349062</v>
      </c>
      <c r="D384" s="143"/>
      <c r="E384" s="143"/>
      <c r="F384" s="143"/>
      <c r="G384" s="146"/>
    </row>
    <row r="385" ht="15" customHeight="1" spans="1:7">
      <c r="A385" s="143"/>
      <c r="B385" s="178">
        <f t="shared" si="5"/>
        <v>741</v>
      </c>
      <c r="C385" s="306">
        <v>1.40052172702949</v>
      </c>
      <c r="D385" s="143"/>
      <c r="E385" s="143"/>
      <c r="F385" s="143"/>
      <c r="G385" s="146"/>
    </row>
    <row r="386" ht="15" customHeight="1" spans="1:7">
      <c r="A386" s="143"/>
      <c r="B386" s="178">
        <f t="shared" si="5"/>
        <v>742</v>
      </c>
      <c r="C386" s="306">
        <v>1.35459060809875</v>
      </c>
      <c r="D386" s="143"/>
      <c r="E386" s="143"/>
      <c r="F386" s="143"/>
      <c r="G386" s="146"/>
    </row>
    <row r="387" ht="15" customHeight="1" spans="1:7">
      <c r="A387" s="143"/>
      <c r="B387" s="178">
        <f t="shared" si="5"/>
        <v>743</v>
      </c>
      <c r="C387" s="306">
        <v>1.32209969508467</v>
      </c>
      <c r="D387" s="143"/>
      <c r="E387" s="143"/>
      <c r="F387" s="143"/>
      <c r="G387" s="146"/>
    </row>
    <row r="388" ht="15" customHeight="1" spans="1:7">
      <c r="A388" s="143"/>
      <c r="B388" s="178">
        <f t="shared" si="5"/>
        <v>744</v>
      </c>
      <c r="C388" s="306">
        <v>1.28661579046176</v>
      </c>
      <c r="D388" s="143"/>
      <c r="E388" s="143"/>
      <c r="F388" s="143"/>
      <c r="G388" s="146"/>
    </row>
    <row r="389" ht="15" customHeight="1" spans="1:7">
      <c r="A389" s="143"/>
      <c r="B389" s="178">
        <f t="shared" si="5"/>
        <v>745</v>
      </c>
      <c r="C389" s="306">
        <v>1.25104717276379</v>
      </c>
      <c r="D389" s="143"/>
      <c r="E389" s="143"/>
      <c r="F389" s="143"/>
      <c r="G389" s="146"/>
    </row>
    <row r="390" ht="15" customHeight="1" spans="1:7">
      <c r="A390" s="143"/>
      <c r="B390" s="178">
        <f t="shared" si="5"/>
        <v>746</v>
      </c>
      <c r="C390" s="306">
        <v>1.21336180520925</v>
      </c>
      <c r="D390" s="143"/>
      <c r="E390" s="143"/>
      <c r="F390" s="143"/>
      <c r="G390" s="146"/>
    </row>
    <row r="391" ht="15" customHeight="1" spans="1:7">
      <c r="A391" s="143"/>
      <c r="B391" s="178">
        <f t="shared" si="5"/>
        <v>747</v>
      </c>
      <c r="C391" s="306">
        <v>1.16894337922138</v>
      </c>
      <c r="D391" s="143"/>
      <c r="E391" s="143"/>
      <c r="F391" s="143"/>
      <c r="G391" s="146"/>
    </row>
    <row r="392" ht="15" customHeight="1" spans="1:7">
      <c r="A392" s="143"/>
      <c r="B392" s="178">
        <f t="shared" si="5"/>
        <v>748</v>
      </c>
      <c r="C392" s="306">
        <v>1.14258745415568</v>
      </c>
      <c r="D392" s="143"/>
      <c r="E392" s="143"/>
      <c r="F392" s="143"/>
      <c r="G392" s="146"/>
    </row>
    <row r="393" ht="15" customHeight="1" spans="1:7">
      <c r="A393" s="143"/>
      <c r="B393" s="178">
        <f t="shared" si="5"/>
        <v>749</v>
      </c>
      <c r="C393" s="306">
        <v>1.11621441330348</v>
      </c>
      <c r="D393" s="143"/>
      <c r="E393" s="143"/>
      <c r="F393" s="143"/>
      <c r="G393" s="146"/>
    </row>
    <row r="394" ht="15" customHeight="1" spans="1:7">
      <c r="A394" s="143"/>
      <c r="B394" s="178">
        <f t="shared" si="5"/>
        <v>750</v>
      </c>
      <c r="C394" s="306">
        <v>1.08327774016807</v>
      </c>
      <c r="D394" s="143"/>
      <c r="E394" s="143"/>
      <c r="F394" s="143"/>
      <c r="G394" s="146"/>
    </row>
    <row r="395" ht="15" customHeight="1" spans="1:7">
      <c r="A395" s="143"/>
      <c r="B395" s="178">
        <f t="shared" si="5"/>
        <v>751</v>
      </c>
      <c r="C395" s="306">
        <v>1.04699999503139</v>
      </c>
      <c r="D395" s="143"/>
      <c r="E395" s="143"/>
      <c r="F395" s="143"/>
      <c r="G395" s="146"/>
    </row>
    <row r="396" ht="15" customHeight="1" spans="1:7">
      <c r="A396" s="143"/>
      <c r="B396" s="178">
        <f t="shared" si="5"/>
        <v>752</v>
      </c>
      <c r="C396" s="306">
        <v>1.02001641393857</v>
      </c>
      <c r="D396" s="143"/>
      <c r="E396" s="143"/>
      <c r="F396" s="143"/>
      <c r="G396" s="146"/>
    </row>
    <row r="397" ht="15" customHeight="1" spans="1:7">
      <c r="A397" s="143"/>
      <c r="B397" s="178">
        <f t="shared" si="5"/>
        <v>753</v>
      </c>
      <c r="C397" s="306">
        <v>0.996289191771972</v>
      </c>
      <c r="D397" s="143"/>
      <c r="E397" s="143"/>
      <c r="F397" s="143"/>
      <c r="G397" s="146"/>
    </row>
    <row r="398" ht="15" customHeight="1" spans="1:7">
      <c r="A398" s="143"/>
      <c r="B398" s="178">
        <f t="shared" si="5"/>
        <v>754</v>
      </c>
      <c r="C398" s="306">
        <v>0.965150340714146</v>
      </c>
      <c r="D398" s="143"/>
      <c r="E398" s="143"/>
      <c r="F398" s="143"/>
      <c r="G398" s="146"/>
    </row>
    <row r="399" ht="15" customHeight="1" spans="1:7">
      <c r="A399" s="143"/>
      <c r="B399" s="178">
        <f t="shared" si="5"/>
        <v>755</v>
      </c>
      <c r="C399" s="306">
        <v>0.941575861839882</v>
      </c>
      <c r="D399" s="143"/>
      <c r="E399" s="143"/>
      <c r="F399" s="143"/>
      <c r="G399" s="146"/>
    </row>
    <row r="400" ht="15" customHeight="1" spans="1:7">
      <c r="A400" s="143"/>
      <c r="B400" s="178">
        <f t="shared" si="5"/>
        <v>756</v>
      </c>
      <c r="C400" s="306">
        <v>0.913523943558157</v>
      </c>
      <c r="D400" s="143"/>
      <c r="E400" s="143"/>
      <c r="F400" s="143"/>
      <c r="G400" s="146"/>
    </row>
    <row r="401" ht="15" customHeight="1" spans="1:7">
      <c r="A401" s="143"/>
      <c r="B401" s="178">
        <f t="shared" si="5"/>
        <v>757</v>
      </c>
      <c r="C401" s="306">
        <v>0.888405781831483</v>
      </c>
      <c r="D401" s="143"/>
      <c r="E401" s="143"/>
      <c r="F401" s="143"/>
      <c r="G401" s="146"/>
    </row>
    <row r="402" ht="15" customHeight="1" spans="1:7">
      <c r="A402" s="143"/>
      <c r="B402" s="178">
        <f t="shared" si="5"/>
        <v>758</v>
      </c>
      <c r="C402" s="306">
        <v>0.86033674776326</v>
      </c>
      <c r="D402" s="143"/>
      <c r="E402" s="143"/>
      <c r="F402" s="143"/>
      <c r="G402" s="146"/>
    </row>
    <row r="403" ht="15" customHeight="1" spans="1:7">
      <c r="A403" s="143"/>
      <c r="B403" s="178">
        <f t="shared" si="5"/>
        <v>759</v>
      </c>
      <c r="C403" s="306">
        <v>0.838220805737631</v>
      </c>
      <c r="D403" s="143"/>
      <c r="E403" s="143"/>
      <c r="F403" s="143"/>
      <c r="G403" s="146"/>
    </row>
    <row r="404" ht="15" customHeight="1" spans="1:7">
      <c r="A404" s="143"/>
      <c r="B404" s="178">
        <f t="shared" si="5"/>
        <v>760</v>
      </c>
      <c r="C404" s="306">
        <v>0.819276509563161</v>
      </c>
      <c r="D404" s="143"/>
      <c r="E404" s="143"/>
      <c r="F404" s="143"/>
      <c r="G404" s="146"/>
    </row>
    <row r="405" ht="15" customHeight="1" spans="1:7">
      <c r="A405" s="143"/>
      <c r="B405" s="178">
        <f t="shared" si="5"/>
        <v>761</v>
      </c>
      <c r="C405" s="306">
        <v>0.796108913206406</v>
      </c>
      <c r="D405" s="143"/>
      <c r="E405" s="143"/>
      <c r="F405" s="143"/>
      <c r="G405" s="146"/>
    </row>
    <row r="406" ht="15" customHeight="1" spans="1:7">
      <c r="A406" s="143"/>
      <c r="B406" s="178">
        <f t="shared" si="5"/>
        <v>762</v>
      </c>
      <c r="C406" s="306">
        <v>0.770804209543117</v>
      </c>
      <c r="D406" s="143"/>
      <c r="E406" s="143"/>
      <c r="F406" s="143"/>
      <c r="G406" s="146"/>
    </row>
    <row r="407" ht="15" customHeight="1" spans="1:7">
      <c r="A407" s="143"/>
      <c r="B407" s="178">
        <f t="shared" si="5"/>
        <v>763</v>
      </c>
      <c r="C407" s="306">
        <v>0.747365358174689</v>
      </c>
      <c r="D407" s="143"/>
      <c r="E407" s="143"/>
      <c r="F407" s="143"/>
      <c r="G407" s="146"/>
    </row>
    <row r="408" ht="15" customHeight="1" spans="1:7">
      <c r="A408" s="143"/>
      <c r="B408" s="178">
        <f t="shared" ref="B408:B424" si="6">IF(380+C$20*(ROW()-ROW(B$23)-1)&gt;780,"",380+C$20*(ROW()-ROW(B$23)-1))</f>
        <v>764</v>
      </c>
      <c r="C408" s="306">
        <v>0.727844320403879</v>
      </c>
      <c r="D408" s="143"/>
      <c r="E408" s="143"/>
      <c r="F408" s="143"/>
      <c r="G408" s="146"/>
    </row>
    <row r="409" ht="15" customHeight="1" spans="1:7">
      <c r="A409" s="143"/>
      <c r="B409" s="178">
        <f t="shared" si="6"/>
        <v>765</v>
      </c>
      <c r="C409" s="306">
        <v>0.711749067709402</v>
      </c>
      <c r="D409" s="143"/>
      <c r="E409" s="143"/>
      <c r="F409" s="143"/>
      <c r="G409" s="146"/>
    </row>
    <row r="410" ht="15" customHeight="1" spans="1:7">
      <c r="A410" s="143"/>
      <c r="B410" s="178">
        <f t="shared" si="6"/>
        <v>766</v>
      </c>
      <c r="C410" s="306">
        <v>0.689870582051165</v>
      </c>
      <c r="D410" s="143"/>
      <c r="E410" s="143"/>
      <c r="F410" s="143"/>
      <c r="G410" s="146"/>
    </row>
    <row r="411" ht="15" customHeight="1" spans="1:7">
      <c r="A411" s="143"/>
      <c r="B411" s="178">
        <f t="shared" si="6"/>
        <v>767</v>
      </c>
      <c r="C411" s="306">
        <v>0.671282253963426</v>
      </c>
      <c r="D411" s="143"/>
      <c r="E411" s="143"/>
      <c r="F411" s="143"/>
      <c r="G411" s="146"/>
    </row>
    <row r="412" ht="15" customHeight="1" spans="1:7">
      <c r="A412" s="143"/>
      <c r="B412" s="178">
        <f t="shared" si="6"/>
        <v>768</v>
      </c>
      <c r="C412" s="306">
        <v>0.645129553692124</v>
      </c>
      <c r="D412" s="143"/>
      <c r="E412" s="143"/>
      <c r="F412" s="143"/>
      <c r="G412" s="146"/>
    </row>
    <row r="413" ht="15" customHeight="1" spans="1:7">
      <c r="A413" s="143"/>
      <c r="B413" s="178">
        <f t="shared" si="6"/>
        <v>769</v>
      </c>
      <c r="C413" s="306">
        <v>0.636836129548603</v>
      </c>
      <c r="D413" s="143"/>
      <c r="E413" s="143"/>
      <c r="F413" s="143"/>
      <c r="G413" s="146"/>
    </row>
    <row r="414" ht="15" customHeight="1" spans="1:7">
      <c r="A414" s="143"/>
      <c r="B414" s="178">
        <f t="shared" si="6"/>
        <v>770</v>
      </c>
      <c r="C414" s="306">
        <v>0.611277286660141</v>
      </c>
      <c r="D414" s="143"/>
      <c r="E414" s="143"/>
      <c r="F414" s="143"/>
      <c r="G414" s="146"/>
    </row>
    <row r="415" ht="15" customHeight="1" spans="1:7">
      <c r="A415" s="143"/>
      <c r="B415" s="178">
        <f t="shared" si="6"/>
        <v>771</v>
      </c>
      <c r="C415" s="306">
        <v>0.597030770474026</v>
      </c>
      <c r="D415" s="143"/>
      <c r="E415" s="143"/>
      <c r="F415" s="143"/>
      <c r="G415" s="146"/>
    </row>
    <row r="416" ht="15" customHeight="1" spans="1:7">
      <c r="A416" s="143"/>
      <c r="B416" s="178">
        <f t="shared" si="6"/>
        <v>772</v>
      </c>
      <c r="C416" s="306">
        <v>0.582818052932191</v>
      </c>
      <c r="D416" s="143"/>
      <c r="E416" s="143"/>
      <c r="F416" s="143"/>
      <c r="G416" s="146"/>
    </row>
    <row r="417" ht="15" customHeight="1" spans="1:7">
      <c r="A417" s="143"/>
      <c r="B417" s="178">
        <f t="shared" si="6"/>
        <v>773</v>
      </c>
      <c r="C417" s="306">
        <v>0.561312651147182</v>
      </c>
      <c r="D417" s="143"/>
      <c r="E417" s="143"/>
      <c r="F417" s="143"/>
      <c r="G417" s="146"/>
    </row>
    <row r="418" ht="15" customHeight="1" spans="1:7">
      <c r="A418" s="143"/>
      <c r="B418" s="178">
        <f t="shared" si="6"/>
        <v>774</v>
      </c>
      <c r="C418" s="306">
        <v>0.543589435453955</v>
      </c>
      <c r="D418" s="143"/>
      <c r="E418" s="143"/>
      <c r="F418" s="143"/>
      <c r="G418" s="146"/>
    </row>
    <row r="419" ht="15" customHeight="1" spans="1:7">
      <c r="A419" s="143"/>
      <c r="B419" s="178">
        <f t="shared" si="6"/>
        <v>775</v>
      </c>
      <c r="C419" s="306">
        <v>0.529682204496789</v>
      </c>
      <c r="D419" s="143"/>
      <c r="E419" s="143"/>
      <c r="F419" s="143"/>
      <c r="G419" s="146"/>
    </row>
    <row r="420" ht="15" customHeight="1" spans="1:7">
      <c r="A420" s="143"/>
      <c r="B420" s="178">
        <f t="shared" si="6"/>
        <v>776</v>
      </c>
      <c r="C420" s="306">
        <v>0.5133832940792</v>
      </c>
      <c r="D420" s="143"/>
      <c r="E420" s="143"/>
      <c r="F420" s="143"/>
      <c r="G420" s="146"/>
    </row>
    <row r="421" ht="15" customHeight="1" spans="1:7">
      <c r="A421" s="143"/>
      <c r="B421" s="178">
        <f t="shared" si="6"/>
        <v>777</v>
      </c>
      <c r="C421" s="306">
        <v>0.500714259389775</v>
      </c>
      <c r="D421" s="143"/>
      <c r="E421" s="143"/>
      <c r="F421" s="143"/>
      <c r="G421" s="146"/>
    </row>
    <row r="422" ht="15" customHeight="1" spans="1:7">
      <c r="A422" s="143"/>
      <c r="B422" s="178">
        <f t="shared" si="6"/>
        <v>778</v>
      </c>
      <c r="C422" s="306">
        <v>0.48741756867323</v>
      </c>
      <c r="D422" s="143"/>
      <c r="E422" s="143"/>
      <c r="F422" s="143"/>
      <c r="G422" s="146"/>
    </row>
    <row r="423" ht="15" customHeight="1" spans="1:7">
      <c r="A423" s="143"/>
      <c r="B423" s="178">
        <f t="shared" si="6"/>
        <v>779</v>
      </c>
      <c r="C423" s="306">
        <v>0.47459579069147</v>
      </c>
      <c r="D423" s="143"/>
      <c r="E423" s="143"/>
      <c r="F423" s="143"/>
      <c r="G423" s="146"/>
    </row>
    <row r="424" spans="1:7">
      <c r="A424" s="143"/>
      <c r="B424" s="178">
        <f t="shared" si="6"/>
        <v>780</v>
      </c>
      <c r="C424" s="306">
        <v>0.463096922052508</v>
      </c>
      <c r="D424" s="143"/>
      <c r="E424" s="143"/>
      <c r="F424" s="143"/>
      <c r="G424" s="146"/>
    </row>
    <row r="425" spans="1:7">
      <c r="A425" s="143"/>
      <c r="B425" s="143"/>
      <c r="C425" s="143"/>
      <c r="D425" s="143"/>
      <c r="E425" s="143"/>
      <c r="F425" s="143"/>
      <c r="G425" s="146"/>
    </row>
  </sheetData>
  <sheetProtection password="CAB0" sheet="1" objects="1" scenarios="1"/>
  <mergeCells count="5">
    <mergeCell ref="B5:C5"/>
    <mergeCell ref="E24:F24"/>
    <mergeCell ref="E26:F26"/>
    <mergeCell ref="E28:F28"/>
    <mergeCell ref="E30:F30"/>
  </mergeCells>
  <conditionalFormatting sqref="E24:F24">
    <cfRule type="beginsWith" dxfId="0" priority="6" operator="equal" text="ERROR:">
      <formula>LEFT(E24,LEN("ERROR:"))="ERROR:"</formula>
    </cfRule>
  </conditionalFormatting>
  <conditionalFormatting sqref="E26:F26">
    <cfRule type="beginsWith" dxfId="0" priority="7" operator="equal" text="ERROR:">
      <formula>LEFT(E26,LEN("ERROR:"))="ERROR:"</formula>
    </cfRule>
  </conditionalFormatting>
  <conditionalFormatting sqref="E28:F28">
    <cfRule type="beginsWith" dxfId="0" priority="8" operator="equal" text="ERROR:">
      <formula>LEFT(E28,LEN("ERROR:"))="ERROR:"</formula>
    </cfRule>
  </conditionalFormatting>
  <conditionalFormatting sqref="E30:F30">
    <cfRule type="beginsWith" dxfId="0" priority="11" operator="equal" text="ERROR:">
      <formula>LEFT(E30,LEN("ERROR:"))="ERROR:"</formula>
    </cfRule>
  </conditionalFormatting>
  <dataValidations count="9">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3"/>
    <dataValidation allowBlank="1" showErrorMessage="1" promptTitle="Input name of measurement" prompt="&#10;Please enter a title for your (spectral) measurement, on which the calculations are going to be based." sqref="B5:C5"/>
    <dataValidation type="list" showErrorMessage="1" promptTitle="Select an option" prompt="&#10;See Instructions. &quot;User&quot; is the default option for enterring your own user spectral data.  " sqref="C8">
      <formula1>Spectra!$B$23:$B$28</formula1>
    </dataValidation>
    <dataValidation type="list" showErrorMessage="1" promptTitle="Select quantity" prompt="&#10;Select photon radiance, radiance or luminance (if appl.) calculate equivalent luminances (cd.m-2), OR &#10;&#10;Select photon irradiance, irradiance or illuminance (if appl.) to calculate equivalent illuminances (lux)." sqref="C11">
      <formula1>Physics!$B$52:$B$57</formula1>
    </dataValidation>
    <dataValidation type="list" allowBlank="1" showErrorMessage="1" promptTitle="Select SI prefix, if any" prompt="&#10;Leave blank or enter an SI prefix. Leave blank for photon system.&#10;&#10;CAUTION: There is a difference between M = 10^6 and m = 10^-3, and Excel will offer &quot;M&quot; first when &quot;m&quot; is already selected. " sqref="C12">
      <formula1>Physics!$C$23:$C$35</formula1>
    </dataValidation>
    <dataValidation type="list" allowBlank="1" showErrorMessage="1" promptTitle="Select SI are prefix, if any" prompt="&#10;Leave blank or enter &quot;c&quot; or &quot;m&quot; for &quot;m-2&quot;, &quot;cm-2&quot; or &quot;mm-2&quot;, respectively." sqref="C13">
      <formula1>Physics!$C$16:$C$19</formula1>
    </dataValidation>
    <dataValidation type="decimal" operator="greaterThanOrEqual"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17">
      <formula1>-1</formula1>
    </dataValidation>
    <dataValidation type="list" allowBlank="1" showErrorMessage="1" promptTitle="Select resolution" prompt="&#10;Select the wavelength interval for the spectral measurement data, i.e. bin width or resolution. Set to 1 if using a built in spectrum." sqref="C20">
      <formula1>"1,2,4,5"</formula1>
    </dataValidation>
    <dataValidation type="decimal" operator="lessThanOrEqual" allowBlank="1" showErrorMessage="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sqref="C24:C424">
      <formula1>999999.999999</formula1>
    </dataValidation>
  </dataValidations>
  <pageMargins left="0.7" right="0.7" top="0.75" bottom="0.75" header="0.3" footer="0.3"/>
  <pageSetup paperSize="9" fitToHeight="0"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pageSetUpPr fitToPage="1"/>
  </sheetPr>
  <dimension ref="A1:G70"/>
  <sheetViews>
    <sheetView zoomScale="145" zoomScaleNormal="145" workbookViewId="0">
      <selection activeCell="D5" sqref="D5"/>
    </sheetView>
  </sheetViews>
  <sheetFormatPr defaultColWidth="0" defaultRowHeight="14.4" zeroHeight="1" outlineLevelCol="6"/>
  <cols>
    <col min="1" max="1" width="5.71296296296296" style="2" customWidth="1"/>
    <col min="2" max="6" width="18.712962962963" style="2" customWidth="1"/>
    <col min="7" max="7" width="5.71296296296296" style="2" customWidth="1"/>
    <col min="8" max="16384" width="9.13888888888889" style="2" hidden="1"/>
  </cols>
  <sheetData>
    <row r="1" s="6" customFormat="1" ht="24.95" customHeight="1" spans="2:7">
      <c r="B1" s="23" t="str">
        <f>LEFT(Disclaimer!B1,Maintenance!I3)</f>
        <v>CIE S 026 α-opic Toolbox - v1.049a - 2020/11</v>
      </c>
      <c r="G1" s="4"/>
    </row>
    <row r="2" s="6" customFormat="1" ht="15" customHeight="1" spans="3:7">
      <c r="C2" s="7"/>
      <c r="D2" s="26"/>
      <c r="F2" s="93"/>
      <c r="G2" s="4"/>
    </row>
    <row r="3" s="3" customFormat="1" ht="15" customHeight="1" spans="1:7">
      <c r="A3" s="6"/>
      <c r="B3" s="219" t="s">
        <v>125</v>
      </c>
      <c r="C3" s="11" t="s">
        <v>126</v>
      </c>
      <c r="D3" s="6"/>
      <c r="E3" s="6"/>
      <c r="F3" s="6"/>
      <c r="G3" s="4"/>
    </row>
    <row r="4" s="3" customFormat="1" ht="15" customHeight="1" spans="1:7">
      <c r="A4" s="6"/>
      <c r="B4" s="11"/>
      <c r="C4" s="11"/>
      <c r="D4" s="6"/>
      <c r="E4" s="6"/>
      <c r="F4" s="6"/>
      <c r="G4" s="4"/>
    </row>
    <row r="5" s="3" customFormat="1" ht="15" customHeight="1" spans="1:7">
      <c r="A5" s="6"/>
      <c r="B5" s="6" t="s">
        <v>127</v>
      </c>
      <c r="C5" s="273" t="str">
        <f ca="1">IF(OR('Advanced Inputs'!J$11&lt;&gt;"CIE S 026",'Advanced Inputs'!J$15&lt;&gt;"D65"),"ERROR: For non-standard calcs, see Advanced tabs.","INPUTS "&amp;IF(LEFT(Inputs!E24,5)="ERROR",Inputs!E24,"Standard CIE S 026 calculations."))</f>
        <v>ERROR: For non-standard calcs, see Advanced tabs.</v>
      </c>
      <c r="D5" s="6"/>
      <c r="E5" s="6"/>
      <c r="F5" s="274" t="s">
        <v>128</v>
      </c>
      <c r="G5" s="4"/>
    </row>
    <row r="6" s="3" customFormat="1" ht="15" customHeight="1" spans="1:7">
      <c r="A6" s="6"/>
      <c r="B6" s="275" t="str">
        <f>IF(Inputs!$B$5="","TEST",Inputs!$B$5)</f>
        <v>huashubei</v>
      </c>
      <c r="C6" s="276"/>
      <c r="D6" s="6"/>
      <c r="E6" s="6"/>
      <c r="F6" s="37" t="str">
        <f ca="1">IF(LEFT(C5,5)="ERROR","CHECK INPUTS",'Advanced Outputs'!$C$12)</f>
        <v>CHECK INPUTS</v>
      </c>
      <c r="G6" s="4"/>
    </row>
    <row r="7" s="3" customFormat="1" ht="15" customHeight="1" spans="1:7">
      <c r="A7" s="6"/>
      <c r="B7" s="11"/>
      <c r="C7" s="11"/>
      <c r="D7" s="6"/>
      <c r="E7" s="6"/>
      <c r="F7" s="6"/>
      <c r="G7" s="4"/>
    </row>
    <row r="8" s="6" customFormat="1" ht="15" customHeight="1" spans="2:7">
      <c r="B8" s="25" t="str">
        <f>Physics!D47</f>
        <v>irradiance</v>
      </c>
      <c r="D8" s="26" t="str">
        <f>Physics!F47</f>
        <v>illuminance</v>
      </c>
      <c r="E8" s="19"/>
      <c r="F8" s="93" t="str">
        <f>Physics!B47</f>
        <v>photon irradiance</v>
      </c>
      <c r="G8" s="4"/>
    </row>
    <row r="9" s="6" customFormat="1" ht="15" customHeight="1" spans="2:7">
      <c r="B9" s="25" t="str">
        <f>Physics!E47</f>
        <v>W.m-2</v>
      </c>
      <c r="D9" s="26" t="str">
        <f>Physics!G47</f>
        <v>lx</v>
      </c>
      <c r="F9" s="93" t="str">
        <f>"log Q/("&amp;Physics!C47&amp;")"</f>
        <v>log Q/(s-1.m-2)</v>
      </c>
      <c r="G9" s="4"/>
    </row>
    <row r="10" s="6" customFormat="1" ht="15" customHeight="1" spans="1:7">
      <c r="A10" s="39"/>
      <c r="B10" s="31" t="str">
        <f>"(unweighted) "&amp;$B$8&amp;" = ∫ spectral "&amp;$B$8&amp;" * dλ"</f>
        <v>(unweighted) irradiance = ∫ spectral irradiance * dλ</v>
      </c>
      <c r="C10" s="31"/>
      <c r="D10" s="31"/>
      <c r="E10" s="31"/>
      <c r="F10" s="31"/>
      <c r="G10" s="4"/>
    </row>
    <row r="11" s="6" customFormat="1" ht="15" customHeight="1" spans="2:7">
      <c r="B11" s="38" t="str">
        <f>"(photopic) "&amp;$D$8&amp;" =      * ∫ spectral "&amp;$B$8&amp;" * V(λ) * dλ"</f>
        <v>(photopic) illuminance =      * ∫ spectral irradiance * V(λ) * dλ</v>
      </c>
      <c r="C11" s="38"/>
      <c r="D11" s="38"/>
      <c r="E11" s="38"/>
      <c r="F11" s="38"/>
      <c r="G11" s="4"/>
    </row>
    <row r="12" s="6" customFormat="1" ht="15" customHeight="1" spans="2:7">
      <c r="B12" s="31" t="str">
        <f>"(unweighted) "&amp;$F$8&amp;" = ∫ spectral "&amp;$F$8&amp;" * dλ"</f>
        <v>(unweighted) photon irradiance = ∫ spectral photon irradiance * dλ</v>
      </c>
      <c r="C12" s="31"/>
      <c r="D12" s="31"/>
      <c r="E12" s="31"/>
      <c r="F12" s="31"/>
      <c r="G12" s="4"/>
    </row>
    <row r="13" s="6" customFormat="1" ht="15" customHeight="1" spans="2:7">
      <c r="B13" s="31"/>
      <c r="C13" s="31"/>
      <c r="D13" s="31"/>
      <c r="E13" s="31"/>
      <c r="F13" s="31"/>
      <c r="G13" s="4"/>
    </row>
    <row r="14" s="6" customFormat="1" ht="15" customHeight="1" spans="2:7">
      <c r="B14" s="16" t="str">
        <f>B$8&amp;", "&amp;B$9</f>
        <v>irradiance, W.m-2</v>
      </c>
      <c r="D14" s="4" t="str">
        <f>D$8&amp;", "&amp;D$9</f>
        <v>illuminance, lx</v>
      </c>
      <c r="F14" s="96" t="str">
        <f>"log "&amp;F$8&amp;"/("&amp;Physics!C47&amp;")"</f>
        <v>log photon irradiance/(s-1.m-2)</v>
      </c>
      <c r="G14" s="4"/>
    </row>
    <row r="15" s="3" customFormat="1" ht="15" customHeight="1" spans="1:7">
      <c r="A15" s="6"/>
      <c r="B15" s="277" t="e">
        <f ca="1">Calculations!$J$14*SUMPRODUCT(Calculations!$M$21:$M$421,Calculations!$K$21:$K$421)*$F$6</f>
        <v>#VALUE!</v>
      </c>
      <c r="C15" s="6"/>
      <c r="D15" s="277" t="e">
        <f ca="1">Calculations!$J$14*Physics!$F$12*SUMPRODUCT(Calculations!$M$21:$M$421,Calculations!$L$21:$L$421,Calculations!$K$21:$K$421)*$F$6</f>
        <v>#VALUE!</v>
      </c>
      <c r="E15" s="6"/>
      <c r="F15" s="278" t="e">
        <f ca="1">LOG(Calculations!$J$14*SUMPRODUCT(Calculations!$S$21:$S$421,Calculations!$K$21:$K$421)*$F$6)</f>
        <v>#VALUE!</v>
      </c>
      <c r="G15" s="4"/>
    </row>
    <row r="16" s="6" customFormat="1" ht="15" customHeight="1" spans="1:7">
      <c r="A16" s="4"/>
      <c r="G16" s="4"/>
    </row>
    <row r="17" s="6" customFormat="1" ht="15" customHeight="1" spans="2:7">
      <c r="B17" s="25" t="str">
        <f>$F$17&amp;", "&amp;$B$9</f>
        <v>α-opic irradiance, W.m-2</v>
      </c>
      <c r="C17" s="39"/>
      <c r="D17" s="39"/>
      <c r="E17" s="39"/>
      <c r="F17" s="93" t="str">
        <f>"α-opic "&amp;B8</f>
        <v>α-opic irradiance</v>
      </c>
      <c r="G17" s="4"/>
    </row>
    <row r="18" s="6" customFormat="1" ht="15" customHeight="1" spans="2:7">
      <c r="B18" s="31" t="str">
        <f>"α-opic "&amp;$B$8&amp;" = ∫ spectral "&amp;$B$8&amp;" * "&amp;"α-opic action spectrum * dλ"</f>
        <v>α-opic irradiance = ∫ spectral irradiance * α-opic action spectrum * dλ</v>
      </c>
      <c r="C18" s="31"/>
      <c r="D18" s="31"/>
      <c r="E18" s="31"/>
      <c r="F18" s="31"/>
      <c r="G18" s="4"/>
    </row>
    <row r="19" s="6" customFormat="1" ht="15" customHeight="1" spans="2:7">
      <c r="B19" s="31"/>
      <c r="C19" s="31"/>
      <c r="D19" s="31"/>
      <c r="E19" s="31"/>
      <c r="F19" s="31"/>
      <c r="G19" s="4"/>
    </row>
    <row r="20" s="6" customFormat="1" ht="15" customHeight="1" spans="2:7">
      <c r="B20" s="57" t="str">
        <f ca="1">Photobiology!AA$18</f>
        <v>Cyanopic</v>
      </c>
      <c r="C20" s="58" t="str">
        <f ca="1">Photobiology!AB$18</f>
        <v>Chloropic</v>
      </c>
      <c r="D20" s="59" t="str">
        <f ca="1">Photobiology!AC$18</f>
        <v>Erythropic</v>
      </c>
      <c r="E20" s="100" t="str">
        <f ca="1">Photobiology!AD$18</f>
        <v>Rhodopic</v>
      </c>
      <c r="F20" s="101" t="str">
        <f ca="1">Photobiology!AE$18</f>
        <v>Melanopic</v>
      </c>
      <c r="G20" s="4"/>
    </row>
    <row r="21" s="3" customFormat="1" ht="15" customHeight="1" spans="1:7">
      <c r="A21" s="6"/>
      <c r="B21" s="279" t="e">
        <f ca="1">Calculations!$J$14*SUMPRODUCT(Calculations!$M$21:$M$421,Calculations!N$21:N$421,Calculations!$K$21:$K$421)*$F$6</f>
        <v>#VALUE!</v>
      </c>
      <c r="C21" s="280" t="e">
        <f ca="1">Calculations!$J$14*SUMPRODUCT(Calculations!$M$21:$M$421,Calculations!O$21:O$421,Calculations!$K$21:$K$421)*$F$6</f>
        <v>#VALUE!</v>
      </c>
      <c r="D21" s="281" t="e">
        <f ca="1">Calculations!$J$14*SUMPRODUCT(Calculations!$M$21:$M$421,Calculations!P$21:P$421,Calculations!$K$21:$K$421)*$F$6</f>
        <v>#VALUE!</v>
      </c>
      <c r="E21" s="282" t="e">
        <f ca="1">Calculations!$J$14*SUMPRODUCT(Calculations!$M$21:$M$421,Calculations!Q$21:Q$421,Calculations!$K$21:$K$421)*$F$6</f>
        <v>#VALUE!</v>
      </c>
      <c r="F21" s="283" t="e">
        <f ca="1">Calculations!$J$14*SUMPRODUCT(Calculations!$M$21:$M$421,Calculations!R$21:R$421,Calculations!$K$21:$K$421)*$F$6</f>
        <v>#VALUE!</v>
      </c>
      <c r="G21" s="4"/>
    </row>
    <row r="22" s="6" customFormat="1" ht="15" customHeight="1" spans="7:7">
      <c r="G22" s="4"/>
    </row>
    <row r="23" s="6" customFormat="1" ht="15" customHeight="1" spans="2:7">
      <c r="B23" s="25" t="str">
        <f>"α-opic efficacy of luminous radiation, mW.lm-1"</f>
        <v>α-opic efficacy of luminous radiation, mW.lm-1</v>
      </c>
      <c r="C23" s="39"/>
      <c r="D23" s="39"/>
      <c r="E23" s="39"/>
      <c r="F23" s="93" t="str">
        <f>"α-opic ELR"</f>
        <v>α-opic ELR</v>
      </c>
      <c r="G23" s="4"/>
    </row>
    <row r="24" s="6" customFormat="1" ht="15" customHeight="1" spans="2:7">
      <c r="B24" s="31" t="str">
        <f>"α-opic ELR = "&amp;$F$17&amp;" / "&amp;$D$8</f>
        <v>α-opic ELR = α-opic irradiance / illuminance</v>
      </c>
      <c r="C24" s="31"/>
      <c r="D24" s="31"/>
      <c r="E24" s="31"/>
      <c r="F24" s="31"/>
      <c r="G24" s="4"/>
    </row>
    <row r="25" s="6" customFormat="1" ht="15" customHeight="1" spans="2:7">
      <c r="B25" s="31"/>
      <c r="C25" s="31"/>
      <c r="D25" s="31"/>
      <c r="E25" s="31"/>
      <c r="F25" s="31"/>
      <c r="G25" s="4"/>
    </row>
    <row r="26" s="6" customFormat="1" ht="15" customHeight="1" spans="2:7">
      <c r="B26" s="57" t="str">
        <f ca="1">Photobiology!AA$18</f>
        <v>Cyanopic</v>
      </c>
      <c r="C26" s="58" t="str">
        <f ca="1">Photobiology!AB$18</f>
        <v>Chloropic</v>
      </c>
      <c r="D26" s="59" t="str">
        <f ca="1">Photobiology!AC$18</f>
        <v>Erythropic</v>
      </c>
      <c r="E26" s="100" t="str">
        <f ca="1">Photobiology!AD$18</f>
        <v>Rhodopic</v>
      </c>
      <c r="F26" s="101" t="str">
        <f ca="1">Photobiology!AE$18</f>
        <v>Melanopic</v>
      </c>
      <c r="G26" s="4"/>
    </row>
    <row r="27" s="3" customFormat="1" ht="15" customHeight="1" spans="1:7">
      <c r="A27" s="6"/>
      <c r="B27" s="284" t="e">
        <f ca="1">1000*(B21/$D15)</f>
        <v>#VALUE!</v>
      </c>
      <c r="C27" s="285" t="e">
        <f ca="1">1000*(C21/$D15)</f>
        <v>#VALUE!</v>
      </c>
      <c r="D27" s="286" t="e">
        <f ca="1">1000*(D21/$D15)</f>
        <v>#VALUE!</v>
      </c>
      <c r="E27" s="287" t="e">
        <f ca="1">1000*(E21/$D15)</f>
        <v>#VALUE!</v>
      </c>
      <c r="F27" s="288" t="e">
        <f ca="1">1000*(F21/$D15)</f>
        <v>#VALUE!</v>
      </c>
      <c r="G27" s="4"/>
    </row>
    <row r="28" s="6" customFormat="1" ht="15" customHeight="1" spans="7:7">
      <c r="G28" s="4"/>
    </row>
    <row r="29" s="6" customFormat="1" ht="15" customHeight="1" spans="2:7">
      <c r="B29" s="25" t="str">
        <f>"α-opic equivalent "&amp;IF('Advanced Inputs'!$J$15&lt;&gt;"UserRef",IF('Advanced Inputs'!$J$15="D65","daylight (D65)","(R†: illuminant "&amp;'Advanced Inputs'!$J$15&amp;")"),"(R†: UserRef)")&amp;" "&amp;D$8&amp;", "&amp;D9</f>
        <v>α-opic equivalent (R†: illuminant E) illuminance, lx</v>
      </c>
      <c r="C29" s="39"/>
      <c r="D29" s="39"/>
      <c r="E29" s="39"/>
      <c r="F29" s="93" t="str">
        <f>"α-opic E"&amp;IF('Advanced Inputs'!$J$15="D65","D","R†")&amp;UPPER(LEFT($D$8,1))</f>
        <v>α-opic ER†I</v>
      </c>
      <c r="G29" s="4"/>
    </row>
    <row r="30" s="6" customFormat="1" ht="15" customHeight="1" spans="2:7">
      <c r="B30" s="31" t="str">
        <f>"α-opic E"&amp;IF('Advanced Inputs'!$J$15="D65","D","R†")&amp;UPPER(LEFT($D$8,1))&amp;" = "&amp;"α-opic "&amp;$B$8&amp;" / "&amp;"α-opic ELR for "&amp;IF('Advanced Inputs'!$J$15&lt;&gt;"UserRef",IF('Advanced Inputs'!$J$15="D65","daylight (D65)","(R†: illuminant "&amp;'Advanced Inputs'!$J$15&amp;")"),"(R†: UserRef)")</f>
        <v>α-opic ER†I = α-opic irradiance / α-opic ELR for (R†: illuminant E)</v>
      </c>
      <c r="C30" s="31"/>
      <c r="D30" s="31"/>
      <c r="E30" s="31"/>
      <c r="F30" s="31"/>
      <c r="G30" s="4"/>
    </row>
    <row r="31" s="6" customFormat="1" ht="15" customHeight="1" spans="2:7">
      <c r="B31" s="31"/>
      <c r="C31" s="31"/>
      <c r="D31" s="31"/>
      <c r="E31" s="31"/>
      <c r="F31" s="31"/>
      <c r="G31" s="4"/>
    </row>
    <row r="32" s="6" customFormat="1" ht="15" customHeight="1" spans="2:7">
      <c r="B32" s="57" t="str">
        <f ca="1">Photobiology!AA$18</f>
        <v>Cyanopic</v>
      </c>
      <c r="C32" s="58" t="str">
        <f ca="1">Photobiology!AB$18</f>
        <v>Chloropic</v>
      </c>
      <c r="D32" s="59" t="str">
        <f ca="1">Photobiology!AC$18</f>
        <v>Erythropic</v>
      </c>
      <c r="E32" s="100" t="str">
        <f ca="1">Photobiology!AD$18</f>
        <v>Rhodopic</v>
      </c>
      <c r="F32" s="101" t="str">
        <f ca="1">Photobiology!AE$18</f>
        <v>Melanopic</v>
      </c>
      <c r="G32" s="4"/>
    </row>
    <row r="33" s="3" customFormat="1" ht="15" customHeight="1" spans="1:7">
      <c r="A33" s="6"/>
      <c r="B33" s="279" t="e">
        <f ca="1">1000*(B21/VLOOKUP(B$32,Photobiology!$C$10:$D$14,2,0))</f>
        <v>#VALUE!</v>
      </c>
      <c r="C33" s="280" t="e">
        <f ca="1">1000*(C21/VLOOKUP(C$32,Photobiology!$C$10:$D$14,2,0))</f>
        <v>#VALUE!</v>
      </c>
      <c r="D33" s="281" t="e">
        <f ca="1">1000*(D21/VLOOKUP(D$32,Photobiology!$C$10:$D$14,2,0))</f>
        <v>#VALUE!</v>
      </c>
      <c r="E33" s="282" t="e">
        <f ca="1">1000*(E21/VLOOKUP(E$32,Photobiology!$C$10:$D$14,2,0))</f>
        <v>#VALUE!</v>
      </c>
      <c r="F33" s="283" t="e">
        <f ca="1">1000*(F21/VLOOKUP(F$32,Photobiology!$C$10:$D$14,2,0))</f>
        <v>#VALUE!</v>
      </c>
      <c r="G33" s="4"/>
    </row>
    <row r="34" s="6" customFormat="1" ht="15" customHeight="1" spans="7:7">
      <c r="G34" s="4"/>
    </row>
    <row r="35" s="6" customFormat="1" ht="15" customHeight="1" spans="2:7">
      <c r="B35" s="25" t="str">
        <f>"log α-opic "&amp;$F$8&amp;", "&amp;$F$9&amp;", where"</f>
        <v>log α-opic photon irradiance, log Q/(s-1.m-2), where</v>
      </c>
      <c r="C35" s="8"/>
      <c r="D35" s="8"/>
      <c r="E35" s="8"/>
      <c r="F35" s="93" t="str">
        <f>"α-opic "&amp;$F$8</f>
        <v>α-opic photon irradiance</v>
      </c>
      <c r="G35" s="4"/>
    </row>
    <row r="36" s="6" customFormat="1" ht="15" customHeight="1" spans="2:7">
      <c r="B36" s="117" t="str">
        <f>"α-opic "&amp;$F$8&amp;" = ∫ spectral "&amp;$F$8&amp;" * photon system "&amp;"α-opic action spectrum * dλ"</f>
        <v>α-opic photon irradiance = ∫ spectral photon irradiance * photon system α-opic action spectrum * dλ</v>
      </c>
      <c r="C36" s="117"/>
      <c r="D36" s="117"/>
      <c r="E36" s="117"/>
      <c r="F36" s="117"/>
      <c r="G36" s="4"/>
    </row>
    <row r="37" s="6" customFormat="1" ht="15" customHeight="1" spans="2:7">
      <c r="B37" s="77"/>
      <c r="C37" s="77"/>
      <c r="D37" s="77"/>
      <c r="E37" s="77"/>
      <c r="F37" s="77"/>
      <c r="G37" s="4"/>
    </row>
    <row r="38" s="6" customFormat="1" ht="15" customHeight="1" spans="2:7">
      <c r="B38" s="57" t="str">
        <f ca="1">Photobiology!AA$18</f>
        <v>Cyanopic</v>
      </c>
      <c r="C38" s="58" t="str">
        <f ca="1">Photobiology!AB$18</f>
        <v>Chloropic</v>
      </c>
      <c r="D38" s="59" t="str">
        <f ca="1">Photobiology!AC$18</f>
        <v>Erythropic</v>
      </c>
      <c r="E38" s="100" t="str">
        <f ca="1">Photobiology!AD$18</f>
        <v>Rhodopic</v>
      </c>
      <c r="F38" s="101" t="str">
        <f ca="1">Photobiology!AE$18</f>
        <v>Melanopic</v>
      </c>
      <c r="G38" s="4"/>
    </row>
    <row r="39" s="3" customFormat="1" ht="15" customHeight="1" spans="1:7">
      <c r="A39" s="6"/>
      <c r="B39" s="289" t="e">
        <f ca="1">LOG(Calculations!$J$14*SUMPRODUCT(Calculations!$S$21:$S$421,Calculations!T$21:T$421,Calculations!$K$21:$K$421)*$F$6)</f>
        <v>#VALUE!</v>
      </c>
      <c r="C39" s="290" t="e">
        <f ca="1">LOG(Calculations!$J$14*SUMPRODUCT(Calculations!$S$21:$S$421,Calculations!U$21:U$421,Calculations!$K$21:$K$421)*$F$6)</f>
        <v>#VALUE!</v>
      </c>
      <c r="D39" s="291" t="e">
        <f ca="1">LOG(Calculations!$J$14*SUMPRODUCT(Calculations!$S$21:$S$421,Calculations!V$21:V$421,Calculations!$K$21:$K$421)*$F$6)</f>
        <v>#VALUE!</v>
      </c>
      <c r="E39" s="292" t="e">
        <f ca="1">LOG(Calculations!$J$14*SUMPRODUCT(Calculations!$S$21:$S$421,Calculations!W$21:W$421,Calculations!$K$21:$K$421)*$F$6)</f>
        <v>#VALUE!</v>
      </c>
      <c r="F39" s="293" t="e">
        <f ca="1">LOG(Calculations!$J$14*SUMPRODUCT(Calculations!$S$21:$S$421,Calculations!X$21:X$421,Calculations!$K$21:$K$421)*$F$6)</f>
        <v>#VALUE!</v>
      </c>
      <c r="G39" s="4"/>
    </row>
    <row r="40" s="6" customFormat="1" ht="15" customHeight="1" spans="4:7">
      <c r="D40" s="77"/>
      <c r="E40" s="77"/>
      <c r="F40" s="77"/>
      <c r="G40" s="4"/>
    </row>
    <row r="41" s="6" customFormat="1" ht="15" customHeight="1" spans="2:7">
      <c r="B41" s="29" t="str">
        <f>"α-opic "&amp;$F$8&amp;" in standard notation"</f>
        <v>α-opic photon irradiance in standard notation</v>
      </c>
      <c r="F41" s="96" t="str">
        <f>F$8&amp;", "&amp;Physics!C47</f>
        <v>photon irradiance, s-1.m-2</v>
      </c>
      <c r="G41" s="4"/>
    </row>
    <row r="42" s="3" customFormat="1" ht="15" customHeight="1" spans="1:7">
      <c r="A42" s="6"/>
      <c r="B42" s="117" t="e">
        <f ca="1">"e.g. "&amp;TEXT(F44,FIXED(0,3)&amp;"E+00")&amp;" = 10^"&amp;TEXT(LOG(F44),FIXED(0,3))&amp;", with rounding to 3 decimal places"</f>
        <v>#VALUE!</v>
      </c>
      <c r="C42" s="117"/>
      <c r="D42" s="117"/>
      <c r="E42" s="294"/>
      <c r="F42" s="295" t="e">
        <f ca="1">10^F15</f>
        <v>#VALUE!</v>
      </c>
      <c r="G42" s="4"/>
    </row>
    <row r="43" s="6" customFormat="1" ht="15" customHeight="1" spans="2:7">
      <c r="B43" s="25" t="str">
        <f>"α-opic "&amp;$F$8&amp;", "&amp;Physics!C47</f>
        <v>α-opic photon irradiance, s-1.m-2</v>
      </c>
      <c r="C43" s="8"/>
      <c r="D43" s="8"/>
      <c r="E43" s="8"/>
      <c r="F43" s="93"/>
      <c r="G43" s="4"/>
    </row>
    <row r="44" s="3" customFormat="1" ht="15" customHeight="1" spans="1:7">
      <c r="A44" s="6"/>
      <c r="B44" s="296" t="e">
        <f ca="1">10^B39</f>
        <v>#VALUE!</v>
      </c>
      <c r="C44" s="297" t="e">
        <f ca="1" t="shared" ref="C44:F44" si="0">10^C39</f>
        <v>#VALUE!</v>
      </c>
      <c r="D44" s="298" t="e">
        <f ca="1" t="shared" si="0"/>
        <v>#VALUE!</v>
      </c>
      <c r="E44" s="299" t="e">
        <f ca="1" t="shared" si="0"/>
        <v>#VALUE!</v>
      </c>
      <c r="F44" s="300" t="e">
        <f ca="1" t="shared" si="0"/>
        <v>#VALUE!</v>
      </c>
      <c r="G44" s="4"/>
    </row>
    <row r="45" s="6" customFormat="1" ht="15" customHeight="1" spans="6:7">
      <c r="F45" s="301"/>
      <c r="G45" s="4"/>
    </row>
    <row r="46" s="6" customFormat="1" ht="15" hidden="1" customHeight="1" spans="7:7">
      <c r="G46" s="4"/>
    </row>
    <row r="47" s="6" customFormat="1" ht="7.5" hidden="1" customHeight="1" spans="7:7">
      <c r="G47" s="4"/>
    </row>
    <row r="48" s="6" customFormat="1" ht="15" hidden="1" customHeight="1" spans="7:7">
      <c r="G48" s="4"/>
    </row>
    <row r="49" s="6" customFormat="1" ht="15" hidden="1" customHeight="1" spans="7:7">
      <c r="G49" s="4"/>
    </row>
    <row r="50" s="6" customFormat="1" ht="15" hidden="1" customHeight="1" spans="7:7">
      <c r="G50" s="4"/>
    </row>
    <row r="51" s="6" customFormat="1" ht="15" hidden="1" customHeight="1" spans="7:7">
      <c r="G51" s="4"/>
    </row>
    <row r="52" s="6" customFormat="1" ht="7.5" hidden="1" customHeight="1" spans="2:6">
      <c r="B52" s="302"/>
      <c r="C52" s="302"/>
      <c r="D52" s="302"/>
      <c r="E52" s="302"/>
      <c r="F52" s="302"/>
    </row>
    <row r="53" s="6" customFormat="1" ht="15" hidden="1" customHeight="1" spans="6:6">
      <c r="F53" s="93" t="str">
        <f>"Age-adjusted "&amp;$F$17</f>
        <v>Age-adjusted α-opic irradiance</v>
      </c>
    </row>
    <row r="54" s="6" customFormat="1" ht="15" hidden="1" customHeight="1" spans="2:7">
      <c r="B54" s="77"/>
      <c r="C54" s="77"/>
      <c r="D54" s="77"/>
      <c r="E54" s="77"/>
      <c r="F54" s="77"/>
      <c r="G54" s="4"/>
    </row>
    <row r="55" s="6" customFormat="1" hidden="1" spans="2:7">
      <c r="B55" s="119"/>
      <c r="C55" s="119"/>
      <c r="D55" s="119"/>
      <c r="E55" s="119"/>
      <c r="F55" s="119"/>
      <c r="G55" s="4"/>
    </row>
    <row r="56" s="6" customFormat="1" ht="15.15" hidden="1" spans="2:6">
      <c r="B56" s="57" t="s">
        <v>129</v>
      </c>
      <c r="C56" s="58" t="s">
        <v>130</v>
      </c>
      <c r="D56" s="59" t="s">
        <v>131</v>
      </c>
      <c r="E56" s="100" t="s">
        <v>132</v>
      </c>
      <c r="F56" s="101" t="s">
        <v>133</v>
      </c>
    </row>
    <row r="57" s="3" customFormat="1" ht="15.15" hidden="1" spans="1:7">
      <c r="A57" s="120"/>
      <c r="B57" s="125" t="e">
        <f ca="1">Calculations!$J$14*SUMPRODUCT(Transmittance!$E$21:$E$421,Calculations!$M$21:$M$421,Calculations!N$21:N$421,Calculations!$K$21:$K$421)*#REF!</f>
        <v>#REF!</v>
      </c>
      <c r="C57" s="126" t="e">
        <f ca="1">Calculations!$J$14*SUMPRODUCT(Transmittance!$E$21:$E$421,Calculations!$M$21:$M$421,Calculations!O$21:O$421,Calculations!$K$21:$K$421)*#REF!</f>
        <v>#REF!</v>
      </c>
      <c r="D57" s="127" t="e">
        <f ca="1">Calculations!$J$14*SUMPRODUCT(Transmittance!$E$21:$E$421,Calculations!$M$21:$M$421,Calculations!P$21:P$421,Calculations!$K$21:$K$421)*#REF!</f>
        <v>#REF!</v>
      </c>
      <c r="E57" s="136" t="e">
        <f ca="1">Calculations!$J$14*SUMPRODUCT(Transmittance!$E$21:$E$421,Calculations!$M$21:$M$421,Calculations!Q$21:Q$421,Calculations!$K$21:$K$421)*#REF!</f>
        <v>#REF!</v>
      </c>
      <c r="F57" s="137" t="e">
        <f ca="1">Calculations!$J$14*SUMPRODUCT(Transmittance!$E$21:$E$421,Calculations!$M$21:$M$421,Calculations!R$21:R$421,Calculations!$K$21:$K$421)*#REF!</f>
        <v>#REF!</v>
      </c>
      <c r="G57" s="6"/>
    </row>
    <row r="58" s="6" customFormat="1" hidden="1" spans="1:1">
      <c r="A58" s="120"/>
    </row>
    <row r="59" s="6" customFormat="1" hidden="1" spans="1:6">
      <c r="A59" s="120"/>
      <c r="C59" s="85"/>
      <c r="D59" s="85"/>
      <c r="E59" s="85"/>
      <c r="F59" s="93" t="str">
        <f>"Age-adjusted "&amp;$F$29</f>
        <v>Age-adjusted α-opic ER†I</v>
      </c>
    </row>
    <row r="60" s="6" customFormat="1" ht="15" hidden="1" customHeight="1" spans="1:7">
      <c r="A60" s="120"/>
      <c r="B60" s="77"/>
      <c r="C60" s="77"/>
      <c r="D60" s="77"/>
      <c r="E60" s="77"/>
      <c r="F60" s="77"/>
      <c r="G60" s="4"/>
    </row>
    <row r="61" s="6" customFormat="1" hidden="1" spans="1:7">
      <c r="A61" s="120"/>
      <c r="B61" s="31"/>
      <c r="C61" s="31"/>
      <c r="D61" s="31"/>
      <c r="E61" s="31"/>
      <c r="F61" s="31"/>
      <c r="G61" s="4"/>
    </row>
    <row r="62" s="6" customFormat="1" ht="15.15" hidden="1" spans="1:6">
      <c r="A62" s="120"/>
      <c r="B62" s="57" t="s">
        <v>129</v>
      </c>
      <c r="C62" s="58" t="s">
        <v>130</v>
      </c>
      <c r="D62" s="59" t="s">
        <v>131</v>
      </c>
      <c r="E62" s="100" t="s">
        <v>132</v>
      </c>
      <c r="F62" s="101" t="s">
        <v>133</v>
      </c>
    </row>
    <row r="63" s="3" customFormat="1" ht="15.15" hidden="1" spans="1:7">
      <c r="A63" s="120"/>
      <c r="B63" s="128" t="e">
        <f ca="1">1000*(B57/#REF!)*(#REF!/#REF!)</f>
        <v>#REF!</v>
      </c>
      <c r="C63" s="129" t="e">
        <f ca="1">1000*(C57/#REF!)*(#REF!/#REF!)</f>
        <v>#REF!</v>
      </c>
      <c r="D63" s="130" t="e">
        <f ca="1">1000*(D57/#REF!)*(#REF!/#REF!)</f>
        <v>#REF!</v>
      </c>
      <c r="E63" s="138" t="e">
        <f ca="1">1000*(E57/#REF!)*(#REF!/#REF!)</f>
        <v>#REF!</v>
      </c>
      <c r="F63" s="139" t="e">
        <f ca="1">1000*(F57/#REF!)*(#REF!/#REF!)</f>
        <v>#REF!</v>
      </c>
      <c r="G63" s="6"/>
    </row>
    <row r="64" s="6" customFormat="1" hidden="1" spans="1:7">
      <c r="A64" s="120"/>
      <c r="B64" s="120"/>
      <c r="C64" s="120"/>
      <c r="D64" s="120"/>
      <c r="E64" s="120"/>
      <c r="F64" s="120"/>
      <c r="G64" s="120"/>
    </row>
    <row r="65" s="6" customFormat="1" hidden="1" spans="3:6">
      <c r="C65" s="85"/>
      <c r="D65" s="85"/>
      <c r="E65" s="85"/>
      <c r="F65" s="93" t="str">
        <f>"Age-adjusted "&amp;$F$35</f>
        <v>Age-adjusted α-opic photon irradiance</v>
      </c>
    </row>
    <row r="66" s="6" customFormat="1" ht="15" hidden="1" customHeight="1" spans="2:7">
      <c r="B66" s="77"/>
      <c r="C66" s="77"/>
      <c r="D66" s="77"/>
      <c r="E66" s="77"/>
      <c r="F66" s="77"/>
      <c r="G66" s="4"/>
    </row>
    <row r="67" s="6" customFormat="1" hidden="1" spans="2:7">
      <c r="B67" s="132"/>
      <c r="C67" s="132"/>
      <c r="D67" s="132"/>
      <c r="E67" s="132"/>
      <c r="F67" s="132"/>
      <c r="G67" s="4"/>
    </row>
    <row r="68" s="6" customFormat="1" ht="15.15" hidden="1" spans="2:6">
      <c r="B68" s="57" t="s">
        <v>129</v>
      </c>
      <c r="C68" s="58" t="s">
        <v>130</v>
      </c>
      <c r="D68" s="59" t="s">
        <v>131</v>
      </c>
      <c r="E68" s="100" t="s">
        <v>132</v>
      </c>
      <c r="F68" s="101" t="s">
        <v>133</v>
      </c>
    </row>
    <row r="69" s="3" customFormat="1" ht="15.15" hidden="1" spans="1:7">
      <c r="A69" s="6"/>
      <c r="B69" s="133" t="e">
        <f ca="1">LOG(Calculations!$J$14*SUMPRODUCT(Transmittance!$E$21:$E$421,Calculations!$S$21:$S$421,Calculations!T$21:T$421,Calculations!$K$21:$K$421)*#REF!)</f>
        <v>#REF!</v>
      </c>
      <c r="C69" s="134" t="e">
        <f ca="1">LOG(Calculations!$J$14*SUMPRODUCT(Transmittance!$E$21:$E$421,Calculations!$S$21:$S$421,Calculations!U$21:U$421,Calculations!$K$21:$K$421)*#REF!)</f>
        <v>#REF!</v>
      </c>
      <c r="D69" s="135" t="e">
        <f ca="1">LOG(Calculations!$J$14*SUMPRODUCT(Transmittance!$E$21:$E$421,Calculations!$S$21:$S$421,Calculations!V$21:V$421,Calculations!$K$21:$K$421)*#REF!)</f>
        <v>#REF!</v>
      </c>
      <c r="E69" s="140" t="e">
        <f ca="1">LOG(Calculations!$J$14*SUMPRODUCT(Transmittance!$E$21:$E$421,Calculations!$S$21:$S$421,Calculations!W$21:W$421,Calculations!$K$21:$K$421)*#REF!)</f>
        <v>#REF!</v>
      </c>
      <c r="F69" s="141" t="e">
        <f ca="1">LOG(Calculations!$J$14*SUMPRODUCT(Transmittance!$E$21:$E$421,Calculations!$S$21:$S$421,Calculations!X$21:X$421,Calculations!$K$21:$K$421)*#REF!)</f>
        <v>#REF!</v>
      </c>
      <c r="G69" s="6"/>
    </row>
    <row r="70" s="6" customFormat="1" hidden="1"/>
  </sheetData>
  <sheetProtection password="CAB0" sheet="1" objects="1" scenarios="1"/>
  <mergeCells count="12">
    <mergeCell ref="B10:F10"/>
    <mergeCell ref="B11:F11"/>
    <mergeCell ref="B12:F12"/>
    <mergeCell ref="B18:F18"/>
    <mergeCell ref="B24:F24"/>
    <mergeCell ref="B30:F30"/>
    <mergeCell ref="B36:F36"/>
    <mergeCell ref="B42:E42"/>
    <mergeCell ref="B52:F52"/>
    <mergeCell ref="B54:F54"/>
    <mergeCell ref="B60:F60"/>
    <mergeCell ref="B66:F66"/>
  </mergeCells>
  <conditionalFormatting sqref="C5">
    <cfRule type="notContainsText" dxfId="0" priority="2" operator="notContains" text="Standard CIE S 026 calculations.">
      <formula>ISERROR(SEARCH("Standard CIE S 026 calculations.",C5))</formula>
    </cfRule>
  </conditionalFormatting>
  <conditionalFormatting sqref="F6">
    <cfRule type="containsText" dxfId="0" priority="1" operator="between" text="CHECK INPUTS">
      <formula>NOT(ISERROR(SEARCH("CHECK INPUTS",F6)))</formula>
    </cfRule>
  </conditionalFormatting>
  <dataValidations count="1">
    <dataValidation allowBlank="1" showErrorMessage="1" promptTitle="Ouputs" prompt="&#10;You can choose your preferred SI quantity prefix and area prefix (if applicable) in cells F10:F11, H10:H11 and J11.&#10;" sqref="B3"/>
  </dataValidations>
  <pageMargins left="0.7" right="0.7" top="0.75" bottom="0.75" header="0.3" footer="0.3"/>
  <pageSetup paperSize="9" scale="83" fitToHeight="0"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tabColor theme="7" tint="-0.249977111117893"/>
  </sheetPr>
  <dimension ref="B1:CC421"/>
  <sheetViews>
    <sheetView workbookViewId="0">
      <selection activeCell="B3" sqref="B3"/>
    </sheetView>
  </sheetViews>
  <sheetFormatPr defaultColWidth="0" defaultRowHeight="14.4" zeroHeight="1"/>
  <cols>
    <col min="1" max="1" width="5.71296296296296" style="8" customWidth="1"/>
    <col min="2" max="5" width="15.712962962963" style="8" customWidth="1"/>
    <col min="6" max="6" width="5.71296296296296" style="8" customWidth="1"/>
    <col min="7" max="7" width="5.71296296296296" style="8" hidden="1" customWidth="1"/>
    <col min="8" max="67" width="8.71296296296296" style="8" hidden="1" customWidth="1"/>
    <col min="68" max="72" width="8.71296296296296" style="256" hidden="1" customWidth="1"/>
    <col min="73" max="73" width="5.71296296296296" style="8" hidden="1" customWidth="1"/>
    <col min="74" max="16384" width="8.71296296296296" style="8" hidden="1"/>
  </cols>
  <sheetData>
    <row r="1" ht="24.95" customHeight="1" spans="2:73">
      <c r="B1" s="5" t="str">
        <f>LEFT(Disclaimer!B1,Maintenance!I3)</f>
        <v>CIE S 026 α-opic Toolbox - v1.049a - 2020/11</v>
      </c>
      <c r="BU1" s="8" t="s">
        <v>134</v>
      </c>
    </row>
    <row r="2" ht="15" customHeight="1" spans="2:73">
      <c r="B2" s="250"/>
      <c r="BP2" s="8"/>
      <c r="BQ2" s="8"/>
      <c r="BR2" s="8"/>
      <c r="BS2" s="8"/>
      <c r="BT2" s="8"/>
      <c r="BU2" s="8" t="s">
        <v>134</v>
      </c>
    </row>
    <row r="3" s="7" customFormat="1" spans="2:7">
      <c r="B3" s="222" t="s">
        <v>135</v>
      </c>
      <c r="C3" s="15" t="s">
        <v>136</v>
      </c>
      <c r="F3" s="221"/>
      <c r="G3" s="221"/>
    </row>
    <row r="4" s="7" customFormat="1" ht="15" customHeight="1" spans="2:7">
      <c r="B4" s="221"/>
      <c r="C4" s="15" t="s">
        <v>137</v>
      </c>
      <c r="F4" s="221"/>
      <c r="G4" s="221"/>
    </row>
    <row r="5" ht="15" customHeight="1" spans="46:58">
      <c r="AT5" s="263"/>
      <c r="BA5" s="265"/>
      <c r="BB5" s="265"/>
      <c r="BC5" s="260"/>
      <c r="BD5" s="262"/>
      <c r="BE5" s="262"/>
      <c r="BF5" s="262"/>
    </row>
    <row r="6" ht="15" hidden="1" customHeight="1" spans="11:58">
      <c r="K6" s="8" t="s">
        <v>138</v>
      </c>
      <c r="AT6" s="263"/>
      <c r="BA6" s="265"/>
      <c r="BB6" s="265"/>
      <c r="BC6" s="260"/>
      <c r="BD6" s="262"/>
      <c r="BE6" s="262"/>
      <c r="BF6" s="262"/>
    </row>
    <row r="7" ht="15" hidden="1" customHeight="1" spans="46:58">
      <c r="AT7" s="263"/>
      <c r="BA7" s="265"/>
      <c r="BB7" s="265"/>
      <c r="BC7" s="260"/>
      <c r="BD7" s="262"/>
      <c r="BE7" s="262"/>
      <c r="BF7" s="262"/>
    </row>
    <row r="8" ht="15" hidden="1" customHeight="1" spans="11:58">
      <c r="K8" s="8" t="s">
        <v>139</v>
      </c>
      <c r="AT8" s="263"/>
      <c r="BA8" s="265"/>
      <c r="BB8" s="265"/>
      <c r="BC8" s="260"/>
      <c r="BD8" s="262"/>
      <c r="BE8" s="262"/>
      <c r="BF8" s="262"/>
    </row>
    <row r="9" ht="15" hidden="1" customHeight="1" spans="46:58">
      <c r="AT9" s="263"/>
      <c r="BA9" s="265"/>
      <c r="BB9" s="265"/>
      <c r="BC9" s="260"/>
      <c r="BD9" s="262"/>
      <c r="BE9" s="262"/>
      <c r="BF9" s="262"/>
    </row>
    <row r="10" ht="15" hidden="1" customHeight="1" spans="46:58">
      <c r="AT10" s="263"/>
      <c r="BA10" s="265"/>
      <c r="BB10" s="265"/>
      <c r="BC10" s="260"/>
      <c r="BD10" s="262"/>
      <c r="BE10" s="262"/>
      <c r="BF10" s="262"/>
    </row>
    <row r="11" ht="15" hidden="1" customHeight="1" spans="46:58">
      <c r="AT11" s="263"/>
      <c r="BA11" s="265"/>
      <c r="BB11" s="265"/>
      <c r="BC11" s="260"/>
      <c r="BD11" s="262"/>
      <c r="BE11" s="262"/>
      <c r="BF11" s="262"/>
    </row>
    <row r="12" ht="15" hidden="1" customHeight="1" spans="46:58">
      <c r="AT12" s="263"/>
      <c r="BA12" s="265"/>
      <c r="BB12" s="265"/>
      <c r="BC12" s="260"/>
      <c r="BD12" s="262"/>
      <c r="BE12" s="262"/>
      <c r="BF12" s="262"/>
    </row>
    <row r="13" ht="15" hidden="1" customHeight="1" spans="46:58">
      <c r="AT13" s="263"/>
      <c r="BA13" s="265"/>
      <c r="BB13" s="265"/>
      <c r="BC13" s="260"/>
      <c r="BD13" s="262"/>
      <c r="BE13" s="262"/>
      <c r="BF13" s="262"/>
    </row>
    <row r="14" ht="15" hidden="1" customHeight="1" spans="46:58">
      <c r="AT14" s="263"/>
      <c r="BA14" s="265"/>
      <c r="BB14" s="265"/>
      <c r="BC14" s="260"/>
      <c r="BD14" s="262"/>
      <c r="BE14" s="262"/>
      <c r="BF14" s="262"/>
    </row>
    <row r="15" ht="15" hidden="1" customHeight="1" spans="8:81">
      <c r="H15" s="8" t="s">
        <v>140</v>
      </c>
      <c r="I15" s="8">
        <v>1</v>
      </c>
      <c r="J15" s="8">
        <v>1</v>
      </c>
      <c r="K15" s="8">
        <v>1</v>
      </c>
      <c r="L15" s="8">
        <v>1</v>
      </c>
      <c r="M15" s="8">
        <v>1</v>
      </c>
      <c r="N15" s="8">
        <v>1</v>
      </c>
      <c r="O15" s="8">
        <v>1</v>
      </c>
      <c r="P15" s="8">
        <v>1</v>
      </c>
      <c r="Q15" s="8">
        <v>1</v>
      </c>
      <c r="R15" s="8">
        <v>1</v>
      </c>
      <c r="S15" s="8">
        <v>1</v>
      </c>
      <c r="T15" s="8">
        <v>1</v>
      </c>
      <c r="W15" s="8">
        <v>1</v>
      </c>
      <c r="X15" s="8">
        <v>1</v>
      </c>
      <c r="Y15" s="8">
        <v>1</v>
      </c>
      <c r="Z15" s="8">
        <v>1</v>
      </c>
      <c r="AA15" s="8">
        <v>1</v>
      </c>
      <c r="AB15" s="8">
        <v>1</v>
      </c>
      <c r="AC15" s="8">
        <v>1</v>
      </c>
      <c r="AD15" s="8">
        <v>1</v>
      </c>
      <c r="AG15" s="8">
        <v>1</v>
      </c>
      <c r="AH15" s="8">
        <v>1</v>
      </c>
      <c r="AI15" s="8">
        <v>1</v>
      </c>
      <c r="AJ15" s="8">
        <v>1</v>
      </c>
      <c r="AK15" s="8">
        <v>1</v>
      </c>
      <c r="AL15" s="8">
        <v>1</v>
      </c>
      <c r="AM15" s="8">
        <v>1</v>
      </c>
      <c r="AP15" s="8">
        <v>1</v>
      </c>
      <c r="AQ15" s="8">
        <v>1</v>
      </c>
      <c r="AR15" s="8">
        <v>1</v>
      </c>
      <c r="AS15" s="8">
        <v>1</v>
      </c>
      <c r="AT15" s="8">
        <v>1</v>
      </c>
      <c r="AU15" s="8">
        <v>1</v>
      </c>
      <c r="AV15" s="8">
        <v>1</v>
      </c>
      <c r="AW15" s="8">
        <v>1</v>
      </c>
      <c r="AX15" s="8">
        <v>1</v>
      </c>
      <c r="BA15" s="265">
        <v>5</v>
      </c>
      <c r="BB15" s="265">
        <v>5</v>
      </c>
      <c r="BC15" s="265">
        <v>5</v>
      </c>
      <c r="BD15" s="265">
        <v>5</v>
      </c>
      <c r="BE15" s="265">
        <v>5</v>
      </c>
      <c r="BF15" s="265">
        <v>5</v>
      </c>
      <c r="BG15" s="265">
        <v>5</v>
      </c>
      <c r="BJ15" s="265">
        <v>5</v>
      </c>
      <c r="BK15" s="265">
        <v>5</v>
      </c>
      <c r="BL15" s="265">
        <v>5</v>
      </c>
      <c r="BM15" s="265">
        <v>5</v>
      </c>
      <c r="BN15" s="265">
        <v>5</v>
      </c>
      <c r="BQ15" s="256">
        <f>BP22-BP21</f>
        <v>1</v>
      </c>
      <c r="BT15" s="256">
        <f>BS22-BS21</f>
        <v>1</v>
      </c>
      <c r="BW15" s="8">
        <v>1</v>
      </c>
      <c r="BX15" s="8">
        <v>1</v>
      </c>
      <c r="BY15" s="8">
        <v>1</v>
      </c>
      <c r="BZ15" s="8">
        <v>1</v>
      </c>
      <c r="CA15" s="8">
        <v>1</v>
      </c>
      <c r="CB15" s="8">
        <v>1</v>
      </c>
      <c r="CC15" s="8">
        <v>1</v>
      </c>
    </row>
    <row r="16" ht="15" hidden="1" customHeight="1" spans="46:58">
      <c r="AT16" s="263"/>
      <c r="BA16" s="265"/>
      <c r="BB16" s="265"/>
      <c r="BC16" s="260"/>
      <c r="BD16" s="262"/>
      <c r="BE16" s="262"/>
      <c r="BF16" s="262"/>
    </row>
    <row r="17" ht="15" hidden="1" customHeight="1" spans="8:76">
      <c r="H17" s="8" t="s">
        <v>141</v>
      </c>
      <c r="V17" s="8" t="s">
        <v>142</v>
      </c>
      <c r="AE17" s="8" t="s">
        <v>134</v>
      </c>
      <c r="AF17" s="8" t="s">
        <v>143</v>
      </c>
      <c r="AN17" s="8" t="s">
        <v>134</v>
      </c>
      <c r="AO17" s="8" t="s">
        <v>144</v>
      </c>
      <c r="AT17" s="263"/>
      <c r="AZ17" s="8" t="s">
        <v>145</v>
      </c>
      <c r="BA17" s="263"/>
      <c r="BB17" s="263"/>
      <c r="BC17" s="263"/>
      <c r="BD17" s="263"/>
      <c r="BE17" s="263"/>
      <c r="BF17" s="263"/>
      <c r="BI17" s="8" t="s">
        <v>146</v>
      </c>
      <c r="BO17" s="8" t="s">
        <v>134</v>
      </c>
      <c r="BP17" s="256" t="s">
        <v>147</v>
      </c>
      <c r="BW17" s="8" t="s">
        <v>148</v>
      </c>
      <c r="BX17" s="8" t="s">
        <v>148</v>
      </c>
    </row>
    <row r="18" ht="15" hidden="1" customHeight="1" spans="8:67">
      <c r="H18" s="8" t="s">
        <v>149</v>
      </c>
      <c r="V18" s="8" t="s">
        <v>150</v>
      </c>
      <c r="AF18" s="8" t="s">
        <v>151</v>
      </c>
      <c r="AO18" s="8" t="s">
        <v>152</v>
      </c>
      <c r="AT18" s="263"/>
      <c r="AY18" s="8" t="s">
        <v>134</v>
      </c>
      <c r="AZ18" s="8" t="s">
        <v>153</v>
      </c>
      <c r="BA18" s="265"/>
      <c r="BB18" s="265"/>
      <c r="BC18" s="260"/>
      <c r="BD18" s="262"/>
      <c r="BE18" s="262"/>
      <c r="BF18" s="262"/>
      <c r="BI18" s="8" t="s">
        <v>154</v>
      </c>
      <c r="BO18" s="8" t="s">
        <v>134</v>
      </c>
    </row>
    <row r="19" ht="15" hidden="1" customHeight="1" spans="46:58">
      <c r="AT19" s="263"/>
      <c r="BA19" s="265"/>
      <c r="BB19" s="265"/>
      <c r="BC19" s="260"/>
      <c r="BD19" s="262"/>
      <c r="BE19" s="262"/>
      <c r="BF19" s="262"/>
    </row>
    <row r="20" ht="15" hidden="1" customHeight="1" spans="2:81">
      <c r="B20" s="8" t="s">
        <v>155</v>
      </c>
      <c r="H20" s="257" t="s">
        <v>156</v>
      </c>
      <c r="I20" s="260" t="s">
        <v>157</v>
      </c>
      <c r="J20" s="260" t="s">
        <v>158</v>
      </c>
      <c r="K20" s="260" t="s">
        <v>159</v>
      </c>
      <c r="L20" s="260" t="s">
        <v>160</v>
      </c>
      <c r="M20" s="260" t="s">
        <v>161</v>
      </c>
      <c r="N20" s="260" t="s">
        <v>162</v>
      </c>
      <c r="O20" s="260" t="s">
        <v>163</v>
      </c>
      <c r="P20" s="260" t="s">
        <v>164</v>
      </c>
      <c r="Q20" s="260" t="s">
        <v>165</v>
      </c>
      <c r="R20" s="260" t="s">
        <v>166</v>
      </c>
      <c r="S20" s="260" t="s">
        <v>121</v>
      </c>
      <c r="T20" s="260" t="s">
        <v>167</v>
      </c>
      <c r="V20" s="257" t="s">
        <v>156</v>
      </c>
      <c r="W20" s="262" t="s">
        <v>168</v>
      </c>
      <c r="X20" s="262" t="s">
        <v>169</v>
      </c>
      <c r="Y20" s="262" t="s">
        <v>170</v>
      </c>
      <c r="Z20" s="262" t="s">
        <v>171</v>
      </c>
      <c r="AA20" s="262" t="s">
        <v>172</v>
      </c>
      <c r="AB20" s="262" t="s">
        <v>173</v>
      </c>
      <c r="AC20" s="262" t="s">
        <v>174</v>
      </c>
      <c r="AD20" s="262" t="s">
        <v>175</v>
      </c>
      <c r="AF20" s="257" t="s">
        <v>156</v>
      </c>
      <c r="AG20" s="262" t="s">
        <v>176</v>
      </c>
      <c r="AH20" s="262" t="s">
        <v>177</v>
      </c>
      <c r="AI20" s="262" t="s">
        <v>178</v>
      </c>
      <c r="AJ20" s="262" t="s">
        <v>179</v>
      </c>
      <c r="AK20" s="262" t="s">
        <v>180</v>
      </c>
      <c r="AL20" s="262" t="s">
        <v>181</v>
      </c>
      <c r="AM20" s="262" t="s">
        <v>182</v>
      </c>
      <c r="AO20" s="257" t="s">
        <v>156</v>
      </c>
      <c r="AP20" s="262" t="s">
        <v>183</v>
      </c>
      <c r="AQ20" s="262" t="s">
        <v>184</v>
      </c>
      <c r="AR20" s="262" t="s">
        <v>123</v>
      </c>
      <c r="AS20" s="262" t="s">
        <v>185</v>
      </c>
      <c r="AT20" s="262" t="s">
        <v>186</v>
      </c>
      <c r="AU20" s="262" t="s">
        <v>187</v>
      </c>
      <c r="AV20" s="262" t="s">
        <v>188</v>
      </c>
      <c r="AW20" s="262" t="s">
        <v>189</v>
      </c>
      <c r="AX20" s="262" t="s">
        <v>190</v>
      </c>
      <c r="AZ20" s="257" t="s">
        <v>156</v>
      </c>
      <c r="BA20" s="260" t="s">
        <v>191</v>
      </c>
      <c r="BB20" s="260" t="s">
        <v>192</v>
      </c>
      <c r="BC20" s="260" t="s">
        <v>193</v>
      </c>
      <c r="BD20" s="262" t="s">
        <v>194</v>
      </c>
      <c r="BE20" s="262" t="s">
        <v>195</v>
      </c>
      <c r="BF20" s="262" t="s">
        <v>196</v>
      </c>
      <c r="BG20" s="262" t="s">
        <v>197</v>
      </c>
      <c r="BH20" s="262"/>
      <c r="BI20" s="257" t="s">
        <v>156</v>
      </c>
      <c r="BJ20" s="262" t="s">
        <v>198</v>
      </c>
      <c r="BK20" s="262" t="s">
        <v>199</v>
      </c>
      <c r="BL20" s="262" t="s">
        <v>200</v>
      </c>
      <c r="BM20" s="262" t="s">
        <v>201</v>
      </c>
      <c r="BN20" s="262" t="s">
        <v>202</v>
      </c>
      <c r="BO20" s="262"/>
      <c r="BP20" s="257" t="s">
        <v>156</v>
      </c>
      <c r="BQ20" s="271" t="s">
        <v>73</v>
      </c>
      <c r="BR20" s="271"/>
      <c r="BS20" s="257" t="s">
        <v>156</v>
      </c>
      <c r="BT20" s="8" t="s">
        <v>203</v>
      </c>
      <c r="BV20" s="257" t="s">
        <v>156</v>
      </c>
      <c r="BW20" s="8" t="s">
        <v>115</v>
      </c>
      <c r="BX20" s="12" t="s">
        <v>117</v>
      </c>
      <c r="BY20" s="260" t="s">
        <v>193</v>
      </c>
      <c r="BZ20" s="262" t="s">
        <v>194</v>
      </c>
      <c r="CA20" s="262" t="s">
        <v>195</v>
      </c>
      <c r="CB20" s="262" t="s">
        <v>196</v>
      </c>
      <c r="CC20" s="8" t="s">
        <v>119</v>
      </c>
    </row>
    <row r="21" hidden="1" spans="8:81">
      <c r="H21" s="8">
        <v>380</v>
      </c>
      <c r="I21" s="261"/>
      <c r="J21" s="261"/>
      <c r="K21" s="261"/>
      <c r="L21" s="261"/>
      <c r="M21" s="261"/>
      <c r="N21" s="261"/>
      <c r="O21" s="261"/>
      <c r="P21" s="261"/>
      <c r="Q21" s="261"/>
      <c r="R21" s="261"/>
      <c r="S21" s="261">
        <v>0.91</v>
      </c>
      <c r="T21" s="261"/>
      <c r="V21" s="8">
        <v>380</v>
      </c>
      <c r="W21" s="261"/>
      <c r="X21" s="261"/>
      <c r="Y21" s="261"/>
      <c r="Z21" s="261"/>
      <c r="AA21" s="261"/>
      <c r="AB21" s="261"/>
      <c r="AC21" s="261"/>
      <c r="AD21" s="261"/>
      <c r="AF21" s="8">
        <v>380</v>
      </c>
      <c r="AG21" s="261"/>
      <c r="AH21" s="261"/>
      <c r="AI21" s="261"/>
      <c r="AJ21" s="261"/>
      <c r="AK21" s="261"/>
      <c r="AL21" s="261"/>
      <c r="AM21" s="261"/>
      <c r="AO21" s="12">
        <v>380</v>
      </c>
      <c r="AP21" s="264"/>
      <c r="AQ21" s="264"/>
      <c r="AR21" s="264">
        <v>0.00191857784345128</v>
      </c>
      <c r="AS21" s="264"/>
      <c r="AT21" s="264"/>
      <c r="AU21" s="264"/>
      <c r="AV21" s="264"/>
      <c r="AW21" s="264"/>
      <c r="AX21" s="264"/>
      <c r="AZ21" s="260">
        <v>380</v>
      </c>
      <c r="BA21" s="266">
        <v>9.7951</v>
      </c>
      <c r="BB21" s="267">
        <v>49.9755</v>
      </c>
      <c r="BC21" s="268"/>
      <c r="BD21" s="269"/>
      <c r="BE21" s="269"/>
      <c r="BF21" s="269"/>
      <c r="BG21" s="269">
        <v>1</v>
      </c>
      <c r="BH21" s="269"/>
      <c r="BI21" s="262">
        <v>380</v>
      </c>
      <c r="BJ21" s="270"/>
      <c r="BK21" s="270"/>
      <c r="BL21" s="270"/>
      <c r="BM21" s="270"/>
      <c r="BN21" s="270"/>
      <c r="BO21" s="270"/>
      <c r="BP21" s="272">
        <f>Inputs!B24</f>
        <v>380</v>
      </c>
      <c r="BQ21" s="272">
        <f>IF(LEFT(Inputs!$C$11,6)="photon",10^Inputs!C24,Inputs!C24)</f>
        <v>0.0216085294327167</v>
      </c>
      <c r="BR21" s="272"/>
      <c r="BS21" s="272">
        <f>'Advanced Inputs'!I26</f>
        <v>380</v>
      </c>
      <c r="BT21" s="272">
        <f>IF('Advanced Inputs'!J$19="Photon system",10^'Advanced Inputs'!J26,'Advanced Inputs'!J26)</f>
        <v>0</v>
      </c>
      <c r="BV21" s="272">
        <v>380</v>
      </c>
      <c r="BW21" s="8">
        <v>9.7951</v>
      </c>
      <c r="BX21" s="8">
        <v>49.9755</v>
      </c>
      <c r="CC21" s="8">
        <v>1</v>
      </c>
    </row>
    <row r="22" hidden="1" spans="2:81">
      <c r="B22" s="8" t="s">
        <v>204</v>
      </c>
      <c r="C22" s="8" t="s">
        <v>205</v>
      </c>
      <c r="H22" s="8">
        <v>381</v>
      </c>
      <c r="I22" s="261"/>
      <c r="J22" s="261"/>
      <c r="K22" s="261"/>
      <c r="L22" s="261"/>
      <c r="M22" s="261"/>
      <c r="N22" s="261"/>
      <c r="O22" s="261"/>
      <c r="P22" s="261"/>
      <c r="Q22" s="261"/>
      <c r="R22" s="261"/>
      <c r="S22" s="261">
        <v>0.854</v>
      </c>
      <c r="T22" s="261"/>
      <c r="V22" s="8">
        <v>381</v>
      </c>
      <c r="W22" s="261"/>
      <c r="X22" s="261"/>
      <c r="Y22" s="261"/>
      <c r="Z22" s="261"/>
      <c r="AA22" s="261"/>
      <c r="AB22" s="261"/>
      <c r="AC22" s="261"/>
      <c r="AD22" s="261"/>
      <c r="AF22" s="8">
        <v>381</v>
      </c>
      <c r="AG22" s="261"/>
      <c r="AH22" s="261"/>
      <c r="AI22" s="261"/>
      <c r="AJ22" s="261"/>
      <c r="AK22" s="261"/>
      <c r="AL22" s="261"/>
      <c r="AM22" s="261"/>
      <c r="AO22" s="12">
        <v>381</v>
      </c>
      <c r="AP22" s="264"/>
      <c r="AQ22" s="264"/>
      <c r="AR22" s="264">
        <v>0.00225628582835957</v>
      </c>
      <c r="AS22" s="264"/>
      <c r="AT22" s="264"/>
      <c r="AU22" s="264"/>
      <c r="AV22" s="264"/>
      <c r="AW22" s="264"/>
      <c r="AX22" s="264"/>
      <c r="AZ22" s="260">
        <v>385</v>
      </c>
      <c r="BA22" s="267">
        <v>10.8996</v>
      </c>
      <c r="BB22" s="267">
        <v>52.3118</v>
      </c>
      <c r="BC22" s="268"/>
      <c r="BD22" s="269"/>
      <c r="BE22" s="269"/>
      <c r="BF22" s="269"/>
      <c r="BG22" s="269">
        <v>1</v>
      </c>
      <c r="BH22" s="269"/>
      <c r="BI22" s="262">
        <v>385</v>
      </c>
      <c r="BJ22" s="270"/>
      <c r="BK22" s="270"/>
      <c r="BL22" s="270"/>
      <c r="BM22" s="270"/>
      <c r="BN22" s="270"/>
      <c r="BO22" s="270"/>
      <c r="BP22" s="272">
        <f>Inputs!B25</f>
        <v>381</v>
      </c>
      <c r="BQ22" s="272">
        <f>IF(LEFT(Inputs!$C$11,6)="photon",10^Inputs!C25,Inputs!C25)</f>
        <v>0.018694264470188</v>
      </c>
      <c r="BR22" s="272"/>
      <c r="BS22" s="272">
        <f>'Advanced Inputs'!I27</f>
        <v>381</v>
      </c>
      <c r="BT22" s="272">
        <f>IF('Advanced Inputs'!J$19="Photon system",10^'Advanced Inputs'!J27,'Advanced Inputs'!J27)</f>
        <v>0</v>
      </c>
      <c r="BV22" s="272">
        <v>381</v>
      </c>
      <c r="BW22" s="8">
        <v>10.0096</v>
      </c>
      <c r="BX22" s="8">
        <v>50.4428</v>
      </c>
      <c r="CC22" s="8">
        <v>1</v>
      </c>
    </row>
    <row r="23" hidden="1" spans="2:81">
      <c r="B23" s="258" t="s">
        <v>73</v>
      </c>
      <c r="C23" s="258" t="s">
        <v>73</v>
      </c>
      <c r="H23" s="8">
        <v>382</v>
      </c>
      <c r="I23" s="261"/>
      <c r="J23" s="261"/>
      <c r="K23" s="261"/>
      <c r="L23" s="261"/>
      <c r="M23" s="261"/>
      <c r="N23" s="261"/>
      <c r="O23" s="261"/>
      <c r="P23" s="261"/>
      <c r="Q23" s="261"/>
      <c r="R23" s="261"/>
      <c r="S23" s="261">
        <v>0.796533333333333</v>
      </c>
      <c r="T23" s="261"/>
      <c r="V23" s="8">
        <v>382</v>
      </c>
      <c r="W23" s="261"/>
      <c r="X23" s="261"/>
      <c r="Y23" s="261"/>
      <c r="Z23" s="261"/>
      <c r="AA23" s="261"/>
      <c r="AB23" s="261"/>
      <c r="AC23" s="261"/>
      <c r="AD23" s="261"/>
      <c r="AF23" s="8">
        <v>382</v>
      </c>
      <c r="AG23" s="261"/>
      <c r="AH23" s="261"/>
      <c r="AI23" s="261"/>
      <c r="AJ23" s="261"/>
      <c r="AK23" s="261"/>
      <c r="AL23" s="261"/>
      <c r="AM23" s="261"/>
      <c r="AO23" s="12">
        <v>382</v>
      </c>
      <c r="AP23" s="264"/>
      <c r="AQ23" s="264"/>
      <c r="AR23" s="264">
        <v>0.00265343704971219</v>
      </c>
      <c r="AS23" s="264"/>
      <c r="AT23" s="264"/>
      <c r="AU23" s="264"/>
      <c r="AV23" s="264"/>
      <c r="AW23" s="264"/>
      <c r="AX23" s="264"/>
      <c r="AZ23" s="260">
        <v>390</v>
      </c>
      <c r="BA23" s="267">
        <v>12.0853</v>
      </c>
      <c r="BB23" s="267">
        <v>54.6482</v>
      </c>
      <c r="BC23" s="268"/>
      <c r="BD23" s="269"/>
      <c r="BE23" s="269"/>
      <c r="BF23" s="269"/>
      <c r="BG23" s="269">
        <v>1</v>
      </c>
      <c r="BH23" s="269"/>
      <c r="BI23" s="262">
        <v>390</v>
      </c>
      <c r="BJ23" s="270"/>
      <c r="BK23" s="270"/>
      <c r="BL23" s="270"/>
      <c r="BM23" s="270"/>
      <c r="BN23" s="270"/>
      <c r="BO23" s="270"/>
      <c r="BP23" s="272">
        <f>Inputs!B26</f>
        <v>382</v>
      </c>
      <c r="BQ23" s="272">
        <f>IF(LEFT(Inputs!$C$11,6)="photon",10^Inputs!C26,Inputs!C26)</f>
        <v>0.0173774055255879</v>
      </c>
      <c r="BR23" s="272"/>
      <c r="BS23" s="272">
        <f>'Advanced Inputs'!I28</f>
        <v>382</v>
      </c>
      <c r="BT23" s="272">
        <f>IF('Advanced Inputs'!J$19="Photon system",10^'Advanced Inputs'!J28,'Advanced Inputs'!J28)</f>
        <v>0</v>
      </c>
      <c r="BV23" s="272">
        <v>382</v>
      </c>
      <c r="BW23" s="8">
        <v>10.2273</v>
      </c>
      <c r="BX23" s="8">
        <v>50.91</v>
      </c>
      <c r="CC23" s="8">
        <v>1</v>
      </c>
    </row>
    <row r="24" hidden="1" spans="2:81">
      <c r="B24" s="259" t="s">
        <v>115</v>
      </c>
      <c r="C24" s="259" t="s">
        <v>115</v>
      </c>
      <c r="H24" s="8">
        <v>383</v>
      </c>
      <c r="I24" s="261"/>
      <c r="J24" s="261"/>
      <c r="K24" s="261"/>
      <c r="L24" s="261"/>
      <c r="M24" s="261"/>
      <c r="N24" s="261"/>
      <c r="O24" s="261"/>
      <c r="P24" s="261"/>
      <c r="Q24" s="261"/>
      <c r="R24" s="261"/>
      <c r="S24" s="261">
        <v>0.739066666666667</v>
      </c>
      <c r="T24" s="261"/>
      <c r="V24" s="8">
        <v>383</v>
      </c>
      <c r="W24" s="261"/>
      <c r="X24" s="261"/>
      <c r="Y24" s="261"/>
      <c r="Z24" s="261"/>
      <c r="AA24" s="261"/>
      <c r="AB24" s="261"/>
      <c r="AC24" s="261"/>
      <c r="AD24" s="261"/>
      <c r="AF24" s="8">
        <v>383</v>
      </c>
      <c r="AG24" s="261"/>
      <c r="AH24" s="261"/>
      <c r="AI24" s="261"/>
      <c r="AJ24" s="261"/>
      <c r="AK24" s="261"/>
      <c r="AL24" s="261"/>
      <c r="AM24" s="261"/>
      <c r="AO24" s="12">
        <v>383</v>
      </c>
      <c r="AP24" s="264"/>
      <c r="AQ24" s="264"/>
      <c r="AR24" s="264">
        <v>0.00312049464306466</v>
      </c>
      <c r="AS24" s="264"/>
      <c r="AT24" s="264"/>
      <c r="AU24" s="264"/>
      <c r="AV24" s="264"/>
      <c r="AW24" s="264"/>
      <c r="AX24" s="264"/>
      <c r="AZ24" s="260">
        <v>395</v>
      </c>
      <c r="BA24" s="267">
        <v>13.3543</v>
      </c>
      <c r="BB24" s="267">
        <v>68.7015</v>
      </c>
      <c r="BC24" s="268"/>
      <c r="BD24" s="269"/>
      <c r="BE24" s="269"/>
      <c r="BF24" s="269"/>
      <c r="BG24" s="269">
        <v>1</v>
      </c>
      <c r="BH24" s="269"/>
      <c r="BI24" s="262">
        <v>395</v>
      </c>
      <c r="BJ24" s="270"/>
      <c r="BK24" s="270"/>
      <c r="BL24" s="270"/>
      <c r="BM24" s="270"/>
      <c r="BN24" s="270"/>
      <c r="BO24" s="270"/>
      <c r="BP24" s="272">
        <f>Inputs!B27</f>
        <v>383</v>
      </c>
      <c r="BQ24" s="272">
        <f>IF(LEFT(Inputs!$C$11,6)="photon",10^Inputs!C27,Inputs!C27)</f>
        <v>0.0302972321955107</v>
      </c>
      <c r="BR24" s="272"/>
      <c r="BS24" s="272">
        <f>'Advanced Inputs'!I29</f>
        <v>383</v>
      </c>
      <c r="BT24" s="272">
        <f>IF('Advanced Inputs'!J$19="Photon system",10^'Advanced Inputs'!J29,'Advanced Inputs'!J29)</f>
        <v>0</v>
      </c>
      <c r="BV24" s="272">
        <v>383</v>
      </c>
      <c r="BW24" s="8">
        <v>10.4481</v>
      </c>
      <c r="BX24" s="8">
        <v>51.3773</v>
      </c>
      <c r="CC24" s="8">
        <v>1</v>
      </c>
    </row>
    <row r="25" hidden="1" spans="2:81">
      <c r="B25" s="259" t="s">
        <v>117</v>
      </c>
      <c r="C25" s="259" t="s">
        <v>193</v>
      </c>
      <c r="H25" s="8">
        <v>384</v>
      </c>
      <c r="I25" s="261"/>
      <c r="J25" s="261"/>
      <c r="K25" s="261"/>
      <c r="L25" s="261"/>
      <c r="M25" s="261"/>
      <c r="N25" s="261"/>
      <c r="O25" s="261"/>
      <c r="P25" s="261"/>
      <c r="Q25" s="261"/>
      <c r="R25" s="261"/>
      <c r="S25" s="261">
        <v>0.683066666666667</v>
      </c>
      <c r="T25" s="261"/>
      <c r="V25" s="8">
        <v>384</v>
      </c>
      <c r="W25" s="261"/>
      <c r="X25" s="261"/>
      <c r="Y25" s="261"/>
      <c r="Z25" s="261"/>
      <c r="AA25" s="261"/>
      <c r="AB25" s="261"/>
      <c r="AC25" s="261"/>
      <c r="AD25" s="261"/>
      <c r="AF25" s="8">
        <v>384</v>
      </c>
      <c r="AG25" s="261"/>
      <c r="AH25" s="261"/>
      <c r="AI25" s="261"/>
      <c r="AJ25" s="261"/>
      <c r="AK25" s="261"/>
      <c r="AL25" s="261"/>
      <c r="AM25" s="261"/>
      <c r="AO25" s="12">
        <v>384</v>
      </c>
      <c r="AP25" s="264"/>
      <c r="AQ25" s="264"/>
      <c r="AR25" s="264">
        <v>0.00366976343821295</v>
      </c>
      <c r="AS25" s="264"/>
      <c r="AT25" s="264"/>
      <c r="AU25" s="264"/>
      <c r="AV25" s="264"/>
      <c r="AW25" s="264"/>
      <c r="AX25" s="264"/>
      <c r="AZ25" s="260">
        <v>400</v>
      </c>
      <c r="BA25" s="267">
        <v>14.708</v>
      </c>
      <c r="BB25" s="267">
        <v>82.7549</v>
      </c>
      <c r="BC25" s="268"/>
      <c r="BD25" s="269"/>
      <c r="BE25" s="269"/>
      <c r="BF25" s="269"/>
      <c r="BG25" s="269">
        <v>1</v>
      </c>
      <c r="BH25" s="269"/>
      <c r="BI25" s="262">
        <v>400</v>
      </c>
      <c r="BJ25" s="270"/>
      <c r="BK25" s="270"/>
      <c r="BL25" s="270"/>
      <c r="BM25" s="270"/>
      <c r="BN25" s="270"/>
      <c r="BO25" s="270"/>
      <c r="BP25" s="272">
        <f>Inputs!B28</f>
        <v>384</v>
      </c>
      <c r="BQ25" s="272">
        <f>IF(LEFT(Inputs!$C$11,6)="photon",10^Inputs!C28,Inputs!C28)</f>
        <v>0.0296820459240615</v>
      </c>
      <c r="BR25" s="272"/>
      <c r="BS25" s="272">
        <f>'Advanced Inputs'!I30</f>
        <v>384</v>
      </c>
      <c r="BT25" s="272">
        <f>IF('Advanced Inputs'!J$19="Photon system",10^'Advanced Inputs'!J30,'Advanced Inputs'!J30)</f>
        <v>0</v>
      </c>
      <c r="BV25" s="272">
        <v>384</v>
      </c>
      <c r="BW25" s="8">
        <v>10.6722</v>
      </c>
      <c r="BX25" s="8">
        <v>51.8446</v>
      </c>
      <c r="CC25" s="8">
        <v>1</v>
      </c>
    </row>
    <row r="26" hidden="1" spans="2:81">
      <c r="B26" s="259" t="s">
        <v>119</v>
      </c>
      <c r="C26" s="259" t="s">
        <v>194</v>
      </c>
      <c r="H26" s="8">
        <v>385</v>
      </c>
      <c r="I26" s="261"/>
      <c r="J26" s="261"/>
      <c r="K26" s="261"/>
      <c r="L26" s="261"/>
      <c r="M26" s="261"/>
      <c r="N26" s="261"/>
      <c r="O26" s="261"/>
      <c r="P26" s="261"/>
      <c r="Q26" s="261"/>
      <c r="R26" s="261"/>
      <c r="S26" s="261">
        <v>0.63</v>
      </c>
      <c r="T26" s="261"/>
      <c r="V26" s="8">
        <v>385</v>
      </c>
      <c r="W26" s="261"/>
      <c r="X26" s="261"/>
      <c r="Y26" s="261"/>
      <c r="Z26" s="261"/>
      <c r="AA26" s="261"/>
      <c r="AB26" s="261"/>
      <c r="AC26" s="261"/>
      <c r="AD26" s="261"/>
      <c r="AF26" s="8">
        <v>385</v>
      </c>
      <c r="AG26" s="261"/>
      <c r="AH26" s="261"/>
      <c r="AI26" s="261"/>
      <c r="AJ26" s="261"/>
      <c r="AK26" s="261"/>
      <c r="AL26" s="261"/>
      <c r="AM26" s="261"/>
      <c r="AO26" s="12">
        <v>385</v>
      </c>
      <c r="AP26" s="264"/>
      <c r="AQ26" s="264"/>
      <c r="AR26" s="264">
        <v>0.00431571412342861</v>
      </c>
      <c r="AS26" s="264"/>
      <c r="AT26" s="264"/>
      <c r="AU26" s="264"/>
      <c r="AV26" s="264"/>
      <c r="AW26" s="264"/>
      <c r="AX26" s="264"/>
      <c r="AZ26" s="260">
        <v>405</v>
      </c>
      <c r="BA26" s="267">
        <v>16.148</v>
      </c>
      <c r="BB26" s="267">
        <v>87.1204</v>
      </c>
      <c r="BC26" s="268"/>
      <c r="BD26" s="269"/>
      <c r="BE26" s="269"/>
      <c r="BF26" s="269"/>
      <c r="BG26" s="269">
        <v>1</v>
      </c>
      <c r="BH26" s="269"/>
      <c r="BI26" s="262">
        <v>405</v>
      </c>
      <c r="BJ26" s="270"/>
      <c r="BK26" s="270"/>
      <c r="BL26" s="270"/>
      <c r="BM26" s="270"/>
      <c r="BN26" s="270"/>
      <c r="BO26" s="270"/>
      <c r="BP26" s="272">
        <f>Inputs!B29</f>
        <v>385</v>
      </c>
      <c r="BQ26" s="272">
        <f>IF(LEFT(Inputs!$C$11,6)="photon",10^Inputs!C29,Inputs!C29)</f>
        <v>0.0360933678436587</v>
      </c>
      <c r="BR26" s="272"/>
      <c r="BS26" s="272">
        <f>'Advanced Inputs'!I31</f>
        <v>385</v>
      </c>
      <c r="BT26" s="272">
        <f>IF('Advanced Inputs'!J$19="Photon system",10^'Advanced Inputs'!J31,'Advanced Inputs'!J31)</f>
        <v>0</v>
      </c>
      <c r="BV26" s="272">
        <v>385</v>
      </c>
      <c r="BW26" s="8">
        <v>10.8996</v>
      </c>
      <c r="BX26" s="8">
        <v>52.3118</v>
      </c>
      <c r="CC26" s="8">
        <v>1</v>
      </c>
    </row>
    <row r="27" hidden="1" spans="2:81">
      <c r="B27" s="259" t="s">
        <v>121</v>
      </c>
      <c r="C27" s="259" t="s">
        <v>195</v>
      </c>
      <c r="H27" s="8">
        <v>386</v>
      </c>
      <c r="I27" s="261"/>
      <c r="J27" s="261"/>
      <c r="K27" s="261"/>
      <c r="L27" s="261"/>
      <c r="M27" s="261"/>
      <c r="N27" s="261"/>
      <c r="O27" s="261"/>
      <c r="P27" s="261"/>
      <c r="Q27" s="261"/>
      <c r="R27" s="261"/>
      <c r="S27" s="261">
        <v>0.58816</v>
      </c>
      <c r="T27" s="261"/>
      <c r="V27" s="8">
        <v>386</v>
      </c>
      <c r="W27" s="261"/>
      <c r="X27" s="261"/>
      <c r="Y27" s="261"/>
      <c r="Z27" s="261"/>
      <c r="AA27" s="261"/>
      <c r="AB27" s="261"/>
      <c r="AC27" s="261"/>
      <c r="AD27" s="261"/>
      <c r="AF27" s="8">
        <v>386</v>
      </c>
      <c r="AG27" s="261"/>
      <c r="AH27" s="261"/>
      <c r="AI27" s="261"/>
      <c r="AJ27" s="261"/>
      <c r="AK27" s="261"/>
      <c r="AL27" s="261"/>
      <c r="AM27" s="261"/>
      <c r="AO27" s="12">
        <v>386</v>
      </c>
      <c r="AP27" s="264"/>
      <c r="AQ27" s="264"/>
      <c r="AR27" s="264">
        <v>0.00507536446486602</v>
      </c>
      <c r="AS27" s="264"/>
      <c r="AT27" s="264"/>
      <c r="AU27" s="264"/>
      <c r="AV27" s="264"/>
      <c r="AW27" s="264"/>
      <c r="AX27" s="264"/>
      <c r="AZ27" s="260">
        <v>410</v>
      </c>
      <c r="BA27" s="267">
        <v>17.6753</v>
      </c>
      <c r="BB27" s="267">
        <v>91.486</v>
      </c>
      <c r="BC27" s="268"/>
      <c r="BD27" s="269"/>
      <c r="BE27" s="269"/>
      <c r="BF27" s="269"/>
      <c r="BG27" s="269">
        <v>1</v>
      </c>
      <c r="BH27" s="269"/>
      <c r="BI27" s="262">
        <v>410</v>
      </c>
      <c r="BJ27" s="270"/>
      <c r="BK27" s="270"/>
      <c r="BL27" s="270"/>
      <c r="BM27" s="270"/>
      <c r="BN27" s="270"/>
      <c r="BO27" s="270"/>
      <c r="BP27" s="272">
        <f>Inputs!B30</f>
        <v>386</v>
      </c>
      <c r="BQ27" s="272">
        <f>IF(LEFT(Inputs!$C$11,6)="photon",10^Inputs!C30,Inputs!C30)</f>
        <v>0.0194714221261843</v>
      </c>
      <c r="BR27" s="272"/>
      <c r="BS27" s="272">
        <f>'Advanced Inputs'!I32</f>
        <v>386</v>
      </c>
      <c r="BT27" s="272">
        <f>IF('Advanced Inputs'!J$19="Photon system",10^'Advanced Inputs'!J32,'Advanced Inputs'!J32)</f>
        <v>0</v>
      </c>
      <c r="BV27" s="272">
        <v>386</v>
      </c>
      <c r="BW27" s="8">
        <v>11.1302</v>
      </c>
      <c r="BX27" s="8">
        <v>52.7791</v>
      </c>
      <c r="CC27" s="8">
        <v>1</v>
      </c>
    </row>
    <row r="28" hidden="1" spans="2:81">
      <c r="B28" s="259" t="s">
        <v>123</v>
      </c>
      <c r="C28" s="259" t="s">
        <v>117</v>
      </c>
      <c r="H28" s="8">
        <v>387</v>
      </c>
      <c r="I28" s="261"/>
      <c r="J28" s="261"/>
      <c r="K28" s="261"/>
      <c r="L28" s="261"/>
      <c r="M28" s="261"/>
      <c r="N28" s="261"/>
      <c r="O28" s="261"/>
      <c r="P28" s="261"/>
      <c r="Q28" s="261"/>
      <c r="R28" s="261"/>
      <c r="S28" s="261">
        <v>0.55048</v>
      </c>
      <c r="T28" s="261"/>
      <c r="V28" s="8">
        <v>387</v>
      </c>
      <c r="W28" s="261"/>
      <c r="X28" s="261"/>
      <c r="Y28" s="261"/>
      <c r="Z28" s="261"/>
      <c r="AA28" s="261"/>
      <c r="AB28" s="261"/>
      <c r="AC28" s="261"/>
      <c r="AD28" s="261"/>
      <c r="AF28" s="8">
        <v>387</v>
      </c>
      <c r="AG28" s="261"/>
      <c r="AH28" s="261"/>
      <c r="AI28" s="261"/>
      <c r="AJ28" s="261"/>
      <c r="AK28" s="261"/>
      <c r="AL28" s="261"/>
      <c r="AM28" s="261"/>
      <c r="AO28" s="12">
        <v>387</v>
      </c>
      <c r="AP28" s="264"/>
      <c r="AQ28" s="264"/>
      <c r="AR28" s="264">
        <v>0.00596872762236247</v>
      </c>
      <c r="AS28" s="264"/>
      <c r="AT28" s="264"/>
      <c r="AU28" s="264"/>
      <c r="AV28" s="264"/>
      <c r="AW28" s="264"/>
      <c r="AX28" s="264"/>
      <c r="AZ28" s="260">
        <v>415</v>
      </c>
      <c r="BA28" s="267">
        <v>19.2907</v>
      </c>
      <c r="BB28" s="267">
        <v>92.4589</v>
      </c>
      <c r="BC28" s="268"/>
      <c r="BD28" s="269"/>
      <c r="BE28" s="269"/>
      <c r="BF28" s="269"/>
      <c r="BG28" s="269">
        <v>1</v>
      </c>
      <c r="BH28" s="269"/>
      <c r="BI28" s="262">
        <v>415</v>
      </c>
      <c r="BJ28" s="270"/>
      <c r="BK28" s="270"/>
      <c r="BL28" s="270"/>
      <c r="BM28" s="270"/>
      <c r="BN28" s="270"/>
      <c r="BO28" s="270"/>
      <c r="BP28" s="272">
        <f>Inputs!B31</f>
        <v>387</v>
      </c>
      <c r="BQ28" s="272">
        <f>IF(LEFT(Inputs!$C$11,6)="photon",10^Inputs!C31,Inputs!C31)</f>
        <v>0.0196764842166674</v>
      </c>
      <c r="BR28" s="272"/>
      <c r="BS28" s="272">
        <f>'Advanced Inputs'!I33</f>
        <v>387</v>
      </c>
      <c r="BT28" s="272">
        <f>IF('Advanced Inputs'!J$19="Photon system",10^'Advanced Inputs'!J33,'Advanced Inputs'!J33)</f>
        <v>0</v>
      </c>
      <c r="BV28" s="272">
        <v>387</v>
      </c>
      <c r="BW28" s="8">
        <v>11.364</v>
      </c>
      <c r="BX28" s="8">
        <v>53.2464</v>
      </c>
      <c r="CC28" s="8">
        <v>1</v>
      </c>
    </row>
    <row r="29" hidden="1" spans="2:81">
      <c r="B29" s="258" t="s">
        <v>203</v>
      </c>
      <c r="C29" s="259" t="s">
        <v>196</v>
      </c>
      <c r="H29" s="8">
        <v>388</v>
      </c>
      <c r="I29" s="261"/>
      <c r="J29" s="261"/>
      <c r="K29" s="261"/>
      <c r="L29" s="261"/>
      <c r="M29" s="261"/>
      <c r="N29" s="261"/>
      <c r="O29" s="261"/>
      <c r="P29" s="261"/>
      <c r="Q29" s="261"/>
      <c r="R29" s="261"/>
      <c r="S29" s="261">
        <v>0.51672</v>
      </c>
      <c r="T29" s="261"/>
      <c r="V29" s="8">
        <v>388</v>
      </c>
      <c r="W29" s="261"/>
      <c r="X29" s="261"/>
      <c r="Y29" s="261"/>
      <c r="Z29" s="261"/>
      <c r="AA29" s="261"/>
      <c r="AB29" s="261"/>
      <c r="AC29" s="261"/>
      <c r="AD29" s="261"/>
      <c r="AF29" s="8">
        <v>388</v>
      </c>
      <c r="AG29" s="261"/>
      <c r="AH29" s="261"/>
      <c r="AI29" s="261"/>
      <c r="AJ29" s="261"/>
      <c r="AK29" s="261"/>
      <c r="AL29" s="261"/>
      <c r="AM29" s="261"/>
      <c r="AO29" s="12">
        <v>388</v>
      </c>
      <c r="AP29" s="264"/>
      <c r="AQ29" s="264"/>
      <c r="AR29" s="264">
        <v>0.00701933936968049</v>
      </c>
      <c r="AS29" s="264"/>
      <c r="AT29" s="264"/>
      <c r="AU29" s="264"/>
      <c r="AV29" s="264"/>
      <c r="AW29" s="264"/>
      <c r="AX29" s="264"/>
      <c r="AZ29" s="260">
        <v>420</v>
      </c>
      <c r="BA29" s="267">
        <v>20.995</v>
      </c>
      <c r="BB29" s="267">
        <v>93.4318</v>
      </c>
      <c r="BC29" s="268"/>
      <c r="BD29" s="269"/>
      <c r="BE29" s="269"/>
      <c r="BF29" s="269"/>
      <c r="BG29" s="269">
        <v>1</v>
      </c>
      <c r="BH29" s="269"/>
      <c r="BI29" s="262">
        <v>420</v>
      </c>
      <c r="BJ29" s="270"/>
      <c r="BK29" s="270"/>
      <c r="BL29" s="270"/>
      <c r="BM29" s="270"/>
      <c r="BN29" s="270"/>
      <c r="BO29" s="270"/>
      <c r="BP29" s="272">
        <f>Inputs!B32</f>
        <v>388</v>
      </c>
      <c r="BQ29" s="272">
        <f>IF(LEFT(Inputs!$C$11,6)="photon",10^Inputs!C32,Inputs!C32)</f>
        <v>0.0309772070207787</v>
      </c>
      <c r="BR29" s="272"/>
      <c r="BS29" s="272">
        <f>'Advanced Inputs'!I34</f>
        <v>388</v>
      </c>
      <c r="BT29" s="272">
        <f>IF('Advanced Inputs'!J$19="Photon system",10^'Advanced Inputs'!J34,'Advanced Inputs'!J34)</f>
        <v>0</v>
      </c>
      <c r="BV29" s="272">
        <v>388</v>
      </c>
      <c r="BW29" s="8">
        <v>11.6012</v>
      </c>
      <c r="BX29" s="8">
        <v>53.7137</v>
      </c>
      <c r="CC29" s="8">
        <v>1</v>
      </c>
    </row>
    <row r="30" ht="25.8" hidden="1" spans="2:81">
      <c r="B30" s="250"/>
      <c r="C30" s="259" t="s">
        <v>119</v>
      </c>
      <c r="H30" s="8">
        <v>389</v>
      </c>
      <c r="I30" s="261"/>
      <c r="J30" s="261"/>
      <c r="K30" s="261"/>
      <c r="L30" s="261"/>
      <c r="M30" s="261"/>
      <c r="N30" s="261"/>
      <c r="O30" s="261"/>
      <c r="P30" s="261"/>
      <c r="Q30" s="261"/>
      <c r="R30" s="261"/>
      <c r="S30" s="261">
        <v>0.48664</v>
      </c>
      <c r="T30" s="261"/>
      <c r="V30" s="8">
        <v>389</v>
      </c>
      <c r="W30" s="261"/>
      <c r="X30" s="261"/>
      <c r="Y30" s="261"/>
      <c r="Z30" s="261"/>
      <c r="AA30" s="261"/>
      <c r="AB30" s="261"/>
      <c r="AC30" s="261"/>
      <c r="AD30" s="261"/>
      <c r="AF30" s="8">
        <v>389</v>
      </c>
      <c r="AG30" s="261"/>
      <c r="AH30" s="261"/>
      <c r="AI30" s="261"/>
      <c r="AJ30" s="261"/>
      <c r="AK30" s="261"/>
      <c r="AL30" s="261"/>
      <c r="AM30" s="261"/>
      <c r="AO30" s="12">
        <v>389</v>
      </c>
      <c r="AP30" s="264"/>
      <c r="AQ30" s="264"/>
      <c r="AR30" s="264">
        <v>0.00825487810482809</v>
      </c>
      <c r="AS30" s="264"/>
      <c r="AT30" s="264"/>
      <c r="AU30" s="264"/>
      <c r="AV30" s="264"/>
      <c r="AW30" s="264"/>
      <c r="AX30" s="264"/>
      <c r="AZ30" s="260">
        <v>425</v>
      </c>
      <c r="BA30" s="267">
        <v>22.7883</v>
      </c>
      <c r="BB30" s="267">
        <v>90.057</v>
      </c>
      <c r="BC30" s="268"/>
      <c r="BD30" s="269"/>
      <c r="BE30" s="269"/>
      <c r="BF30" s="269"/>
      <c r="BG30" s="269">
        <v>1</v>
      </c>
      <c r="BH30" s="269"/>
      <c r="BI30" s="262">
        <v>425</v>
      </c>
      <c r="BJ30" s="270"/>
      <c r="BK30" s="270"/>
      <c r="BL30" s="270"/>
      <c r="BM30" s="270"/>
      <c r="BN30" s="270"/>
      <c r="BO30" s="270"/>
      <c r="BP30" s="272">
        <f>Inputs!B33</f>
        <v>389</v>
      </c>
      <c r="BQ30" s="272">
        <f>IF(LEFT(Inputs!$C$11,6)="photon",10^Inputs!C33,Inputs!C33)</f>
        <v>0.0225690513313133</v>
      </c>
      <c r="BR30" s="272"/>
      <c r="BS30" s="272">
        <f>'Advanced Inputs'!I35</f>
        <v>389</v>
      </c>
      <c r="BT30" s="272">
        <f>IF('Advanced Inputs'!J$19="Photon system",10^'Advanced Inputs'!J35,'Advanced Inputs'!J35)</f>
        <v>0</v>
      </c>
      <c r="BV30" s="272">
        <v>389</v>
      </c>
      <c r="BW30" s="8">
        <v>11.8416</v>
      </c>
      <c r="BX30" s="8">
        <v>54.1809</v>
      </c>
      <c r="CC30" s="8">
        <v>1</v>
      </c>
    </row>
    <row r="31" ht="25.8" hidden="1" spans="2:81">
      <c r="B31" s="250"/>
      <c r="C31" s="259" t="s">
        <v>157</v>
      </c>
      <c r="H31" s="8">
        <v>390</v>
      </c>
      <c r="I31" s="261"/>
      <c r="J31" s="261"/>
      <c r="K31" s="261"/>
      <c r="L31" s="261"/>
      <c r="M31" s="261"/>
      <c r="N31" s="261"/>
      <c r="O31" s="261"/>
      <c r="P31" s="261"/>
      <c r="Q31" s="261"/>
      <c r="R31" s="261"/>
      <c r="S31" s="261">
        <v>0.46</v>
      </c>
      <c r="T31" s="261"/>
      <c r="V31" s="8">
        <v>390</v>
      </c>
      <c r="W31" s="261"/>
      <c r="X31" s="261"/>
      <c r="Y31" s="261"/>
      <c r="Z31" s="261"/>
      <c r="AA31" s="261"/>
      <c r="AB31" s="261"/>
      <c r="AC31" s="261"/>
      <c r="AD31" s="261"/>
      <c r="AF31" s="8">
        <v>390</v>
      </c>
      <c r="AG31" s="261"/>
      <c r="AH31" s="261"/>
      <c r="AI31" s="261"/>
      <c r="AJ31" s="261"/>
      <c r="AK31" s="261"/>
      <c r="AL31" s="261"/>
      <c r="AM31" s="261"/>
      <c r="AO31" s="12">
        <v>390</v>
      </c>
      <c r="AP31" s="264"/>
      <c r="AQ31" s="264"/>
      <c r="AR31" s="264">
        <v>0.00970789397903953</v>
      </c>
      <c r="AS31" s="264"/>
      <c r="AT31" s="264"/>
      <c r="AU31" s="264"/>
      <c r="AV31" s="264"/>
      <c r="AW31" s="264"/>
      <c r="AX31" s="264"/>
      <c r="AZ31" s="260">
        <v>430</v>
      </c>
      <c r="BA31" s="267">
        <v>24.6709</v>
      </c>
      <c r="BB31" s="267">
        <v>86.6823</v>
      </c>
      <c r="BC31" s="268"/>
      <c r="BD31" s="269"/>
      <c r="BE31" s="269"/>
      <c r="BF31" s="269"/>
      <c r="BG31" s="269">
        <v>1</v>
      </c>
      <c r="BH31" s="269"/>
      <c r="BI31" s="262">
        <v>430</v>
      </c>
      <c r="BJ31" s="270"/>
      <c r="BK31" s="270"/>
      <c r="BL31" s="270"/>
      <c r="BM31" s="270"/>
      <c r="BN31" s="270"/>
      <c r="BO31" s="270"/>
      <c r="BP31" s="272">
        <f>Inputs!B34</f>
        <v>390</v>
      </c>
      <c r="BQ31" s="272">
        <f>IF(LEFT(Inputs!$C$11,6)="photon",10^Inputs!C34,Inputs!C34)</f>
        <v>0.0322075795636772</v>
      </c>
      <c r="BR31" s="272"/>
      <c r="BS31" s="272">
        <f>'Advanced Inputs'!I36</f>
        <v>390</v>
      </c>
      <c r="BT31" s="272">
        <f>IF('Advanced Inputs'!J$19="Photon system",10^'Advanced Inputs'!J36,'Advanced Inputs'!J36)</f>
        <v>0</v>
      </c>
      <c r="BV31" s="272">
        <v>390</v>
      </c>
      <c r="BW31" s="8">
        <v>12.0853</v>
      </c>
      <c r="BX31" s="8">
        <v>54.6482</v>
      </c>
      <c r="CC31" s="8">
        <v>1</v>
      </c>
    </row>
    <row r="32" ht="25.8" hidden="1" spans="2:81">
      <c r="B32" s="250"/>
      <c r="C32" s="259" t="s">
        <v>158</v>
      </c>
      <c r="H32" s="8">
        <v>391</v>
      </c>
      <c r="I32" s="261"/>
      <c r="J32" s="261"/>
      <c r="K32" s="261"/>
      <c r="L32" s="261"/>
      <c r="M32" s="261"/>
      <c r="N32" s="261"/>
      <c r="O32" s="261"/>
      <c r="P32" s="261"/>
      <c r="Q32" s="261"/>
      <c r="R32" s="261"/>
      <c r="S32" s="261">
        <v>0.430521234567901</v>
      </c>
      <c r="T32" s="261"/>
      <c r="V32" s="8">
        <v>391</v>
      </c>
      <c r="W32" s="261"/>
      <c r="X32" s="261"/>
      <c r="Y32" s="261"/>
      <c r="Z32" s="261"/>
      <c r="AA32" s="261"/>
      <c r="AB32" s="261"/>
      <c r="AC32" s="261"/>
      <c r="AD32" s="261"/>
      <c r="AF32" s="8">
        <v>391</v>
      </c>
      <c r="AG32" s="261"/>
      <c r="AH32" s="261"/>
      <c r="AI32" s="261"/>
      <c r="AJ32" s="261"/>
      <c r="AK32" s="261"/>
      <c r="AL32" s="261"/>
      <c r="AM32" s="261"/>
      <c r="AO32" s="12">
        <v>391</v>
      </c>
      <c r="AP32" s="264"/>
      <c r="AQ32" s="264"/>
      <c r="AR32" s="264">
        <v>0.0114166663454974</v>
      </c>
      <c r="AS32" s="264"/>
      <c r="AT32" s="264"/>
      <c r="AU32" s="264"/>
      <c r="AV32" s="264"/>
      <c r="AW32" s="264"/>
      <c r="AX32" s="264"/>
      <c r="AZ32" s="260">
        <v>435</v>
      </c>
      <c r="BA32" s="267">
        <v>26.6425</v>
      </c>
      <c r="BB32" s="267">
        <v>95.7736</v>
      </c>
      <c r="BC32" s="268"/>
      <c r="BD32" s="269"/>
      <c r="BE32" s="269"/>
      <c r="BF32" s="269"/>
      <c r="BG32" s="269">
        <v>1</v>
      </c>
      <c r="BH32" s="269"/>
      <c r="BI32" s="262">
        <v>435</v>
      </c>
      <c r="BJ32" s="270"/>
      <c r="BK32" s="270"/>
      <c r="BL32" s="270"/>
      <c r="BM32" s="270"/>
      <c r="BN32" s="270"/>
      <c r="BO32" s="270"/>
      <c r="BP32" s="272">
        <f>Inputs!B35</f>
        <v>391</v>
      </c>
      <c r="BQ32" s="272">
        <f>IF(LEFT(Inputs!$C$11,6)="photon",10^Inputs!C35,Inputs!C35)</f>
        <v>0.0261308968422007</v>
      </c>
      <c r="BR32" s="272"/>
      <c r="BS32" s="272">
        <f>'Advanced Inputs'!I37</f>
        <v>391</v>
      </c>
      <c r="BT32" s="272">
        <f>IF('Advanced Inputs'!J$19="Photon system",10^'Advanced Inputs'!J37,'Advanced Inputs'!J37)</f>
        <v>0</v>
      </c>
      <c r="BV32" s="272">
        <v>391</v>
      </c>
      <c r="BW32" s="8">
        <v>12.3324</v>
      </c>
      <c r="BX32" s="8">
        <v>57.4589</v>
      </c>
      <c r="CC32" s="8">
        <v>1</v>
      </c>
    </row>
    <row r="33" hidden="1" spans="3:81">
      <c r="C33" s="259" t="s">
        <v>159</v>
      </c>
      <c r="H33" s="8">
        <v>392</v>
      </c>
      <c r="I33" s="261"/>
      <c r="J33" s="261"/>
      <c r="K33" s="261"/>
      <c r="L33" s="261"/>
      <c r="M33" s="261"/>
      <c r="N33" s="261"/>
      <c r="O33" s="261"/>
      <c r="P33" s="261"/>
      <c r="Q33" s="261"/>
      <c r="R33" s="261"/>
      <c r="S33" s="261">
        <v>0.405512160493827</v>
      </c>
      <c r="T33" s="261"/>
      <c r="V33" s="8">
        <v>392</v>
      </c>
      <c r="W33" s="261"/>
      <c r="X33" s="261"/>
      <c r="Y33" s="261"/>
      <c r="Z33" s="261"/>
      <c r="AA33" s="261"/>
      <c r="AB33" s="261"/>
      <c r="AC33" s="261"/>
      <c r="AD33" s="261"/>
      <c r="AF33" s="8">
        <v>392</v>
      </c>
      <c r="AG33" s="261"/>
      <c r="AH33" s="261"/>
      <c r="AI33" s="261"/>
      <c r="AJ33" s="261"/>
      <c r="AK33" s="261"/>
      <c r="AL33" s="261"/>
      <c r="AM33" s="261"/>
      <c r="AO33" s="12">
        <v>392</v>
      </c>
      <c r="AP33" s="264"/>
      <c r="AQ33" s="264"/>
      <c r="AR33" s="264">
        <v>0.0134262121063518</v>
      </c>
      <c r="AS33" s="264"/>
      <c r="AT33" s="264"/>
      <c r="AU33" s="264"/>
      <c r="AV33" s="264"/>
      <c r="AW33" s="264"/>
      <c r="AX33" s="264"/>
      <c r="AZ33" s="260">
        <v>440</v>
      </c>
      <c r="BA33" s="267">
        <v>28.7027</v>
      </c>
      <c r="BB33" s="269">
        <v>104.865</v>
      </c>
      <c r="BC33" s="268"/>
      <c r="BD33" s="269"/>
      <c r="BE33" s="269"/>
      <c r="BF33" s="269"/>
      <c r="BG33" s="269">
        <v>1</v>
      </c>
      <c r="BH33" s="269"/>
      <c r="BI33" s="262">
        <v>440</v>
      </c>
      <c r="BJ33" s="270"/>
      <c r="BK33" s="270"/>
      <c r="BL33" s="270"/>
      <c r="BM33" s="270"/>
      <c r="BN33" s="270"/>
      <c r="BO33" s="270"/>
      <c r="BP33" s="272">
        <f>Inputs!B36</f>
        <v>392</v>
      </c>
      <c r="BQ33" s="272">
        <f>IF(LEFT(Inputs!$C$11,6)="photon",10^Inputs!C36,Inputs!C36)</f>
        <v>0.0179495010911011</v>
      </c>
      <c r="BR33" s="272"/>
      <c r="BS33" s="272">
        <f>'Advanced Inputs'!I38</f>
        <v>392</v>
      </c>
      <c r="BT33" s="272">
        <f>IF('Advanced Inputs'!J$19="Photon system",10^'Advanced Inputs'!J38,'Advanced Inputs'!J38)</f>
        <v>0</v>
      </c>
      <c r="BV33" s="272">
        <v>392</v>
      </c>
      <c r="BW33" s="8">
        <v>12.5828</v>
      </c>
      <c r="BX33" s="8">
        <v>60.2695</v>
      </c>
      <c r="CC33" s="8">
        <v>1</v>
      </c>
    </row>
    <row r="34" ht="25.8" hidden="1" spans="2:81">
      <c r="B34" s="250"/>
      <c r="C34" s="259" t="s">
        <v>160</v>
      </c>
      <c r="H34" s="8">
        <v>393</v>
      </c>
      <c r="I34" s="261"/>
      <c r="J34" s="261"/>
      <c r="K34" s="261"/>
      <c r="L34" s="261"/>
      <c r="M34" s="261"/>
      <c r="N34" s="261"/>
      <c r="O34" s="261"/>
      <c r="P34" s="261"/>
      <c r="Q34" s="261"/>
      <c r="R34" s="261"/>
      <c r="S34" s="261">
        <v>0.386242469135803</v>
      </c>
      <c r="T34" s="261"/>
      <c r="V34" s="8">
        <v>393</v>
      </c>
      <c r="W34" s="261"/>
      <c r="X34" s="261"/>
      <c r="Y34" s="261"/>
      <c r="Z34" s="261"/>
      <c r="AA34" s="261"/>
      <c r="AB34" s="261"/>
      <c r="AC34" s="261"/>
      <c r="AD34" s="261"/>
      <c r="AF34" s="8">
        <v>393</v>
      </c>
      <c r="AG34" s="261"/>
      <c r="AH34" s="261"/>
      <c r="AI34" s="261"/>
      <c r="AJ34" s="261"/>
      <c r="AK34" s="261"/>
      <c r="AL34" s="261"/>
      <c r="AM34" s="261"/>
      <c r="AO34" s="12">
        <v>393</v>
      </c>
      <c r="AP34" s="264"/>
      <c r="AQ34" s="264"/>
      <c r="AR34" s="264">
        <v>0.0157894715076899</v>
      </c>
      <c r="AS34" s="264"/>
      <c r="AT34" s="264"/>
      <c r="AU34" s="264"/>
      <c r="AV34" s="264"/>
      <c r="AW34" s="264"/>
      <c r="AX34" s="264"/>
      <c r="AZ34" s="260">
        <v>445</v>
      </c>
      <c r="BA34" s="267">
        <v>30.8508</v>
      </c>
      <c r="BB34" s="269">
        <v>110.936</v>
      </c>
      <c r="BC34" s="268"/>
      <c r="BD34" s="269"/>
      <c r="BE34" s="269"/>
      <c r="BF34" s="269"/>
      <c r="BG34" s="269">
        <v>1</v>
      </c>
      <c r="BH34" s="269"/>
      <c r="BI34" s="262">
        <v>445</v>
      </c>
      <c r="BJ34" s="270"/>
      <c r="BK34" s="270"/>
      <c r="BL34" s="270"/>
      <c r="BM34" s="270"/>
      <c r="BN34" s="270"/>
      <c r="BO34" s="270"/>
      <c r="BP34" s="272">
        <f>Inputs!B37</f>
        <v>393</v>
      </c>
      <c r="BQ34" s="272">
        <f>IF(LEFT(Inputs!$C$11,6)="photon",10^Inputs!C37,Inputs!C37)</f>
        <v>0.0155749374171762</v>
      </c>
      <c r="BR34" s="272"/>
      <c r="BS34" s="272">
        <f>'Advanced Inputs'!I39</f>
        <v>393</v>
      </c>
      <c r="BT34" s="272">
        <f>IF('Advanced Inputs'!J$19="Photon system",10^'Advanced Inputs'!J39,'Advanced Inputs'!J39)</f>
        <v>0</v>
      </c>
      <c r="BV34" s="272">
        <v>393</v>
      </c>
      <c r="BW34" s="8">
        <v>12.8366</v>
      </c>
      <c r="BX34" s="8">
        <v>63.0802</v>
      </c>
      <c r="CC34" s="8">
        <v>1</v>
      </c>
    </row>
    <row r="35" ht="25.8" hidden="1" spans="2:81">
      <c r="B35" s="250"/>
      <c r="C35" s="259" t="s">
        <v>161</v>
      </c>
      <c r="H35" s="8">
        <v>394</v>
      </c>
      <c r="I35" s="261"/>
      <c r="J35" s="261"/>
      <c r="K35" s="261"/>
      <c r="L35" s="261"/>
      <c r="M35" s="261"/>
      <c r="N35" s="261"/>
      <c r="O35" s="261"/>
      <c r="P35" s="261"/>
      <c r="Q35" s="261"/>
      <c r="R35" s="261"/>
      <c r="S35" s="261">
        <v>0.373981851851852</v>
      </c>
      <c r="T35" s="261"/>
      <c r="V35" s="8">
        <v>394</v>
      </c>
      <c r="W35" s="261"/>
      <c r="X35" s="261"/>
      <c r="Y35" s="261"/>
      <c r="Z35" s="261"/>
      <c r="AA35" s="261"/>
      <c r="AB35" s="261"/>
      <c r="AC35" s="261"/>
      <c r="AD35" s="261"/>
      <c r="AF35" s="8">
        <v>394</v>
      </c>
      <c r="AG35" s="261"/>
      <c r="AH35" s="261"/>
      <c r="AI35" s="261"/>
      <c r="AJ35" s="261"/>
      <c r="AK35" s="261"/>
      <c r="AL35" s="261"/>
      <c r="AM35" s="261"/>
      <c r="AO35" s="12">
        <v>394</v>
      </c>
      <c r="AP35" s="264"/>
      <c r="AQ35" s="264"/>
      <c r="AR35" s="264">
        <v>0.0185687026009847</v>
      </c>
      <c r="AS35" s="264"/>
      <c r="AT35" s="264"/>
      <c r="AU35" s="264"/>
      <c r="AV35" s="264"/>
      <c r="AW35" s="264"/>
      <c r="AX35" s="264"/>
      <c r="AZ35" s="260">
        <v>450</v>
      </c>
      <c r="BA35" s="267">
        <v>33.0859</v>
      </c>
      <c r="BB35" s="269">
        <v>117.008</v>
      </c>
      <c r="BC35" s="268"/>
      <c r="BD35" s="269"/>
      <c r="BE35" s="269"/>
      <c r="BF35" s="269"/>
      <c r="BG35" s="269">
        <v>1</v>
      </c>
      <c r="BH35" s="269"/>
      <c r="BI35" s="262">
        <v>450</v>
      </c>
      <c r="BJ35" s="270"/>
      <c r="BK35" s="270"/>
      <c r="BL35" s="270"/>
      <c r="BM35" s="270"/>
      <c r="BN35" s="270"/>
      <c r="BO35" s="270"/>
      <c r="BP35" s="272">
        <f>Inputs!B38</f>
        <v>394</v>
      </c>
      <c r="BQ35" s="272">
        <f>IF(LEFT(Inputs!$C$11,6)="photon",10^Inputs!C38,Inputs!C38)</f>
        <v>0.0218566822291358</v>
      </c>
      <c r="BR35" s="272"/>
      <c r="BS35" s="272">
        <f>'Advanced Inputs'!I40</f>
        <v>394</v>
      </c>
      <c r="BT35" s="272">
        <f>IF('Advanced Inputs'!J$19="Photon system",10^'Advanced Inputs'!J40,'Advanced Inputs'!J40)</f>
        <v>0</v>
      </c>
      <c r="BV35" s="272">
        <v>394</v>
      </c>
      <c r="BW35" s="8">
        <v>13.0938</v>
      </c>
      <c r="BX35" s="8">
        <v>65.8909</v>
      </c>
      <c r="CC35" s="8">
        <v>1</v>
      </c>
    </row>
    <row r="36" hidden="1" spans="2:81">
      <c r="B36" s="7"/>
      <c r="C36" s="259" t="s">
        <v>162</v>
      </c>
      <c r="H36" s="8">
        <v>395</v>
      </c>
      <c r="I36" s="261"/>
      <c r="J36" s="261"/>
      <c r="K36" s="261"/>
      <c r="L36" s="261"/>
      <c r="M36" s="261"/>
      <c r="N36" s="261"/>
      <c r="O36" s="261"/>
      <c r="P36" s="261"/>
      <c r="Q36" s="261"/>
      <c r="R36" s="261"/>
      <c r="S36" s="261">
        <v>0.37</v>
      </c>
      <c r="T36" s="261"/>
      <c r="V36" s="8">
        <v>395</v>
      </c>
      <c r="W36" s="261"/>
      <c r="X36" s="261"/>
      <c r="Y36" s="261"/>
      <c r="Z36" s="261"/>
      <c r="AA36" s="261"/>
      <c r="AB36" s="261"/>
      <c r="AC36" s="261"/>
      <c r="AD36" s="261"/>
      <c r="AF36" s="8">
        <v>395</v>
      </c>
      <c r="AG36" s="261"/>
      <c r="AH36" s="261"/>
      <c r="AI36" s="261"/>
      <c r="AJ36" s="261"/>
      <c r="AK36" s="261"/>
      <c r="AL36" s="261"/>
      <c r="AM36" s="261"/>
      <c r="AO36" s="12">
        <v>395</v>
      </c>
      <c r="AP36" s="264"/>
      <c r="AQ36" s="264"/>
      <c r="AR36" s="264">
        <v>0.021837121078549</v>
      </c>
      <c r="AS36" s="264"/>
      <c r="AT36" s="264"/>
      <c r="AU36" s="264"/>
      <c r="AV36" s="264"/>
      <c r="AW36" s="264"/>
      <c r="AX36" s="264"/>
      <c r="AZ36" s="260">
        <v>455</v>
      </c>
      <c r="BA36" s="267">
        <v>35.4068</v>
      </c>
      <c r="BB36" s="269">
        <v>117.41</v>
      </c>
      <c r="BC36" s="268"/>
      <c r="BD36" s="269"/>
      <c r="BE36" s="269"/>
      <c r="BF36" s="269"/>
      <c r="BG36" s="269">
        <v>1</v>
      </c>
      <c r="BH36" s="269"/>
      <c r="BI36" s="262">
        <v>455</v>
      </c>
      <c r="BJ36" s="270"/>
      <c r="BK36" s="270"/>
      <c r="BL36" s="270"/>
      <c r="BM36" s="270"/>
      <c r="BN36" s="270"/>
      <c r="BO36" s="270"/>
      <c r="BP36" s="272">
        <f>Inputs!B39</f>
        <v>395</v>
      </c>
      <c r="BQ36" s="272">
        <f>IF(LEFT(Inputs!$C$11,6)="photon",10^Inputs!C39,Inputs!C39)</f>
        <v>0.0243391251628156</v>
      </c>
      <c r="BR36" s="272"/>
      <c r="BS36" s="272">
        <f>'Advanced Inputs'!I41</f>
        <v>395</v>
      </c>
      <c r="BT36" s="272">
        <f>IF('Advanced Inputs'!J$19="Photon system",10^'Advanced Inputs'!J41,'Advanced Inputs'!J41)</f>
        <v>0</v>
      </c>
      <c r="BV36" s="272">
        <v>395</v>
      </c>
      <c r="BW36" s="8">
        <v>13.3543</v>
      </c>
      <c r="BX36" s="8">
        <v>68.7015</v>
      </c>
      <c r="CC36" s="8">
        <v>1</v>
      </c>
    </row>
    <row r="37" hidden="1" spans="2:81">
      <c r="B37" s="7"/>
      <c r="C37" s="259" t="s">
        <v>163</v>
      </c>
      <c r="H37" s="8">
        <v>396</v>
      </c>
      <c r="I37" s="261"/>
      <c r="J37" s="261"/>
      <c r="K37" s="261"/>
      <c r="L37" s="261"/>
      <c r="M37" s="261"/>
      <c r="N37" s="261"/>
      <c r="O37" s="261"/>
      <c r="P37" s="261"/>
      <c r="Q37" s="261"/>
      <c r="R37" s="261"/>
      <c r="S37" s="261">
        <v>0.383910308641975</v>
      </c>
      <c r="T37" s="261"/>
      <c r="V37" s="8">
        <v>396</v>
      </c>
      <c r="W37" s="261"/>
      <c r="X37" s="261"/>
      <c r="Y37" s="261"/>
      <c r="Z37" s="261"/>
      <c r="AA37" s="261"/>
      <c r="AB37" s="261"/>
      <c r="AC37" s="261"/>
      <c r="AD37" s="261"/>
      <c r="AF37" s="8">
        <v>396</v>
      </c>
      <c r="AG37" s="261"/>
      <c r="AH37" s="261"/>
      <c r="AI37" s="261"/>
      <c r="AJ37" s="261"/>
      <c r="AK37" s="261"/>
      <c r="AL37" s="261"/>
      <c r="AM37" s="261"/>
      <c r="AO37" s="12">
        <v>396</v>
      </c>
      <c r="AP37" s="264"/>
      <c r="AQ37" s="264"/>
      <c r="AR37" s="264">
        <v>0.0256808286433726</v>
      </c>
      <c r="AS37" s="264"/>
      <c r="AT37" s="264"/>
      <c r="AU37" s="264"/>
      <c r="AV37" s="264"/>
      <c r="AW37" s="264"/>
      <c r="AX37" s="264"/>
      <c r="AZ37" s="260">
        <v>460</v>
      </c>
      <c r="BA37" s="267">
        <v>37.8121</v>
      </c>
      <c r="BB37" s="269">
        <v>117.812</v>
      </c>
      <c r="BC37" s="268"/>
      <c r="BD37" s="269"/>
      <c r="BE37" s="269"/>
      <c r="BF37" s="269"/>
      <c r="BG37" s="269">
        <v>1</v>
      </c>
      <c r="BH37" s="269"/>
      <c r="BI37" s="262">
        <v>460</v>
      </c>
      <c r="BJ37" s="270"/>
      <c r="BK37" s="270"/>
      <c r="BL37" s="270"/>
      <c r="BM37" s="270"/>
      <c r="BN37" s="270"/>
      <c r="BO37" s="270"/>
      <c r="BP37" s="272">
        <f>Inputs!B40</f>
        <v>396</v>
      </c>
      <c r="BQ37" s="272">
        <f>IF(LEFT(Inputs!$C$11,6)="photon",10^Inputs!C40,Inputs!C40)</f>
        <v>0.0334055578296662</v>
      </c>
      <c r="BR37" s="272"/>
      <c r="BS37" s="272">
        <f>'Advanced Inputs'!I42</f>
        <v>396</v>
      </c>
      <c r="BT37" s="272">
        <f>IF('Advanced Inputs'!J$19="Photon system",10^'Advanced Inputs'!J42,'Advanced Inputs'!J42)</f>
        <v>0</v>
      </c>
      <c r="BV37" s="272">
        <v>396</v>
      </c>
      <c r="BW37" s="8">
        <v>13.6182</v>
      </c>
      <c r="BX37" s="8">
        <v>71.5122</v>
      </c>
      <c r="CC37" s="8">
        <v>1</v>
      </c>
    </row>
    <row r="38" hidden="1" spans="2:81">
      <c r="B38" s="7"/>
      <c r="C38" s="259" t="s">
        <v>164</v>
      </c>
      <c r="H38" s="8">
        <v>397</v>
      </c>
      <c r="I38" s="261"/>
      <c r="J38" s="261"/>
      <c r="K38" s="261"/>
      <c r="L38" s="261"/>
      <c r="M38" s="261"/>
      <c r="N38" s="261"/>
      <c r="O38" s="261"/>
      <c r="P38" s="261"/>
      <c r="Q38" s="261"/>
      <c r="R38" s="261"/>
      <c r="S38" s="261">
        <v>0.406552839506173</v>
      </c>
      <c r="T38" s="261"/>
      <c r="V38" s="8">
        <v>397</v>
      </c>
      <c r="W38" s="261"/>
      <c r="X38" s="261"/>
      <c r="Y38" s="261"/>
      <c r="Z38" s="261"/>
      <c r="AA38" s="261"/>
      <c r="AB38" s="261"/>
      <c r="AC38" s="261"/>
      <c r="AD38" s="261"/>
      <c r="AF38" s="8">
        <v>397</v>
      </c>
      <c r="AG38" s="261"/>
      <c r="AH38" s="261"/>
      <c r="AI38" s="261"/>
      <c r="AJ38" s="261"/>
      <c r="AK38" s="261"/>
      <c r="AL38" s="261"/>
      <c r="AM38" s="261"/>
      <c r="AO38" s="12">
        <v>397</v>
      </c>
      <c r="AP38" s="264"/>
      <c r="AQ38" s="264"/>
      <c r="AR38" s="264">
        <v>0.0302010806591617</v>
      </c>
      <c r="AS38" s="264"/>
      <c r="AT38" s="264"/>
      <c r="AU38" s="264"/>
      <c r="AV38" s="264"/>
      <c r="AW38" s="264"/>
      <c r="AX38" s="264"/>
      <c r="AZ38" s="260">
        <v>465</v>
      </c>
      <c r="BA38" s="267">
        <v>40.3002</v>
      </c>
      <c r="BB38" s="269">
        <v>116.336</v>
      </c>
      <c r="BC38" s="268"/>
      <c r="BD38" s="269"/>
      <c r="BE38" s="269"/>
      <c r="BF38" s="269"/>
      <c r="BG38" s="269">
        <v>1</v>
      </c>
      <c r="BH38" s="269"/>
      <c r="BI38" s="262">
        <v>465</v>
      </c>
      <c r="BJ38" s="270"/>
      <c r="BK38" s="270"/>
      <c r="BL38" s="270"/>
      <c r="BM38" s="270"/>
      <c r="BN38" s="270"/>
      <c r="BO38" s="270"/>
      <c r="BP38" s="272">
        <f>Inputs!B41</f>
        <v>397</v>
      </c>
      <c r="BQ38" s="272">
        <f>IF(LEFT(Inputs!$C$11,6)="photon",10^Inputs!C41,Inputs!C41)</f>
        <v>0.0379603195160596</v>
      </c>
      <c r="BR38" s="272"/>
      <c r="BS38" s="272">
        <f>'Advanced Inputs'!I43</f>
        <v>397</v>
      </c>
      <c r="BT38" s="272">
        <f>IF('Advanced Inputs'!J$19="Photon system",10^'Advanced Inputs'!J43,'Advanced Inputs'!J43)</f>
        <v>0</v>
      </c>
      <c r="BV38" s="272">
        <v>397</v>
      </c>
      <c r="BW38" s="8">
        <v>13.8855</v>
      </c>
      <c r="BX38" s="8">
        <v>74.3229</v>
      </c>
      <c r="CC38" s="8">
        <v>1</v>
      </c>
    </row>
    <row r="39" hidden="1" spans="2:81">
      <c r="B39" s="7"/>
      <c r="C39" s="259" t="s">
        <v>165</v>
      </c>
      <c r="H39" s="8">
        <v>398</v>
      </c>
      <c r="I39" s="261"/>
      <c r="J39" s="261"/>
      <c r="K39" s="261"/>
      <c r="L39" s="261"/>
      <c r="M39" s="261"/>
      <c r="N39" s="261"/>
      <c r="O39" s="261"/>
      <c r="P39" s="261"/>
      <c r="Q39" s="261"/>
      <c r="R39" s="261"/>
      <c r="S39" s="261">
        <v>0.437111358024691</v>
      </c>
      <c r="T39" s="261"/>
      <c r="V39" s="8">
        <v>398</v>
      </c>
      <c r="W39" s="261"/>
      <c r="X39" s="261"/>
      <c r="Y39" s="261"/>
      <c r="Z39" s="261"/>
      <c r="AA39" s="261"/>
      <c r="AB39" s="261"/>
      <c r="AC39" s="261"/>
      <c r="AD39" s="261"/>
      <c r="AF39" s="8">
        <v>398</v>
      </c>
      <c r="AG39" s="261"/>
      <c r="AH39" s="261"/>
      <c r="AI39" s="261"/>
      <c r="AJ39" s="261"/>
      <c r="AK39" s="261"/>
      <c r="AL39" s="261"/>
      <c r="AM39" s="261"/>
      <c r="AO39" s="12">
        <v>398</v>
      </c>
      <c r="AP39" s="264"/>
      <c r="AQ39" s="264"/>
      <c r="AR39" s="264">
        <v>0.0355169527426004</v>
      </c>
      <c r="AS39" s="264"/>
      <c r="AT39" s="264"/>
      <c r="AU39" s="264"/>
      <c r="AV39" s="264"/>
      <c r="AW39" s="264"/>
      <c r="AX39" s="264"/>
      <c r="AZ39" s="260">
        <v>470</v>
      </c>
      <c r="BA39" s="267">
        <v>42.8693</v>
      </c>
      <c r="BB39" s="269">
        <v>114.861</v>
      </c>
      <c r="BC39" s="268"/>
      <c r="BD39" s="269"/>
      <c r="BE39" s="269"/>
      <c r="BF39" s="269"/>
      <c r="BG39" s="269">
        <v>1</v>
      </c>
      <c r="BH39" s="269"/>
      <c r="BI39" s="262">
        <v>470</v>
      </c>
      <c r="BJ39" s="270"/>
      <c r="BK39" s="270"/>
      <c r="BL39" s="270"/>
      <c r="BM39" s="270"/>
      <c r="BN39" s="270"/>
      <c r="BO39" s="270"/>
      <c r="BP39" s="272">
        <f>Inputs!B42</f>
        <v>398</v>
      </c>
      <c r="BQ39" s="272">
        <f>IF(LEFT(Inputs!$C$11,6)="photon",10^Inputs!C42,Inputs!C42)</f>
        <v>0.0403455796190111</v>
      </c>
      <c r="BR39" s="272"/>
      <c r="BS39" s="272">
        <f>'Advanced Inputs'!I44</f>
        <v>398</v>
      </c>
      <c r="BT39" s="272">
        <f>IF('Advanced Inputs'!J$19="Photon system",10^'Advanced Inputs'!J44,'Advanced Inputs'!J44)</f>
        <v>0</v>
      </c>
      <c r="BV39" s="272">
        <v>398</v>
      </c>
      <c r="BW39" s="8">
        <v>14.1563</v>
      </c>
      <c r="BX39" s="8">
        <v>77.1336</v>
      </c>
      <c r="CC39" s="8">
        <v>1</v>
      </c>
    </row>
    <row r="40" hidden="1" spans="2:81">
      <c r="B40" s="7"/>
      <c r="C40" s="259" t="s">
        <v>166</v>
      </c>
      <c r="H40" s="8">
        <v>399</v>
      </c>
      <c r="I40" s="261"/>
      <c r="J40" s="261"/>
      <c r="K40" s="261"/>
      <c r="L40" s="261"/>
      <c r="M40" s="261"/>
      <c r="N40" s="261"/>
      <c r="O40" s="261"/>
      <c r="P40" s="261"/>
      <c r="Q40" s="261"/>
      <c r="R40" s="261"/>
      <c r="S40" s="261">
        <v>0.47476962962963</v>
      </c>
      <c r="T40" s="261"/>
      <c r="V40" s="8">
        <v>399</v>
      </c>
      <c r="W40" s="261"/>
      <c r="X40" s="261"/>
      <c r="Y40" s="261"/>
      <c r="Z40" s="261"/>
      <c r="AA40" s="261"/>
      <c r="AB40" s="261"/>
      <c r="AC40" s="261"/>
      <c r="AD40" s="261"/>
      <c r="AF40" s="8">
        <v>399</v>
      </c>
      <c r="AG40" s="261"/>
      <c r="AH40" s="261"/>
      <c r="AI40" s="261"/>
      <c r="AJ40" s="261"/>
      <c r="AK40" s="261"/>
      <c r="AL40" s="261"/>
      <c r="AM40" s="261"/>
      <c r="AO40" s="12">
        <v>399</v>
      </c>
      <c r="AP40" s="264"/>
      <c r="AQ40" s="264"/>
      <c r="AR40" s="264">
        <v>0.0417684764392764</v>
      </c>
      <c r="AS40" s="264"/>
      <c r="AT40" s="264"/>
      <c r="AU40" s="264"/>
      <c r="AV40" s="264"/>
      <c r="AW40" s="264"/>
      <c r="AX40" s="264"/>
      <c r="AZ40" s="260">
        <v>475</v>
      </c>
      <c r="BA40" s="267">
        <v>45.5174</v>
      </c>
      <c r="BB40" s="269">
        <v>115.392</v>
      </c>
      <c r="BC40" s="268"/>
      <c r="BD40" s="269"/>
      <c r="BE40" s="269"/>
      <c r="BF40" s="269"/>
      <c r="BG40" s="269">
        <v>1</v>
      </c>
      <c r="BH40" s="269"/>
      <c r="BI40" s="262">
        <v>475</v>
      </c>
      <c r="BJ40" s="270"/>
      <c r="BK40" s="270"/>
      <c r="BL40" s="270"/>
      <c r="BM40" s="270"/>
      <c r="BN40" s="270"/>
      <c r="BO40" s="270"/>
      <c r="BP40" s="272">
        <f>Inputs!B43</f>
        <v>399</v>
      </c>
      <c r="BQ40" s="272">
        <f>IF(LEFT(Inputs!$C$11,6)="photon",10^Inputs!C43,Inputs!C43)</f>
        <v>0.0539991682491645</v>
      </c>
      <c r="BR40" s="272"/>
      <c r="BS40" s="272">
        <f>'Advanced Inputs'!I45</f>
        <v>399</v>
      </c>
      <c r="BT40" s="272">
        <f>IF('Advanced Inputs'!J$19="Photon system",10^'Advanced Inputs'!J45,'Advanced Inputs'!J45)</f>
        <v>0</v>
      </c>
      <c r="BV40" s="272">
        <v>399</v>
      </c>
      <c r="BW40" s="8">
        <v>14.4304</v>
      </c>
      <c r="BX40" s="8">
        <v>79.9442</v>
      </c>
      <c r="CC40" s="8">
        <v>1</v>
      </c>
    </row>
    <row r="41" hidden="1" spans="2:81">
      <c r="B41" s="7"/>
      <c r="C41" s="259" t="s">
        <v>121</v>
      </c>
      <c r="H41" s="8">
        <v>400</v>
      </c>
      <c r="I41" s="261"/>
      <c r="J41" s="261"/>
      <c r="K41" s="261"/>
      <c r="L41" s="261"/>
      <c r="M41" s="261"/>
      <c r="N41" s="261"/>
      <c r="O41" s="261"/>
      <c r="P41" s="261"/>
      <c r="Q41" s="261"/>
      <c r="R41" s="261"/>
      <c r="S41" s="261">
        <v>0.518711419753667</v>
      </c>
      <c r="T41" s="261"/>
      <c r="V41" s="8">
        <v>400</v>
      </c>
      <c r="W41" s="261"/>
      <c r="X41" s="261"/>
      <c r="Y41" s="261"/>
      <c r="Z41" s="261"/>
      <c r="AA41" s="261"/>
      <c r="AB41" s="261"/>
      <c r="AC41" s="261"/>
      <c r="AD41" s="261"/>
      <c r="AF41" s="8">
        <v>400</v>
      </c>
      <c r="AG41" s="261"/>
      <c r="AH41" s="261"/>
      <c r="AI41" s="261"/>
      <c r="AJ41" s="261"/>
      <c r="AK41" s="261"/>
      <c r="AL41" s="261"/>
      <c r="AM41" s="261"/>
      <c r="AO41" s="12">
        <v>400</v>
      </c>
      <c r="AP41" s="264"/>
      <c r="AQ41" s="264"/>
      <c r="AR41" s="264">
        <v>0.0491203264402411</v>
      </c>
      <c r="AS41" s="264"/>
      <c r="AT41" s="264"/>
      <c r="AU41" s="264"/>
      <c r="AV41" s="264"/>
      <c r="AW41" s="264"/>
      <c r="AX41" s="264"/>
      <c r="AZ41" s="260">
        <v>480</v>
      </c>
      <c r="BA41" s="267">
        <v>48.2423</v>
      </c>
      <c r="BB41" s="269">
        <v>115.923</v>
      </c>
      <c r="BC41" s="268"/>
      <c r="BD41" s="269"/>
      <c r="BE41" s="269"/>
      <c r="BF41" s="269"/>
      <c r="BG41" s="269">
        <v>1</v>
      </c>
      <c r="BH41" s="269"/>
      <c r="BI41" s="262">
        <v>480</v>
      </c>
      <c r="BJ41" s="270"/>
      <c r="BK41" s="270"/>
      <c r="BL41" s="270"/>
      <c r="BM41" s="270"/>
      <c r="BN41" s="270"/>
      <c r="BO41" s="270"/>
      <c r="BP41" s="272">
        <f>Inputs!B44</f>
        <v>400</v>
      </c>
      <c r="BQ41" s="272">
        <f>IF(LEFT(Inputs!$C$11,6)="photon",10^Inputs!C44,Inputs!C44)</f>
        <v>0.0629360238083775</v>
      </c>
      <c r="BR41" s="272"/>
      <c r="BS41" s="272">
        <f>'Advanced Inputs'!I46</f>
        <v>400</v>
      </c>
      <c r="BT41" s="272">
        <f>IF('Advanced Inputs'!J$19="Photon system",10^'Advanced Inputs'!J46,'Advanced Inputs'!J46)</f>
        <v>0</v>
      </c>
      <c r="BV41" s="272">
        <v>400</v>
      </c>
      <c r="BW41" s="8">
        <v>14.708</v>
      </c>
      <c r="BX41" s="8">
        <v>82.7549</v>
      </c>
      <c r="CC41" s="8">
        <v>1</v>
      </c>
    </row>
    <row r="42" hidden="1" spans="2:81">
      <c r="B42" s="7"/>
      <c r="C42" s="259" t="s">
        <v>167</v>
      </c>
      <c r="H42" s="8">
        <v>401</v>
      </c>
      <c r="I42" s="261"/>
      <c r="J42" s="261"/>
      <c r="K42" s="261"/>
      <c r="L42" s="261"/>
      <c r="M42" s="261"/>
      <c r="N42" s="261"/>
      <c r="O42" s="261"/>
      <c r="P42" s="261"/>
      <c r="Q42" s="261"/>
      <c r="R42" s="261"/>
      <c r="S42" s="261">
        <v>0.564815234075294</v>
      </c>
      <c r="T42" s="261"/>
      <c r="V42" s="8">
        <v>401</v>
      </c>
      <c r="W42" s="261"/>
      <c r="X42" s="261"/>
      <c r="Y42" s="261"/>
      <c r="Z42" s="261"/>
      <c r="AA42" s="261"/>
      <c r="AB42" s="261"/>
      <c r="AC42" s="261"/>
      <c r="AD42" s="261"/>
      <c r="AF42" s="8">
        <v>401</v>
      </c>
      <c r="AG42" s="261"/>
      <c r="AH42" s="261"/>
      <c r="AI42" s="261"/>
      <c r="AJ42" s="261"/>
      <c r="AK42" s="261"/>
      <c r="AL42" s="261"/>
      <c r="AM42" s="261"/>
      <c r="AO42" s="12">
        <v>401</v>
      </c>
      <c r="AP42" s="264"/>
      <c r="AQ42" s="264"/>
      <c r="AR42" s="264">
        <v>0.0577661562676665</v>
      </c>
      <c r="AS42" s="264"/>
      <c r="AT42" s="264"/>
      <c r="AU42" s="264"/>
      <c r="AV42" s="264"/>
      <c r="AW42" s="264"/>
      <c r="AX42" s="264"/>
      <c r="AZ42" s="260">
        <v>485</v>
      </c>
      <c r="BA42" s="267">
        <v>51.0418</v>
      </c>
      <c r="BB42" s="269">
        <v>112.367</v>
      </c>
      <c r="BC42" s="268"/>
      <c r="BD42" s="269"/>
      <c r="BE42" s="269"/>
      <c r="BF42" s="269"/>
      <c r="BG42" s="269">
        <v>1</v>
      </c>
      <c r="BH42" s="269"/>
      <c r="BI42" s="262">
        <v>485</v>
      </c>
      <c r="BJ42" s="270"/>
      <c r="BK42" s="270"/>
      <c r="BL42" s="270"/>
      <c r="BM42" s="270"/>
      <c r="BN42" s="270"/>
      <c r="BO42" s="270"/>
      <c r="BP42" s="272">
        <f>Inputs!B45</f>
        <v>401</v>
      </c>
      <c r="BQ42" s="272">
        <f>IF(LEFT(Inputs!$C$11,6)="photon",10^Inputs!C45,Inputs!C45)</f>
        <v>0.0837300502875307</v>
      </c>
      <c r="BR42" s="272"/>
      <c r="BS42" s="272">
        <f>'Advanced Inputs'!I47</f>
        <v>401</v>
      </c>
      <c r="BT42" s="272">
        <f>IF('Advanced Inputs'!J$19="Photon system",10^'Advanced Inputs'!J47,'Advanced Inputs'!J47)</f>
        <v>0</v>
      </c>
      <c r="BV42" s="272">
        <v>401</v>
      </c>
      <c r="BW42" s="8">
        <v>14.9891</v>
      </c>
      <c r="BX42" s="8">
        <v>83.628</v>
      </c>
      <c r="CC42" s="8">
        <v>1</v>
      </c>
    </row>
    <row r="43" hidden="1" spans="2:81">
      <c r="B43" s="7"/>
      <c r="C43" s="259" t="s">
        <v>168</v>
      </c>
      <c r="H43" s="8">
        <v>402</v>
      </c>
      <c r="I43" s="261"/>
      <c r="J43" s="261"/>
      <c r="K43" s="261"/>
      <c r="L43" s="261"/>
      <c r="M43" s="261"/>
      <c r="N43" s="261"/>
      <c r="O43" s="261"/>
      <c r="P43" s="261"/>
      <c r="Q43" s="261"/>
      <c r="R43" s="261"/>
      <c r="S43" s="261">
        <v>0.618143610327883</v>
      </c>
      <c r="T43" s="261"/>
      <c r="V43" s="8">
        <v>402</v>
      </c>
      <c r="W43" s="261"/>
      <c r="X43" s="261"/>
      <c r="Y43" s="261"/>
      <c r="Z43" s="261"/>
      <c r="AA43" s="261"/>
      <c r="AB43" s="261"/>
      <c r="AC43" s="261"/>
      <c r="AD43" s="261"/>
      <c r="AF43" s="8">
        <v>402</v>
      </c>
      <c r="AG43" s="261"/>
      <c r="AH43" s="261"/>
      <c r="AI43" s="261"/>
      <c r="AJ43" s="261"/>
      <c r="AK43" s="261"/>
      <c r="AL43" s="261"/>
      <c r="AM43" s="261"/>
      <c r="AO43" s="12">
        <v>402</v>
      </c>
      <c r="AP43" s="264"/>
      <c r="AQ43" s="264"/>
      <c r="AR43" s="264">
        <v>0.0679336963605079</v>
      </c>
      <c r="AS43" s="264"/>
      <c r="AT43" s="264"/>
      <c r="AU43" s="264"/>
      <c r="AV43" s="264"/>
      <c r="AW43" s="264"/>
      <c r="AX43" s="264"/>
      <c r="AZ43" s="260">
        <v>490</v>
      </c>
      <c r="BA43" s="267">
        <v>53.9132</v>
      </c>
      <c r="BB43" s="269">
        <v>108.811</v>
      </c>
      <c r="BC43" s="268"/>
      <c r="BD43" s="269"/>
      <c r="BE43" s="269"/>
      <c r="BF43" s="269"/>
      <c r="BG43" s="269">
        <v>1</v>
      </c>
      <c r="BH43" s="269"/>
      <c r="BI43" s="262">
        <v>490</v>
      </c>
      <c r="BJ43" s="270"/>
      <c r="BK43" s="270"/>
      <c r="BL43" s="270"/>
      <c r="BM43" s="270"/>
      <c r="BN43" s="270"/>
      <c r="BO43" s="270"/>
      <c r="BP43" s="272">
        <f>Inputs!B46</f>
        <v>402</v>
      </c>
      <c r="BQ43" s="272">
        <f>IF(LEFT(Inputs!$C$11,6)="photon",10^Inputs!C46,Inputs!C46)</f>
        <v>0.113050808144931</v>
      </c>
      <c r="BR43" s="272"/>
      <c r="BS43" s="272">
        <f>'Advanced Inputs'!I48</f>
        <v>402</v>
      </c>
      <c r="BT43" s="272">
        <f>IF('Advanced Inputs'!J$19="Photon system",10^'Advanced Inputs'!J48,'Advanced Inputs'!J48)</f>
        <v>0</v>
      </c>
      <c r="BV43" s="272">
        <v>402</v>
      </c>
      <c r="BW43" s="8">
        <v>15.2736</v>
      </c>
      <c r="BX43" s="8">
        <v>84.5011</v>
      </c>
      <c r="CC43" s="8">
        <v>1</v>
      </c>
    </row>
    <row r="44" hidden="1" spans="2:81">
      <c r="B44" s="7"/>
      <c r="C44" s="259" t="s">
        <v>169</v>
      </c>
      <c r="H44" s="8">
        <v>403</v>
      </c>
      <c r="I44" s="261"/>
      <c r="J44" s="261"/>
      <c r="K44" s="261"/>
      <c r="L44" s="261"/>
      <c r="M44" s="261"/>
      <c r="N44" s="261"/>
      <c r="O44" s="261"/>
      <c r="P44" s="261"/>
      <c r="Q44" s="261"/>
      <c r="R44" s="261"/>
      <c r="S44" s="261">
        <v>1.38891350324676</v>
      </c>
      <c r="T44" s="261"/>
      <c r="V44" s="8">
        <v>403</v>
      </c>
      <c r="W44" s="261"/>
      <c r="X44" s="261"/>
      <c r="Y44" s="261"/>
      <c r="Z44" s="261"/>
      <c r="AA44" s="261"/>
      <c r="AB44" s="261"/>
      <c r="AC44" s="261"/>
      <c r="AD44" s="261"/>
      <c r="AF44" s="8">
        <v>403</v>
      </c>
      <c r="AG44" s="261"/>
      <c r="AH44" s="261"/>
      <c r="AI44" s="261"/>
      <c r="AJ44" s="261"/>
      <c r="AK44" s="261"/>
      <c r="AL44" s="261"/>
      <c r="AM44" s="261"/>
      <c r="AO44" s="12">
        <v>403</v>
      </c>
      <c r="AP44" s="264"/>
      <c r="AQ44" s="264"/>
      <c r="AR44" s="264">
        <v>0.0798907484637896</v>
      </c>
      <c r="AS44" s="264"/>
      <c r="AT44" s="264"/>
      <c r="AU44" s="264"/>
      <c r="AV44" s="264"/>
      <c r="AW44" s="264"/>
      <c r="AX44" s="264"/>
      <c r="AZ44" s="260">
        <v>495</v>
      </c>
      <c r="BA44" s="267">
        <v>56.8539</v>
      </c>
      <c r="BB44" s="269">
        <v>109.082</v>
      </c>
      <c r="BC44" s="268"/>
      <c r="BD44" s="269"/>
      <c r="BE44" s="269"/>
      <c r="BF44" s="269"/>
      <c r="BG44" s="269">
        <v>1</v>
      </c>
      <c r="BH44" s="269"/>
      <c r="BI44" s="262">
        <v>495</v>
      </c>
      <c r="BJ44" s="270"/>
      <c r="BK44" s="270"/>
      <c r="BL44" s="270"/>
      <c r="BM44" s="270"/>
      <c r="BN44" s="270"/>
      <c r="BO44" s="270"/>
      <c r="BP44" s="272">
        <f>Inputs!B47</f>
        <v>403</v>
      </c>
      <c r="BQ44" s="272">
        <f>IF(LEFT(Inputs!$C$11,6)="photon",10^Inputs!C47,Inputs!C47)</f>
        <v>0.139859970455199</v>
      </c>
      <c r="BR44" s="272"/>
      <c r="BS44" s="272">
        <f>'Advanced Inputs'!I49</f>
        <v>403</v>
      </c>
      <c r="BT44" s="272">
        <f>IF('Advanced Inputs'!J$19="Photon system",10^'Advanced Inputs'!J49,'Advanced Inputs'!J49)</f>
        <v>0</v>
      </c>
      <c r="BV44" s="272">
        <v>403</v>
      </c>
      <c r="BW44" s="8">
        <v>15.5616</v>
      </c>
      <c r="BX44" s="8">
        <v>85.3742</v>
      </c>
      <c r="CC44" s="8">
        <v>1</v>
      </c>
    </row>
    <row r="45" hidden="1" spans="2:81">
      <c r="B45" s="7"/>
      <c r="C45" s="259" t="s">
        <v>170</v>
      </c>
      <c r="H45" s="8">
        <v>404</v>
      </c>
      <c r="I45" s="261"/>
      <c r="J45" s="261"/>
      <c r="K45" s="261"/>
      <c r="L45" s="261"/>
      <c r="M45" s="261"/>
      <c r="N45" s="261"/>
      <c r="O45" s="261"/>
      <c r="P45" s="261"/>
      <c r="Q45" s="261"/>
      <c r="R45" s="261"/>
      <c r="S45" s="261">
        <v>17.6640540652498</v>
      </c>
      <c r="T45" s="261"/>
      <c r="V45" s="8">
        <v>404</v>
      </c>
      <c r="W45" s="261"/>
      <c r="X45" s="261"/>
      <c r="Y45" s="261"/>
      <c r="Z45" s="261"/>
      <c r="AA45" s="261"/>
      <c r="AB45" s="261"/>
      <c r="AC45" s="261"/>
      <c r="AD45" s="261"/>
      <c r="AF45" s="8">
        <v>404</v>
      </c>
      <c r="AG45" s="261"/>
      <c r="AH45" s="261"/>
      <c r="AI45" s="261"/>
      <c r="AJ45" s="261"/>
      <c r="AK45" s="261"/>
      <c r="AL45" s="261"/>
      <c r="AM45" s="261"/>
      <c r="AO45" s="12">
        <v>404</v>
      </c>
      <c r="AP45" s="264"/>
      <c r="AQ45" s="264"/>
      <c r="AR45" s="264">
        <v>0.0939522336822159</v>
      </c>
      <c r="AS45" s="264"/>
      <c r="AT45" s="264"/>
      <c r="AU45" s="264"/>
      <c r="AV45" s="264"/>
      <c r="AW45" s="264"/>
      <c r="AX45" s="264"/>
      <c r="AZ45" s="260">
        <v>500</v>
      </c>
      <c r="BA45" s="267">
        <v>59.8611</v>
      </c>
      <c r="BB45" s="269">
        <v>109.354</v>
      </c>
      <c r="BC45" s="268"/>
      <c r="BD45" s="269"/>
      <c r="BE45" s="269"/>
      <c r="BF45" s="269"/>
      <c r="BG45" s="269">
        <v>1</v>
      </c>
      <c r="BH45" s="269"/>
      <c r="BI45" s="262">
        <v>500</v>
      </c>
      <c r="BJ45" s="270"/>
      <c r="BK45" s="270"/>
      <c r="BL45" s="270"/>
      <c r="BM45" s="270"/>
      <c r="BN45" s="270"/>
      <c r="BO45" s="270"/>
      <c r="BP45" s="272">
        <f>Inputs!B48</f>
        <v>404</v>
      </c>
      <c r="BQ45" s="272">
        <f>IF(LEFT(Inputs!$C$11,6)="photon",10^Inputs!C48,Inputs!C48)</f>
        <v>0.197109142242554</v>
      </c>
      <c r="BR45" s="272"/>
      <c r="BS45" s="272">
        <f>'Advanced Inputs'!I50</f>
        <v>404</v>
      </c>
      <c r="BT45" s="272">
        <f>IF('Advanced Inputs'!J$19="Photon system",10^'Advanced Inputs'!J50,'Advanced Inputs'!J50)</f>
        <v>0</v>
      </c>
      <c r="BV45" s="272">
        <v>404</v>
      </c>
      <c r="BW45" s="8">
        <v>15.853</v>
      </c>
      <c r="BX45" s="8">
        <v>86.2473</v>
      </c>
      <c r="CC45" s="8">
        <v>1</v>
      </c>
    </row>
    <row r="46" hidden="1" spans="2:81">
      <c r="B46" s="7"/>
      <c r="C46" s="259" t="s">
        <v>171</v>
      </c>
      <c r="H46" s="8">
        <v>405</v>
      </c>
      <c r="I46" s="261"/>
      <c r="J46" s="261"/>
      <c r="K46" s="261"/>
      <c r="L46" s="261"/>
      <c r="M46" s="261"/>
      <c r="N46" s="261"/>
      <c r="O46" s="261"/>
      <c r="P46" s="261"/>
      <c r="Q46" s="261"/>
      <c r="R46" s="261"/>
      <c r="S46" s="261">
        <v>38.4879215725514</v>
      </c>
      <c r="T46" s="261"/>
      <c r="V46" s="8">
        <v>405</v>
      </c>
      <c r="W46" s="261"/>
      <c r="X46" s="261"/>
      <c r="Y46" s="261"/>
      <c r="Z46" s="261"/>
      <c r="AA46" s="261"/>
      <c r="AB46" s="261"/>
      <c r="AC46" s="261"/>
      <c r="AD46" s="261"/>
      <c r="AF46" s="8">
        <v>405</v>
      </c>
      <c r="AG46" s="261"/>
      <c r="AH46" s="261"/>
      <c r="AI46" s="261"/>
      <c r="AJ46" s="261"/>
      <c r="AK46" s="261"/>
      <c r="AL46" s="261"/>
      <c r="AM46" s="261"/>
      <c r="AO46" s="12">
        <v>405</v>
      </c>
      <c r="AP46" s="264"/>
      <c r="AQ46" s="264"/>
      <c r="AR46" s="264">
        <v>0.110488479101751</v>
      </c>
      <c r="AS46" s="264"/>
      <c r="AT46" s="264"/>
      <c r="AU46" s="264"/>
      <c r="AV46" s="264"/>
      <c r="AW46" s="264"/>
      <c r="AX46" s="264"/>
      <c r="AZ46" s="260">
        <v>505</v>
      </c>
      <c r="BA46" s="267">
        <v>62.932</v>
      </c>
      <c r="BB46" s="269">
        <v>108.578</v>
      </c>
      <c r="BC46" s="268"/>
      <c r="BD46" s="269"/>
      <c r="BE46" s="269"/>
      <c r="BF46" s="269"/>
      <c r="BG46" s="269">
        <v>1</v>
      </c>
      <c r="BH46" s="269"/>
      <c r="BI46" s="262">
        <v>505</v>
      </c>
      <c r="BJ46" s="270"/>
      <c r="BK46" s="270"/>
      <c r="BL46" s="270"/>
      <c r="BM46" s="270"/>
      <c r="BN46" s="270"/>
      <c r="BO46" s="270"/>
      <c r="BP46" s="272">
        <f>Inputs!B49</f>
        <v>405</v>
      </c>
      <c r="BQ46" s="272">
        <f>IF(LEFT(Inputs!$C$11,6)="photon",10^Inputs!C49,Inputs!C49)</f>
        <v>0.249658696745467</v>
      </c>
      <c r="BR46" s="272"/>
      <c r="BS46" s="272">
        <f>'Advanced Inputs'!I51</f>
        <v>405</v>
      </c>
      <c r="BT46" s="272">
        <f>IF('Advanced Inputs'!J$19="Photon system",10^'Advanced Inputs'!J51,'Advanced Inputs'!J51)</f>
        <v>0</v>
      </c>
      <c r="BV46" s="272">
        <v>405</v>
      </c>
      <c r="BW46" s="8">
        <v>16.148</v>
      </c>
      <c r="BX46" s="8">
        <v>87.1204</v>
      </c>
      <c r="CC46" s="8">
        <v>1</v>
      </c>
    </row>
    <row r="47" hidden="1" spans="2:81">
      <c r="B47" s="7"/>
      <c r="C47" s="259" t="s">
        <v>172</v>
      </c>
      <c r="H47" s="8">
        <v>406</v>
      </c>
      <c r="I47" s="261"/>
      <c r="J47" s="261"/>
      <c r="K47" s="261"/>
      <c r="L47" s="261"/>
      <c r="M47" s="261"/>
      <c r="N47" s="261"/>
      <c r="O47" s="261"/>
      <c r="P47" s="261"/>
      <c r="Q47" s="261"/>
      <c r="R47" s="261"/>
      <c r="S47" s="261">
        <v>10.384847196499</v>
      </c>
      <c r="T47" s="261"/>
      <c r="V47" s="8">
        <v>406</v>
      </c>
      <c r="W47" s="261"/>
      <c r="X47" s="261"/>
      <c r="Y47" s="261"/>
      <c r="Z47" s="261"/>
      <c r="AA47" s="261"/>
      <c r="AB47" s="261"/>
      <c r="AC47" s="261"/>
      <c r="AD47" s="261"/>
      <c r="AF47" s="8">
        <v>406</v>
      </c>
      <c r="AG47" s="261"/>
      <c r="AH47" s="261"/>
      <c r="AI47" s="261"/>
      <c r="AJ47" s="261"/>
      <c r="AK47" s="261"/>
      <c r="AL47" s="261"/>
      <c r="AM47" s="261"/>
      <c r="AO47" s="12">
        <v>406</v>
      </c>
      <c r="AP47" s="264"/>
      <c r="AQ47" s="264"/>
      <c r="AR47" s="264">
        <v>0.129934960214208</v>
      </c>
      <c r="AS47" s="264"/>
      <c r="AT47" s="264"/>
      <c r="AU47" s="264"/>
      <c r="AV47" s="264"/>
      <c r="AW47" s="264"/>
      <c r="AX47" s="264"/>
      <c r="AZ47" s="260">
        <v>510</v>
      </c>
      <c r="BA47" s="267">
        <v>66.0635</v>
      </c>
      <c r="BB47" s="269">
        <v>107.802</v>
      </c>
      <c r="BC47" s="268"/>
      <c r="BD47" s="269"/>
      <c r="BE47" s="269"/>
      <c r="BF47" s="269"/>
      <c r="BG47" s="269">
        <v>1</v>
      </c>
      <c r="BH47" s="269"/>
      <c r="BI47" s="262">
        <v>510</v>
      </c>
      <c r="BJ47" s="270"/>
      <c r="BK47" s="270"/>
      <c r="BL47" s="270"/>
      <c r="BM47" s="270"/>
      <c r="BN47" s="270"/>
      <c r="BO47" s="270"/>
      <c r="BP47" s="272">
        <f>Inputs!B50</f>
        <v>406</v>
      </c>
      <c r="BQ47" s="272">
        <f>IF(LEFT(Inputs!$C$11,6)="photon",10^Inputs!C50,Inputs!C50)</f>
        <v>0.327715769135015</v>
      </c>
      <c r="BR47" s="272"/>
      <c r="BS47" s="272">
        <f>'Advanced Inputs'!I52</f>
        <v>406</v>
      </c>
      <c r="BT47" s="272">
        <f>IF('Advanced Inputs'!J$19="Photon system",10^'Advanced Inputs'!J52,'Advanced Inputs'!J52)</f>
        <v>0</v>
      </c>
      <c r="BV47" s="272">
        <v>406</v>
      </c>
      <c r="BW47" s="8">
        <v>16.4464</v>
      </c>
      <c r="BX47" s="8">
        <v>87.9936</v>
      </c>
      <c r="CC47" s="8">
        <v>1</v>
      </c>
    </row>
    <row r="48" hidden="1" spans="2:81">
      <c r="B48" s="7"/>
      <c r="C48" s="259" t="s">
        <v>173</v>
      </c>
      <c r="H48" s="8">
        <v>407</v>
      </c>
      <c r="I48" s="261"/>
      <c r="J48" s="261"/>
      <c r="K48" s="261"/>
      <c r="L48" s="261"/>
      <c r="M48" s="261"/>
      <c r="N48" s="261"/>
      <c r="O48" s="261"/>
      <c r="P48" s="261"/>
      <c r="Q48" s="261"/>
      <c r="R48" s="261"/>
      <c r="S48" s="261">
        <v>1.15758026170462</v>
      </c>
      <c r="T48" s="261"/>
      <c r="V48" s="8">
        <v>407</v>
      </c>
      <c r="W48" s="261"/>
      <c r="X48" s="261"/>
      <c r="Y48" s="261"/>
      <c r="Z48" s="261"/>
      <c r="AA48" s="261"/>
      <c r="AB48" s="261"/>
      <c r="AC48" s="261"/>
      <c r="AD48" s="261"/>
      <c r="AF48" s="8">
        <v>407</v>
      </c>
      <c r="AG48" s="261"/>
      <c r="AH48" s="261"/>
      <c r="AI48" s="261"/>
      <c r="AJ48" s="261"/>
      <c r="AK48" s="261"/>
      <c r="AL48" s="261"/>
      <c r="AM48" s="261"/>
      <c r="AO48" s="12">
        <v>407</v>
      </c>
      <c r="AP48" s="264"/>
      <c r="AQ48" s="264"/>
      <c r="AR48" s="264">
        <v>0.152803754319925</v>
      </c>
      <c r="AS48" s="264"/>
      <c r="AT48" s="264"/>
      <c r="AU48" s="264"/>
      <c r="AV48" s="264"/>
      <c r="AW48" s="264"/>
      <c r="AX48" s="264"/>
      <c r="AZ48" s="260">
        <v>515</v>
      </c>
      <c r="BA48" s="267">
        <v>69.2525</v>
      </c>
      <c r="BB48" s="269">
        <v>106.296</v>
      </c>
      <c r="BC48" s="268"/>
      <c r="BD48" s="269"/>
      <c r="BE48" s="269"/>
      <c r="BF48" s="269"/>
      <c r="BG48" s="269">
        <v>1</v>
      </c>
      <c r="BH48" s="269"/>
      <c r="BI48" s="262">
        <v>515</v>
      </c>
      <c r="BJ48" s="270"/>
      <c r="BK48" s="270"/>
      <c r="BL48" s="270"/>
      <c r="BM48" s="270"/>
      <c r="BN48" s="270"/>
      <c r="BO48" s="270"/>
      <c r="BP48" s="272">
        <f>Inputs!B51</f>
        <v>407</v>
      </c>
      <c r="BQ48" s="272">
        <f>IF(LEFT(Inputs!$C$11,6)="photon",10^Inputs!C51,Inputs!C51)</f>
        <v>0.429331695306812</v>
      </c>
      <c r="BR48" s="272"/>
      <c r="BS48" s="272">
        <f>'Advanced Inputs'!I53</f>
        <v>407</v>
      </c>
      <c r="BT48" s="272">
        <f>IF('Advanced Inputs'!J$19="Photon system",10^'Advanced Inputs'!J53,'Advanced Inputs'!J53)</f>
        <v>0</v>
      </c>
      <c r="BV48" s="272">
        <v>407</v>
      </c>
      <c r="BW48" s="8">
        <v>16.7484</v>
      </c>
      <c r="BX48" s="8">
        <v>88.8667</v>
      </c>
      <c r="CC48" s="8">
        <v>1</v>
      </c>
    </row>
    <row r="49" hidden="1" spans="2:81">
      <c r="B49" s="7"/>
      <c r="C49" s="259" t="s">
        <v>174</v>
      </c>
      <c r="H49" s="8">
        <v>408</v>
      </c>
      <c r="I49" s="261"/>
      <c r="J49" s="261"/>
      <c r="K49" s="261"/>
      <c r="L49" s="261"/>
      <c r="M49" s="261"/>
      <c r="N49" s="261"/>
      <c r="O49" s="261"/>
      <c r="P49" s="261"/>
      <c r="Q49" s="261"/>
      <c r="R49" s="261"/>
      <c r="S49" s="261">
        <v>1.04169312429195</v>
      </c>
      <c r="T49" s="261"/>
      <c r="V49" s="8">
        <v>408</v>
      </c>
      <c r="W49" s="261"/>
      <c r="X49" s="261"/>
      <c r="Y49" s="261"/>
      <c r="Z49" s="261"/>
      <c r="AA49" s="261"/>
      <c r="AB49" s="261"/>
      <c r="AC49" s="261"/>
      <c r="AD49" s="261"/>
      <c r="AF49" s="8">
        <v>408</v>
      </c>
      <c r="AG49" s="261"/>
      <c r="AH49" s="261"/>
      <c r="AI49" s="261"/>
      <c r="AJ49" s="261"/>
      <c r="AK49" s="261"/>
      <c r="AL49" s="261"/>
      <c r="AM49" s="261"/>
      <c r="AO49" s="12">
        <v>408</v>
      </c>
      <c r="AP49" s="264"/>
      <c r="AQ49" s="264"/>
      <c r="AR49" s="264">
        <v>0.179697004587924</v>
      </c>
      <c r="AS49" s="264"/>
      <c r="AT49" s="264"/>
      <c r="AU49" s="264"/>
      <c r="AV49" s="264"/>
      <c r="AW49" s="264"/>
      <c r="AX49" s="264"/>
      <c r="AZ49" s="260">
        <v>520</v>
      </c>
      <c r="BA49" s="267">
        <v>72.4959</v>
      </c>
      <c r="BB49" s="269">
        <v>104.79</v>
      </c>
      <c r="BC49" s="268"/>
      <c r="BD49" s="269"/>
      <c r="BE49" s="269"/>
      <c r="BF49" s="269"/>
      <c r="BG49" s="269">
        <v>1</v>
      </c>
      <c r="BH49" s="269"/>
      <c r="BI49" s="262">
        <v>520</v>
      </c>
      <c r="BJ49" s="270"/>
      <c r="BK49" s="270"/>
      <c r="BL49" s="270"/>
      <c r="BM49" s="270"/>
      <c r="BN49" s="270"/>
      <c r="BO49" s="270"/>
      <c r="BP49" s="272">
        <f>Inputs!B52</f>
        <v>408</v>
      </c>
      <c r="BQ49" s="272">
        <f>IF(LEFT(Inputs!$C$11,6)="photon",10^Inputs!C52,Inputs!C52)</f>
        <v>0.540649100968705</v>
      </c>
      <c r="BR49" s="272"/>
      <c r="BS49" s="272">
        <f>'Advanced Inputs'!I54</f>
        <v>408</v>
      </c>
      <c r="BT49" s="272">
        <f>IF('Advanced Inputs'!J$19="Photon system",10^'Advanced Inputs'!J54,'Advanced Inputs'!J54)</f>
        <v>0</v>
      </c>
      <c r="BV49" s="272">
        <v>408</v>
      </c>
      <c r="BW49" s="8">
        <v>17.0538</v>
      </c>
      <c r="BX49" s="8">
        <v>89.7398</v>
      </c>
      <c r="CC49" s="8">
        <v>1</v>
      </c>
    </row>
    <row r="50" hidden="1" spans="2:81">
      <c r="B50" s="7"/>
      <c r="C50" s="259" t="s">
        <v>175</v>
      </c>
      <c r="H50" s="8">
        <v>409</v>
      </c>
      <c r="I50" s="261"/>
      <c r="J50" s="261"/>
      <c r="K50" s="261"/>
      <c r="L50" s="261"/>
      <c r="M50" s="261"/>
      <c r="N50" s="261"/>
      <c r="O50" s="261"/>
      <c r="P50" s="261"/>
      <c r="Q50" s="261"/>
      <c r="R50" s="261"/>
      <c r="S50" s="261">
        <v>1.13168124361203</v>
      </c>
      <c r="T50" s="261"/>
      <c r="V50" s="8">
        <v>409</v>
      </c>
      <c r="W50" s="261"/>
      <c r="X50" s="261"/>
      <c r="Y50" s="261"/>
      <c r="Z50" s="261"/>
      <c r="AA50" s="261"/>
      <c r="AB50" s="261"/>
      <c r="AC50" s="261"/>
      <c r="AD50" s="261"/>
      <c r="AF50" s="8">
        <v>409</v>
      </c>
      <c r="AG50" s="261"/>
      <c r="AH50" s="261"/>
      <c r="AI50" s="261"/>
      <c r="AJ50" s="261"/>
      <c r="AK50" s="261"/>
      <c r="AL50" s="261"/>
      <c r="AM50" s="261"/>
      <c r="AO50" s="12">
        <v>409</v>
      </c>
      <c r="AP50" s="264"/>
      <c r="AQ50" s="264"/>
      <c r="AR50" s="264">
        <v>0.211322746633472</v>
      </c>
      <c r="AS50" s="264"/>
      <c r="AT50" s="264"/>
      <c r="AU50" s="264"/>
      <c r="AV50" s="264"/>
      <c r="AW50" s="264"/>
      <c r="AX50" s="264"/>
      <c r="AZ50" s="260">
        <v>525</v>
      </c>
      <c r="BA50" s="267">
        <v>75.7903</v>
      </c>
      <c r="BB50" s="269">
        <v>106.239</v>
      </c>
      <c r="BC50" s="268"/>
      <c r="BD50" s="269"/>
      <c r="BE50" s="269"/>
      <c r="BF50" s="269"/>
      <c r="BG50" s="269">
        <v>1</v>
      </c>
      <c r="BH50" s="269"/>
      <c r="BI50" s="262">
        <v>525</v>
      </c>
      <c r="BJ50" s="270"/>
      <c r="BK50" s="270"/>
      <c r="BL50" s="270"/>
      <c r="BM50" s="270"/>
      <c r="BN50" s="270"/>
      <c r="BO50" s="270"/>
      <c r="BP50" s="272">
        <f>Inputs!B53</f>
        <v>409</v>
      </c>
      <c r="BQ50" s="272">
        <f>IF(LEFT(Inputs!$C$11,6)="photon",10^Inputs!C53,Inputs!C53)</f>
        <v>0.703401455544653</v>
      </c>
      <c r="BR50" s="272"/>
      <c r="BS50" s="272">
        <f>'Advanced Inputs'!I55</f>
        <v>409</v>
      </c>
      <c r="BT50" s="272">
        <f>IF('Advanced Inputs'!J$19="Photon system",10^'Advanced Inputs'!J55,'Advanced Inputs'!J55)</f>
        <v>0</v>
      </c>
      <c r="BV50" s="272">
        <v>409</v>
      </c>
      <c r="BW50" s="8">
        <v>17.3628</v>
      </c>
      <c r="BX50" s="8">
        <v>90.6129</v>
      </c>
      <c r="CC50" s="8">
        <v>1</v>
      </c>
    </row>
    <row r="51" hidden="1" spans="2:81">
      <c r="B51" s="7"/>
      <c r="C51" s="259" t="s">
        <v>176</v>
      </c>
      <c r="H51" s="8">
        <v>410</v>
      </c>
      <c r="I51" s="261"/>
      <c r="J51" s="261"/>
      <c r="K51" s="261"/>
      <c r="L51" s="261"/>
      <c r="M51" s="261"/>
      <c r="N51" s="261"/>
      <c r="O51" s="261"/>
      <c r="P51" s="261"/>
      <c r="Q51" s="261"/>
      <c r="R51" s="261"/>
      <c r="S51" s="261">
        <v>1.22744598765433</v>
      </c>
      <c r="T51" s="261"/>
      <c r="V51" s="8">
        <v>410</v>
      </c>
      <c r="W51" s="261"/>
      <c r="X51" s="261"/>
      <c r="Y51" s="261"/>
      <c r="Z51" s="261"/>
      <c r="AA51" s="261"/>
      <c r="AB51" s="261"/>
      <c r="AC51" s="261"/>
      <c r="AD51" s="261"/>
      <c r="AF51" s="8">
        <v>410</v>
      </c>
      <c r="AG51" s="261"/>
      <c r="AH51" s="261"/>
      <c r="AI51" s="261"/>
      <c r="AJ51" s="261"/>
      <c r="AK51" s="261"/>
      <c r="AL51" s="261"/>
      <c r="AM51" s="261"/>
      <c r="AO51" s="12">
        <v>410</v>
      </c>
      <c r="AP51" s="264"/>
      <c r="AQ51" s="264"/>
      <c r="AR51" s="264">
        <v>0.248513510620701</v>
      </c>
      <c r="AS51" s="264"/>
      <c r="AT51" s="264"/>
      <c r="AU51" s="264"/>
      <c r="AV51" s="264"/>
      <c r="AW51" s="264"/>
      <c r="AX51" s="264"/>
      <c r="AZ51" s="260">
        <v>530</v>
      </c>
      <c r="BA51" s="267">
        <v>79.1326</v>
      </c>
      <c r="BB51" s="269">
        <v>107.689</v>
      </c>
      <c r="BC51" s="268"/>
      <c r="BD51" s="269"/>
      <c r="BE51" s="269"/>
      <c r="BF51" s="269"/>
      <c r="BG51" s="269">
        <v>1</v>
      </c>
      <c r="BH51" s="269"/>
      <c r="BI51" s="262">
        <v>530</v>
      </c>
      <c r="BJ51" s="270"/>
      <c r="BK51" s="270"/>
      <c r="BL51" s="270"/>
      <c r="BM51" s="270"/>
      <c r="BN51" s="270"/>
      <c r="BO51" s="270"/>
      <c r="BP51" s="272">
        <f>Inputs!B54</f>
        <v>410</v>
      </c>
      <c r="BQ51" s="272">
        <f>IF(LEFT(Inputs!$C$11,6)="photon",10^Inputs!C54,Inputs!C54)</f>
        <v>0.88305593395213</v>
      </c>
      <c r="BR51" s="272"/>
      <c r="BS51" s="272">
        <f>'Advanced Inputs'!I56</f>
        <v>410</v>
      </c>
      <c r="BT51" s="272">
        <f>IF('Advanced Inputs'!J$19="Photon system",10^'Advanced Inputs'!J56,'Advanced Inputs'!J56)</f>
        <v>0</v>
      </c>
      <c r="BV51" s="272">
        <v>410</v>
      </c>
      <c r="BW51" s="8">
        <v>17.6753</v>
      </c>
      <c r="BX51" s="8">
        <v>91.486</v>
      </c>
      <c r="CC51" s="8">
        <v>1</v>
      </c>
    </row>
    <row r="52" hidden="1" spans="2:81">
      <c r="B52" s="7"/>
      <c r="C52" s="259" t="s">
        <v>177</v>
      </c>
      <c r="H52" s="8">
        <v>411</v>
      </c>
      <c r="I52" s="261"/>
      <c r="J52" s="261"/>
      <c r="K52" s="261"/>
      <c r="L52" s="261"/>
      <c r="M52" s="261"/>
      <c r="N52" s="261"/>
      <c r="O52" s="261"/>
      <c r="P52" s="261"/>
      <c r="Q52" s="261"/>
      <c r="R52" s="261"/>
      <c r="S52" s="261">
        <v>1.3298362962963</v>
      </c>
      <c r="T52" s="261"/>
      <c r="V52" s="8">
        <v>411</v>
      </c>
      <c r="W52" s="261"/>
      <c r="X52" s="261"/>
      <c r="Y52" s="261"/>
      <c r="Z52" s="261"/>
      <c r="AA52" s="261"/>
      <c r="AB52" s="261"/>
      <c r="AC52" s="261"/>
      <c r="AD52" s="261"/>
      <c r="AF52" s="8">
        <v>411</v>
      </c>
      <c r="AG52" s="261"/>
      <c r="AH52" s="261"/>
      <c r="AI52" s="261"/>
      <c r="AJ52" s="261"/>
      <c r="AK52" s="261"/>
      <c r="AL52" s="261"/>
      <c r="AM52" s="261"/>
      <c r="AO52" s="12">
        <v>411</v>
      </c>
      <c r="AP52" s="264"/>
      <c r="AQ52" s="264"/>
      <c r="AR52" s="264">
        <v>0.288612739568918</v>
      </c>
      <c r="AS52" s="264"/>
      <c r="AT52" s="264"/>
      <c r="AU52" s="264"/>
      <c r="AV52" s="264"/>
      <c r="AW52" s="264"/>
      <c r="AX52" s="264"/>
      <c r="AZ52" s="260">
        <v>535</v>
      </c>
      <c r="BA52" s="267">
        <v>82.5193</v>
      </c>
      <c r="BB52" s="269">
        <v>106.047</v>
      </c>
      <c r="BC52" s="268"/>
      <c r="BD52" s="269"/>
      <c r="BE52" s="269"/>
      <c r="BF52" s="269"/>
      <c r="BG52" s="269">
        <v>1</v>
      </c>
      <c r="BH52" s="269"/>
      <c r="BI52" s="262">
        <v>535</v>
      </c>
      <c r="BJ52" s="270"/>
      <c r="BK52" s="270"/>
      <c r="BL52" s="270"/>
      <c r="BM52" s="270"/>
      <c r="BN52" s="270"/>
      <c r="BO52" s="270"/>
      <c r="BP52" s="272">
        <f>Inputs!B55</f>
        <v>411</v>
      </c>
      <c r="BQ52" s="272">
        <f>IF(LEFT(Inputs!$C$11,6)="photon",10^Inputs!C55,Inputs!C55)</f>
        <v>1.07810027617698</v>
      </c>
      <c r="BR52" s="272"/>
      <c r="BS52" s="272">
        <f>'Advanced Inputs'!I57</f>
        <v>411</v>
      </c>
      <c r="BT52" s="272">
        <f>IF('Advanced Inputs'!J$19="Photon system",10^'Advanced Inputs'!J57,'Advanced Inputs'!J57)</f>
        <v>0</v>
      </c>
      <c r="BV52" s="272">
        <v>411</v>
      </c>
      <c r="BW52" s="8">
        <v>17.9913</v>
      </c>
      <c r="BX52" s="8">
        <v>91.6806</v>
      </c>
      <c r="CC52" s="8">
        <v>1</v>
      </c>
    </row>
    <row r="53" hidden="1" spans="2:81">
      <c r="B53" s="7"/>
      <c r="C53" s="259" t="s">
        <v>178</v>
      </c>
      <c r="H53" s="8">
        <v>412</v>
      </c>
      <c r="I53" s="261"/>
      <c r="J53" s="261"/>
      <c r="K53" s="261"/>
      <c r="L53" s="261"/>
      <c r="M53" s="261"/>
      <c r="N53" s="261"/>
      <c r="O53" s="261"/>
      <c r="P53" s="261"/>
      <c r="Q53" s="261"/>
      <c r="R53" s="261"/>
      <c r="S53" s="261">
        <v>1.43754098765432</v>
      </c>
      <c r="T53" s="261"/>
      <c r="V53" s="8">
        <v>412</v>
      </c>
      <c r="W53" s="261"/>
      <c r="X53" s="261"/>
      <c r="Y53" s="261"/>
      <c r="Z53" s="261"/>
      <c r="AA53" s="261"/>
      <c r="AB53" s="261"/>
      <c r="AC53" s="261"/>
      <c r="AD53" s="261"/>
      <c r="AF53" s="8">
        <v>412</v>
      </c>
      <c r="AG53" s="261"/>
      <c r="AH53" s="261"/>
      <c r="AI53" s="261"/>
      <c r="AJ53" s="261"/>
      <c r="AK53" s="261"/>
      <c r="AL53" s="261"/>
      <c r="AM53" s="261"/>
      <c r="AO53" s="12">
        <v>412</v>
      </c>
      <c r="AP53" s="264"/>
      <c r="AQ53" s="264"/>
      <c r="AR53" s="264">
        <v>0.340869292414438</v>
      </c>
      <c r="AS53" s="264"/>
      <c r="AT53" s="264"/>
      <c r="AU53" s="264"/>
      <c r="AV53" s="264"/>
      <c r="AW53" s="264"/>
      <c r="AX53" s="264"/>
      <c r="AZ53" s="260">
        <v>540</v>
      </c>
      <c r="BA53" s="267">
        <v>85.947</v>
      </c>
      <c r="BB53" s="269">
        <v>104.405</v>
      </c>
      <c r="BC53" s="268"/>
      <c r="BD53" s="269"/>
      <c r="BE53" s="269"/>
      <c r="BF53" s="269"/>
      <c r="BG53" s="269">
        <v>1</v>
      </c>
      <c r="BH53" s="269"/>
      <c r="BI53" s="262">
        <v>540</v>
      </c>
      <c r="BJ53" s="270"/>
      <c r="BK53" s="270"/>
      <c r="BL53" s="270"/>
      <c r="BM53" s="270"/>
      <c r="BN53" s="270"/>
      <c r="BO53" s="270"/>
      <c r="BP53" s="272">
        <f>Inputs!B56</f>
        <v>412</v>
      </c>
      <c r="BQ53" s="272">
        <f>IF(LEFT(Inputs!$C$11,6)="photon",10^Inputs!C56,Inputs!C56)</f>
        <v>1.34836150644433</v>
      </c>
      <c r="BR53" s="272"/>
      <c r="BS53" s="272">
        <f>'Advanced Inputs'!I58</f>
        <v>412</v>
      </c>
      <c r="BT53" s="272">
        <f>IF('Advanced Inputs'!J$19="Photon system",10^'Advanced Inputs'!J58,'Advanced Inputs'!J58)</f>
        <v>0</v>
      </c>
      <c r="BV53" s="272">
        <v>412</v>
      </c>
      <c r="BW53" s="8">
        <v>18.3108</v>
      </c>
      <c r="BX53" s="8">
        <v>91.8752</v>
      </c>
      <c r="CC53" s="8">
        <v>1</v>
      </c>
    </row>
    <row r="54" hidden="1" spans="2:81">
      <c r="B54" s="7"/>
      <c r="C54" s="259" t="s">
        <v>179</v>
      </c>
      <c r="H54" s="8">
        <v>413</v>
      </c>
      <c r="I54" s="261"/>
      <c r="J54" s="261"/>
      <c r="K54" s="261"/>
      <c r="L54" s="261"/>
      <c r="M54" s="261"/>
      <c r="N54" s="261"/>
      <c r="O54" s="261"/>
      <c r="P54" s="261"/>
      <c r="Q54" s="261"/>
      <c r="R54" s="261"/>
      <c r="S54" s="261">
        <v>1.55030592592593</v>
      </c>
      <c r="T54" s="261"/>
      <c r="V54" s="8">
        <v>413</v>
      </c>
      <c r="W54" s="261"/>
      <c r="X54" s="261"/>
      <c r="Y54" s="261"/>
      <c r="Z54" s="261"/>
      <c r="AA54" s="261"/>
      <c r="AB54" s="261"/>
      <c r="AC54" s="261"/>
      <c r="AD54" s="261"/>
      <c r="AF54" s="8">
        <v>413</v>
      </c>
      <c r="AG54" s="261"/>
      <c r="AH54" s="261"/>
      <c r="AI54" s="261"/>
      <c r="AJ54" s="261"/>
      <c r="AK54" s="261"/>
      <c r="AL54" s="261"/>
      <c r="AM54" s="261"/>
      <c r="AO54" s="12">
        <v>413</v>
      </c>
      <c r="AP54" s="264"/>
      <c r="AQ54" s="264"/>
      <c r="AR54" s="264">
        <v>0.402349824068625</v>
      </c>
      <c r="AS54" s="264"/>
      <c r="AT54" s="264"/>
      <c r="AU54" s="264"/>
      <c r="AV54" s="264"/>
      <c r="AW54" s="264"/>
      <c r="AX54" s="264"/>
      <c r="AZ54" s="260">
        <v>545</v>
      </c>
      <c r="BA54" s="267">
        <v>89.4124</v>
      </c>
      <c r="BB54" s="269">
        <v>104.225</v>
      </c>
      <c r="BC54" s="268"/>
      <c r="BD54" s="269"/>
      <c r="BE54" s="269"/>
      <c r="BF54" s="269"/>
      <c r="BG54" s="269">
        <v>1</v>
      </c>
      <c r="BH54" s="269"/>
      <c r="BI54" s="262">
        <v>545</v>
      </c>
      <c r="BJ54" s="270"/>
      <c r="BK54" s="270"/>
      <c r="BL54" s="270"/>
      <c r="BM54" s="270"/>
      <c r="BN54" s="270"/>
      <c r="BO54" s="270"/>
      <c r="BP54" s="272">
        <f>Inputs!B57</f>
        <v>413</v>
      </c>
      <c r="BQ54" s="272">
        <f>IF(LEFT(Inputs!$C$11,6)="photon",10^Inputs!C57,Inputs!C57)</f>
        <v>1.6118401042455</v>
      </c>
      <c r="BR54" s="272"/>
      <c r="BS54" s="272">
        <f>'Advanced Inputs'!I59</f>
        <v>413</v>
      </c>
      <c r="BT54" s="272">
        <f>IF('Advanced Inputs'!J$19="Photon system",10^'Advanced Inputs'!J59,'Advanced Inputs'!J59)</f>
        <v>0</v>
      </c>
      <c r="BV54" s="272">
        <v>413</v>
      </c>
      <c r="BW54" s="8">
        <v>18.6339</v>
      </c>
      <c r="BX54" s="8">
        <v>92.0697</v>
      </c>
      <c r="CC54" s="8">
        <v>1</v>
      </c>
    </row>
    <row r="55" hidden="1" spans="2:81">
      <c r="B55" s="7"/>
      <c r="C55" s="259" t="s">
        <v>180</v>
      </c>
      <c r="H55" s="8">
        <v>414</v>
      </c>
      <c r="I55" s="261"/>
      <c r="J55" s="261"/>
      <c r="K55" s="261"/>
      <c r="L55" s="261"/>
      <c r="M55" s="261"/>
      <c r="N55" s="261"/>
      <c r="O55" s="261"/>
      <c r="P55" s="261"/>
      <c r="Q55" s="261"/>
      <c r="R55" s="261"/>
      <c r="S55" s="261">
        <v>1.66787697530864</v>
      </c>
      <c r="T55" s="261"/>
      <c r="V55" s="8">
        <v>414</v>
      </c>
      <c r="W55" s="261"/>
      <c r="X55" s="261"/>
      <c r="Y55" s="261"/>
      <c r="Z55" s="261"/>
      <c r="AA55" s="261"/>
      <c r="AB55" s="261"/>
      <c r="AC55" s="261"/>
      <c r="AD55" s="261"/>
      <c r="AF55" s="8">
        <v>414</v>
      </c>
      <c r="AG55" s="261"/>
      <c r="AH55" s="261"/>
      <c r="AI55" s="261"/>
      <c r="AJ55" s="261"/>
      <c r="AK55" s="261"/>
      <c r="AL55" s="261"/>
      <c r="AM55" s="261"/>
      <c r="AO55" s="12">
        <v>414</v>
      </c>
      <c r="AP55" s="264"/>
      <c r="AQ55" s="264"/>
      <c r="AR55" s="264">
        <v>0.474432427295823</v>
      </c>
      <c r="AS55" s="264"/>
      <c r="AT55" s="264"/>
      <c r="AU55" s="264"/>
      <c r="AV55" s="264"/>
      <c r="AW55" s="264"/>
      <c r="AX55" s="264"/>
      <c r="AZ55" s="260">
        <v>550</v>
      </c>
      <c r="BA55" s="267">
        <v>92.912</v>
      </c>
      <c r="BB55" s="269">
        <v>104.046</v>
      </c>
      <c r="BC55" s="268"/>
      <c r="BD55" s="269"/>
      <c r="BE55" s="269"/>
      <c r="BF55" s="269"/>
      <c r="BG55" s="269">
        <v>1</v>
      </c>
      <c r="BH55" s="269"/>
      <c r="BI55" s="262">
        <v>550</v>
      </c>
      <c r="BJ55" s="270"/>
      <c r="BK55" s="270"/>
      <c r="BL55" s="270"/>
      <c r="BM55" s="270"/>
      <c r="BN55" s="270"/>
      <c r="BO55" s="270"/>
      <c r="BP55" s="272">
        <f>Inputs!B58</f>
        <v>414</v>
      </c>
      <c r="BQ55" s="272">
        <f>IF(LEFT(Inputs!$C$11,6)="photon",10^Inputs!C58,Inputs!C58)</f>
        <v>1.95380117710759</v>
      </c>
      <c r="BR55" s="272"/>
      <c r="BS55" s="272">
        <f>'Advanced Inputs'!I60</f>
        <v>414</v>
      </c>
      <c r="BT55" s="272">
        <f>IF('Advanced Inputs'!J$19="Photon system",10^'Advanced Inputs'!J60,'Advanced Inputs'!J60)</f>
        <v>0</v>
      </c>
      <c r="BV55" s="272">
        <v>414</v>
      </c>
      <c r="BW55" s="8">
        <v>18.9605</v>
      </c>
      <c r="BX55" s="8">
        <v>92.2643</v>
      </c>
      <c r="CC55" s="8">
        <v>1</v>
      </c>
    </row>
    <row r="56" hidden="1" spans="2:81">
      <c r="B56" s="7"/>
      <c r="C56" s="259" t="s">
        <v>181</v>
      </c>
      <c r="H56" s="8">
        <v>415</v>
      </c>
      <c r="I56" s="261"/>
      <c r="J56" s="261"/>
      <c r="K56" s="261"/>
      <c r="L56" s="261"/>
      <c r="M56" s="261"/>
      <c r="N56" s="261"/>
      <c r="O56" s="261"/>
      <c r="P56" s="261"/>
      <c r="Q56" s="261"/>
      <c r="R56" s="261"/>
      <c r="S56" s="261">
        <v>1.79</v>
      </c>
      <c r="T56" s="261"/>
      <c r="V56" s="8">
        <v>415</v>
      </c>
      <c r="W56" s="261"/>
      <c r="X56" s="261"/>
      <c r="Y56" s="261"/>
      <c r="Z56" s="261"/>
      <c r="AA56" s="261"/>
      <c r="AB56" s="261"/>
      <c r="AC56" s="261"/>
      <c r="AD56" s="261"/>
      <c r="AF56" s="8">
        <v>415</v>
      </c>
      <c r="AG56" s="261"/>
      <c r="AH56" s="261"/>
      <c r="AI56" s="261"/>
      <c r="AJ56" s="261"/>
      <c r="AK56" s="261"/>
      <c r="AL56" s="261"/>
      <c r="AM56" s="261"/>
      <c r="AO56" s="12">
        <v>415</v>
      </c>
      <c r="AP56" s="264"/>
      <c r="AQ56" s="264"/>
      <c r="AR56" s="264">
        <v>0.558376048007607</v>
      </c>
      <c r="AS56" s="264"/>
      <c r="AT56" s="264"/>
      <c r="AU56" s="264"/>
      <c r="AV56" s="264"/>
      <c r="AW56" s="264"/>
      <c r="AX56" s="264"/>
      <c r="AZ56" s="260">
        <v>555</v>
      </c>
      <c r="BA56" s="267">
        <v>96.4423</v>
      </c>
      <c r="BB56" s="269">
        <v>102.023</v>
      </c>
      <c r="BC56" s="268"/>
      <c r="BD56" s="269"/>
      <c r="BE56" s="269"/>
      <c r="BF56" s="269"/>
      <c r="BG56" s="269">
        <v>1</v>
      </c>
      <c r="BH56" s="269"/>
      <c r="BI56" s="262">
        <v>555</v>
      </c>
      <c r="BJ56" s="270"/>
      <c r="BK56" s="270"/>
      <c r="BL56" s="270"/>
      <c r="BM56" s="270"/>
      <c r="BN56" s="270"/>
      <c r="BO56" s="270"/>
      <c r="BP56" s="272">
        <f>Inputs!B59</f>
        <v>415</v>
      </c>
      <c r="BQ56" s="272">
        <f>IF(LEFT(Inputs!$C$11,6)="photon",10^Inputs!C59,Inputs!C59)</f>
        <v>2.30766752658566</v>
      </c>
      <c r="BR56" s="272"/>
      <c r="BS56" s="272">
        <f>'Advanced Inputs'!I61</f>
        <v>415</v>
      </c>
      <c r="BT56" s="272">
        <f>IF('Advanced Inputs'!J$19="Photon system",10^'Advanced Inputs'!J61,'Advanced Inputs'!J61)</f>
        <v>0</v>
      </c>
      <c r="BV56" s="272">
        <v>415</v>
      </c>
      <c r="BW56" s="8">
        <v>19.2907</v>
      </c>
      <c r="BX56" s="8">
        <v>92.4589</v>
      </c>
      <c r="CC56" s="8">
        <v>1</v>
      </c>
    </row>
    <row r="57" hidden="1" spans="2:81">
      <c r="B57" s="7"/>
      <c r="C57" s="259" t="s">
        <v>182</v>
      </c>
      <c r="H57" s="8">
        <v>416</v>
      </c>
      <c r="I57" s="261"/>
      <c r="J57" s="261"/>
      <c r="K57" s="261"/>
      <c r="L57" s="261"/>
      <c r="M57" s="261"/>
      <c r="N57" s="261"/>
      <c r="O57" s="261"/>
      <c r="P57" s="261"/>
      <c r="Q57" s="261"/>
      <c r="R57" s="261"/>
      <c r="S57" s="261">
        <v>1.91244259259259</v>
      </c>
      <c r="T57" s="261"/>
      <c r="V57" s="8">
        <v>416</v>
      </c>
      <c r="W57" s="261"/>
      <c r="X57" s="261"/>
      <c r="Y57" s="261"/>
      <c r="Z57" s="261"/>
      <c r="AA57" s="261"/>
      <c r="AB57" s="261"/>
      <c r="AC57" s="261"/>
      <c r="AD57" s="261"/>
      <c r="AF57" s="8">
        <v>416</v>
      </c>
      <c r="AG57" s="261"/>
      <c r="AH57" s="261"/>
      <c r="AI57" s="261"/>
      <c r="AJ57" s="261"/>
      <c r="AK57" s="261"/>
      <c r="AL57" s="261"/>
      <c r="AM57" s="261"/>
      <c r="AO57" s="12">
        <v>416</v>
      </c>
      <c r="AP57" s="264"/>
      <c r="AQ57" s="264"/>
      <c r="AR57" s="264">
        <v>0.655201569012461</v>
      </c>
      <c r="AS57" s="264"/>
      <c r="AT57" s="264"/>
      <c r="AU57" s="264"/>
      <c r="AV57" s="264"/>
      <c r="AW57" s="264"/>
      <c r="AX57" s="264"/>
      <c r="AZ57" s="260">
        <v>560</v>
      </c>
      <c r="BA57" s="269">
        <v>100</v>
      </c>
      <c r="BB57" s="269">
        <v>100</v>
      </c>
      <c r="BC57" s="268"/>
      <c r="BD57" s="269"/>
      <c r="BE57" s="269"/>
      <c r="BF57" s="269"/>
      <c r="BG57" s="269">
        <v>1</v>
      </c>
      <c r="BH57" s="269"/>
      <c r="BI57" s="262">
        <v>560</v>
      </c>
      <c r="BJ57" s="270"/>
      <c r="BK57" s="270"/>
      <c r="BL57" s="270"/>
      <c r="BM57" s="270"/>
      <c r="BN57" s="270"/>
      <c r="BO57" s="270"/>
      <c r="BP57" s="272">
        <f>Inputs!B60</f>
        <v>416</v>
      </c>
      <c r="BQ57" s="272">
        <f>IF(LEFT(Inputs!$C$11,6)="photon",10^Inputs!C60,Inputs!C60)</f>
        <v>2.66770596828929</v>
      </c>
      <c r="BR57" s="272"/>
      <c r="BS57" s="272">
        <f>'Advanced Inputs'!I62</f>
        <v>416</v>
      </c>
      <c r="BT57" s="272">
        <f>IF('Advanced Inputs'!J$19="Photon system",10^'Advanced Inputs'!J62,'Advanced Inputs'!J62)</f>
        <v>0</v>
      </c>
      <c r="BV57" s="272">
        <v>416</v>
      </c>
      <c r="BW57" s="8">
        <v>19.6244</v>
      </c>
      <c r="BX57" s="8">
        <v>92.6535</v>
      </c>
      <c r="CC57" s="8">
        <v>1</v>
      </c>
    </row>
    <row r="58" hidden="1" spans="2:81">
      <c r="B58" s="7"/>
      <c r="C58" s="259" t="s">
        <v>198</v>
      </c>
      <c r="H58" s="8">
        <v>417</v>
      </c>
      <c r="I58" s="261"/>
      <c r="J58" s="261"/>
      <c r="K58" s="261"/>
      <c r="L58" s="261"/>
      <c r="M58" s="261"/>
      <c r="N58" s="261"/>
      <c r="O58" s="261"/>
      <c r="P58" s="261"/>
      <c r="Q58" s="261"/>
      <c r="R58" s="261"/>
      <c r="S58" s="261">
        <v>2.03992345679012</v>
      </c>
      <c r="T58" s="261"/>
      <c r="V58" s="8">
        <v>417</v>
      </c>
      <c r="W58" s="261"/>
      <c r="X58" s="261"/>
      <c r="Y58" s="261"/>
      <c r="Z58" s="261"/>
      <c r="AA58" s="261"/>
      <c r="AB58" s="261"/>
      <c r="AC58" s="261"/>
      <c r="AD58" s="261"/>
      <c r="AF58" s="8">
        <v>417</v>
      </c>
      <c r="AG58" s="261"/>
      <c r="AH58" s="261"/>
      <c r="AI58" s="261"/>
      <c r="AJ58" s="261"/>
      <c r="AK58" s="261"/>
      <c r="AL58" s="261"/>
      <c r="AM58" s="261"/>
      <c r="AO58" s="12">
        <v>417</v>
      </c>
      <c r="AP58" s="264"/>
      <c r="AQ58" s="264"/>
      <c r="AR58" s="264">
        <v>0.766668013791324</v>
      </c>
      <c r="AS58" s="264"/>
      <c r="AT58" s="264"/>
      <c r="AU58" s="264"/>
      <c r="AV58" s="264"/>
      <c r="AW58" s="264"/>
      <c r="AX58" s="264"/>
      <c r="AZ58" s="260">
        <v>565</v>
      </c>
      <c r="BA58" s="269">
        <v>103.582</v>
      </c>
      <c r="BB58" s="267">
        <v>98.1671</v>
      </c>
      <c r="BC58" s="268"/>
      <c r="BD58" s="269"/>
      <c r="BE58" s="269"/>
      <c r="BF58" s="269"/>
      <c r="BG58" s="269">
        <v>1</v>
      </c>
      <c r="BH58" s="269"/>
      <c r="BI58" s="262">
        <v>565</v>
      </c>
      <c r="BJ58" s="270"/>
      <c r="BK58" s="270"/>
      <c r="BL58" s="270"/>
      <c r="BM58" s="270"/>
      <c r="BN58" s="270"/>
      <c r="BO58" s="270"/>
      <c r="BP58" s="272">
        <f>Inputs!B61</f>
        <v>417</v>
      </c>
      <c r="BQ58" s="272">
        <f>IF(LEFT(Inputs!$C$11,6)="photon",10^Inputs!C61,Inputs!C61)</f>
        <v>3.20366895713732</v>
      </c>
      <c r="BR58" s="272"/>
      <c r="BS58" s="272">
        <f>'Advanced Inputs'!I63</f>
        <v>417</v>
      </c>
      <c r="BT58" s="272">
        <f>IF('Advanced Inputs'!J$19="Photon system",10^'Advanced Inputs'!J63,'Advanced Inputs'!J63)</f>
        <v>0</v>
      </c>
      <c r="BV58" s="272">
        <v>417</v>
      </c>
      <c r="BW58" s="8">
        <v>19.9617</v>
      </c>
      <c r="BX58" s="8">
        <v>92.8481</v>
      </c>
      <c r="CC58" s="8">
        <v>1</v>
      </c>
    </row>
    <row r="59" hidden="1" spans="2:81">
      <c r="B59" s="7"/>
      <c r="C59" s="259" t="s">
        <v>199</v>
      </c>
      <c r="H59" s="8">
        <v>418</v>
      </c>
      <c r="I59" s="261"/>
      <c r="J59" s="261"/>
      <c r="K59" s="261"/>
      <c r="L59" s="261"/>
      <c r="M59" s="261"/>
      <c r="N59" s="261"/>
      <c r="O59" s="261"/>
      <c r="P59" s="261"/>
      <c r="Q59" s="261"/>
      <c r="R59" s="261"/>
      <c r="S59" s="261">
        <v>2.17318302469136</v>
      </c>
      <c r="T59" s="261"/>
      <c r="V59" s="8">
        <v>418</v>
      </c>
      <c r="W59" s="261"/>
      <c r="X59" s="261"/>
      <c r="Y59" s="261"/>
      <c r="Z59" s="261"/>
      <c r="AA59" s="261"/>
      <c r="AB59" s="261"/>
      <c r="AC59" s="261"/>
      <c r="AD59" s="261"/>
      <c r="AF59" s="8">
        <v>418</v>
      </c>
      <c r="AG59" s="261"/>
      <c r="AH59" s="261"/>
      <c r="AI59" s="261"/>
      <c r="AJ59" s="261"/>
      <c r="AK59" s="261"/>
      <c r="AL59" s="261"/>
      <c r="AM59" s="261"/>
      <c r="AO59" s="12">
        <v>418</v>
      </c>
      <c r="AP59" s="264"/>
      <c r="AQ59" s="264"/>
      <c r="AR59" s="264">
        <v>0.893989460165678</v>
      </c>
      <c r="AS59" s="264"/>
      <c r="AT59" s="264"/>
      <c r="AU59" s="264"/>
      <c r="AV59" s="264"/>
      <c r="AW59" s="264"/>
      <c r="AX59" s="264"/>
      <c r="AZ59" s="260">
        <v>570</v>
      </c>
      <c r="BA59" s="269">
        <v>107.184</v>
      </c>
      <c r="BB59" s="267">
        <v>96.3342</v>
      </c>
      <c r="BC59" s="268"/>
      <c r="BD59" s="269"/>
      <c r="BE59" s="269"/>
      <c r="BF59" s="269"/>
      <c r="BG59" s="269">
        <v>1</v>
      </c>
      <c r="BH59" s="269"/>
      <c r="BI59" s="262">
        <v>570</v>
      </c>
      <c r="BJ59" s="270"/>
      <c r="BK59" s="270"/>
      <c r="BL59" s="270"/>
      <c r="BM59" s="270"/>
      <c r="BN59" s="270"/>
      <c r="BO59" s="270"/>
      <c r="BP59" s="272">
        <f>Inputs!B62</f>
        <v>418</v>
      </c>
      <c r="BQ59" s="272">
        <f>IF(LEFT(Inputs!$C$11,6)="photon",10^Inputs!C62,Inputs!C62)</f>
        <v>3.75931925456993</v>
      </c>
      <c r="BR59" s="272"/>
      <c r="BS59" s="272">
        <f>'Advanced Inputs'!I64</f>
        <v>418</v>
      </c>
      <c r="BT59" s="272">
        <f>IF('Advanced Inputs'!J$19="Photon system",10^'Advanced Inputs'!J64,'Advanced Inputs'!J64)</f>
        <v>0</v>
      </c>
      <c r="BV59" s="272">
        <v>418</v>
      </c>
      <c r="BW59" s="8">
        <v>20.3026</v>
      </c>
      <c r="BX59" s="8">
        <v>93.0426</v>
      </c>
      <c r="CC59" s="8">
        <v>1</v>
      </c>
    </row>
    <row r="60" hidden="1" spans="2:81">
      <c r="B60" s="7"/>
      <c r="C60" s="259" t="s">
        <v>200</v>
      </c>
      <c r="H60" s="8">
        <v>419</v>
      </c>
      <c r="I60" s="261"/>
      <c r="J60" s="261"/>
      <c r="K60" s="261"/>
      <c r="L60" s="261"/>
      <c r="M60" s="261"/>
      <c r="N60" s="261"/>
      <c r="O60" s="261"/>
      <c r="P60" s="261"/>
      <c r="Q60" s="261"/>
      <c r="R60" s="261"/>
      <c r="S60" s="261">
        <v>2.31296172839506</v>
      </c>
      <c r="T60" s="261"/>
      <c r="V60" s="8">
        <v>419</v>
      </c>
      <c r="W60" s="261"/>
      <c r="X60" s="261"/>
      <c r="Y60" s="261"/>
      <c r="Z60" s="261"/>
      <c r="AA60" s="261"/>
      <c r="AB60" s="261"/>
      <c r="AC60" s="261"/>
      <c r="AD60" s="261"/>
      <c r="AF60" s="8">
        <v>419</v>
      </c>
      <c r="AG60" s="261"/>
      <c r="AH60" s="261"/>
      <c r="AI60" s="261"/>
      <c r="AJ60" s="261"/>
      <c r="AK60" s="261"/>
      <c r="AL60" s="261"/>
      <c r="AM60" s="261"/>
      <c r="AO60" s="12">
        <v>419</v>
      </c>
      <c r="AP60" s="264"/>
      <c r="AQ60" s="264"/>
      <c r="AR60" s="264">
        <v>1.03896604535399</v>
      </c>
      <c r="AS60" s="264"/>
      <c r="AT60" s="264"/>
      <c r="AU60" s="264"/>
      <c r="AV60" s="264"/>
      <c r="AW60" s="264"/>
      <c r="AX60" s="264"/>
      <c r="AZ60" s="260">
        <v>575</v>
      </c>
      <c r="BA60" s="269">
        <v>110.803</v>
      </c>
      <c r="BB60" s="267">
        <v>96.0611</v>
      </c>
      <c r="BC60" s="268"/>
      <c r="BD60" s="269"/>
      <c r="BE60" s="269"/>
      <c r="BF60" s="269"/>
      <c r="BG60" s="269">
        <v>1</v>
      </c>
      <c r="BH60" s="269"/>
      <c r="BI60" s="262">
        <v>575</v>
      </c>
      <c r="BJ60" s="270"/>
      <c r="BK60" s="270"/>
      <c r="BL60" s="270"/>
      <c r="BM60" s="270"/>
      <c r="BN60" s="270"/>
      <c r="BO60" s="270"/>
      <c r="BP60" s="272">
        <f>Inputs!B63</f>
        <v>419</v>
      </c>
      <c r="BQ60" s="272">
        <f>IF(LEFT(Inputs!$C$11,6)="photon",10^Inputs!C63,Inputs!C63)</f>
        <v>4.39852332385377</v>
      </c>
      <c r="BR60" s="272"/>
      <c r="BS60" s="272">
        <f>'Advanced Inputs'!I65</f>
        <v>419</v>
      </c>
      <c r="BT60" s="272">
        <f>IF('Advanced Inputs'!J$19="Photon system",10^'Advanced Inputs'!J65,'Advanced Inputs'!J65)</f>
        <v>0</v>
      </c>
      <c r="BV60" s="272">
        <v>419</v>
      </c>
      <c r="BW60" s="8">
        <v>20.647</v>
      </c>
      <c r="BX60" s="8">
        <v>93.2372</v>
      </c>
      <c r="CC60" s="8">
        <v>1</v>
      </c>
    </row>
    <row r="61" hidden="1" spans="2:81">
      <c r="B61" s="7"/>
      <c r="C61" s="259" t="s">
        <v>201</v>
      </c>
      <c r="H61" s="8">
        <v>420</v>
      </c>
      <c r="I61" s="261"/>
      <c r="J61" s="261"/>
      <c r="K61" s="261"/>
      <c r="L61" s="261"/>
      <c r="M61" s="261"/>
      <c r="N61" s="261"/>
      <c r="O61" s="261"/>
      <c r="P61" s="261"/>
      <c r="Q61" s="261"/>
      <c r="R61" s="261"/>
      <c r="S61" s="261">
        <v>2.46</v>
      </c>
      <c r="T61" s="261"/>
      <c r="V61" s="8">
        <v>420</v>
      </c>
      <c r="W61" s="261"/>
      <c r="X61" s="261"/>
      <c r="Y61" s="261"/>
      <c r="Z61" s="261"/>
      <c r="AA61" s="261"/>
      <c r="AB61" s="261"/>
      <c r="AC61" s="261"/>
      <c r="AD61" s="261"/>
      <c r="AF61" s="8">
        <v>420</v>
      </c>
      <c r="AG61" s="261"/>
      <c r="AH61" s="261"/>
      <c r="AI61" s="261"/>
      <c r="AJ61" s="261"/>
      <c r="AK61" s="261"/>
      <c r="AL61" s="261"/>
      <c r="AM61" s="261"/>
      <c r="AO61" s="12">
        <v>420</v>
      </c>
      <c r="AP61" s="264"/>
      <c r="AQ61" s="264"/>
      <c r="AR61" s="264">
        <v>1.20311228031153</v>
      </c>
      <c r="AS61" s="264"/>
      <c r="AT61" s="264"/>
      <c r="AU61" s="264"/>
      <c r="AV61" s="264"/>
      <c r="AW61" s="264"/>
      <c r="AX61" s="264"/>
      <c r="AZ61" s="260">
        <v>580</v>
      </c>
      <c r="BA61" s="269">
        <v>114.436</v>
      </c>
      <c r="BB61" s="267">
        <v>95.788</v>
      </c>
      <c r="BC61" s="268"/>
      <c r="BD61" s="269"/>
      <c r="BE61" s="269"/>
      <c r="BF61" s="269"/>
      <c r="BG61" s="269">
        <v>1</v>
      </c>
      <c r="BH61" s="269"/>
      <c r="BI61" s="262">
        <v>580</v>
      </c>
      <c r="BJ61" s="270"/>
      <c r="BK61" s="270"/>
      <c r="BL61" s="270"/>
      <c r="BM61" s="270"/>
      <c r="BN61" s="270"/>
      <c r="BO61" s="270"/>
      <c r="BP61" s="272">
        <f>Inputs!B64</f>
        <v>420</v>
      </c>
      <c r="BQ61" s="272">
        <f>IF(LEFT(Inputs!$C$11,6)="photon",10^Inputs!C64,Inputs!C64)</f>
        <v>5.08176733204877</v>
      </c>
      <c r="BR61" s="272"/>
      <c r="BS61" s="272">
        <f>'Advanced Inputs'!I66</f>
        <v>420</v>
      </c>
      <c r="BT61" s="272">
        <f>IF('Advanced Inputs'!J$19="Photon system",10^'Advanced Inputs'!J66,'Advanced Inputs'!J66)</f>
        <v>0</v>
      </c>
      <c r="BV61" s="272">
        <v>420</v>
      </c>
      <c r="BW61" s="8">
        <v>20.995</v>
      </c>
      <c r="BX61" s="8">
        <v>93.4318</v>
      </c>
      <c r="CC61" s="8">
        <v>1</v>
      </c>
    </row>
    <row r="62" hidden="1" spans="2:81">
      <c r="B62" s="7"/>
      <c r="C62" s="259" t="s">
        <v>202</v>
      </c>
      <c r="H62" s="8">
        <v>421</v>
      </c>
      <c r="I62" s="261"/>
      <c r="J62" s="261"/>
      <c r="K62" s="261"/>
      <c r="L62" s="261"/>
      <c r="M62" s="261"/>
      <c r="N62" s="261"/>
      <c r="O62" s="261"/>
      <c r="P62" s="261"/>
      <c r="Q62" s="261"/>
      <c r="R62" s="261"/>
      <c r="S62" s="261">
        <v>2.61512</v>
      </c>
      <c r="T62" s="261"/>
      <c r="V62" s="8">
        <v>421</v>
      </c>
      <c r="W62" s="261"/>
      <c r="X62" s="261"/>
      <c r="Y62" s="261"/>
      <c r="Z62" s="261"/>
      <c r="AA62" s="261"/>
      <c r="AB62" s="261"/>
      <c r="AC62" s="261"/>
      <c r="AD62" s="261"/>
      <c r="AF62" s="8">
        <v>421</v>
      </c>
      <c r="AG62" s="261"/>
      <c r="AH62" s="261"/>
      <c r="AI62" s="261"/>
      <c r="AJ62" s="261"/>
      <c r="AK62" s="261"/>
      <c r="AL62" s="261"/>
      <c r="AM62" s="261"/>
      <c r="AO62" s="12">
        <v>421</v>
      </c>
      <c r="AP62" s="264"/>
      <c r="AQ62" s="264"/>
      <c r="AR62" s="264">
        <v>1.38846341640869</v>
      </c>
      <c r="AS62" s="264"/>
      <c r="AT62" s="264"/>
      <c r="AU62" s="264"/>
      <c r="AV62" s="264"/>
      <c r="AW62" s="264"/>
      <c r="AX62" s="264"/>
      <c r="AZ62" s="260">
        <v>585</v>
      </c>
      <c r="BA62" s="269">
        <v>118.08</v>
      </c>
      <c r="BB62" s="267">
        <v>92.2368</v>
      </c>
      <c r="BC62" s="268"/>
      <c r="BD62" s="269"/>
      <c r="BE62" s="269"/>
      <c r="BF62" s="269"/>
      <c r="BG62" s="269">
        <v>1</v>
      </c>
      <c r="BH62" s="269"/>
      <c r="BI62" s="262">
        <v>585</v>
      </c>
      <c r="BJ62" s="270"/>
      <c r="BK62" s="270"/>
      <c r="BL62" s="270"/>
      <c r="BM62" s="270"/>
      <c r="BN62" s="270"/>
      <c r="BO62" s="270"/>
      <c r="BP62" s="272">
        <f>Inputs!B65</f>
        <v>421</v>
      </c>
      <c r="BQ62" s="272">
        <f>IF(LEFT(Inputs!$C$11,6)="photon",10^Inputs!C65,Inputs!C65)</f>
        <v>5.77052241072665</v>
      </c>
      <c r="BR62" s="272"/>
      <c r="BS62" s="272">
        <f>'Advanced Inputs'!I67</f>
        <v>421</v>
      </c>
      <c r="BT62" s="272">
        <f>IF('Advanced Inputs'!J$19="Photon system",10^'Advanced Inputs'!J67,'Advanced Inputs'!J67)</f>
        <v>0</v>
      </c>
      <c r="BV62" s="272">
        <v>421</v>
      </c>
      <c r="BW62" s="8">
        <v>21.3465</v>
      </c>
      <c r="BX62" s="8">
        <v>92.7568</v>
      </c>
      <c r="CC62" s="8">
        <v>1</v>
      </c>
    </row>
    <row r="63" hidden="1" spans="2:81">
      <c r="B63" s="7"/>
      <c r="C63" s="259" t="s">
        <v>183</v>
      </c>
      <c r="H63" s="8">
        <v>422</v>
      </c>
      <c r="I63" s="261"/>
      <c r="J63" s="261"/>
      <c r="K63" s="261"/>
      <c r="L63" s="261"/>
      <c r="M63" s="261"/>
      <c r="N63" s="261"/>
      <c r="O63" s="261"/>
      <c r="P63" s="261"/>
      <c r="Q63" s="261"/>
      <c r="R63" s="261"/>
      <c r="S63" s="261">
        <v>2.77896</v>
      </c>
      <c r="T63" s="261"/>
      <c r="V63" s="8">
        <v>422</v>
      </c>
      <c r="W63" s="261"/>
      <c r="X63" s="261"/>
      <c r="Y63" s="261"/>
      <c r="Z63" s="261"/>
      <c r="AA63" s="261"/>
      <c r="AB63" s="261"/>
      <c r="AC63" s="261"/>
      <c r="AD63" s="261"/>
      <c r="AF63" s="8">
        <v>422</v>
      </c>
      <c r="AG63" s="261"/>
      <c r="AH63" s="261"/>
      <c r="AI63" s="261"/>
      <c r="AJ63" s="261"/>
      <c r="AK63" s="261"/>
      <c r="AL63" s="261"/>
      <c r="AM63" s="261"/>
      <c r="AO63" s="12">
        <v>422</v>
      </c>
      <c r="AP63" s="264"/>
      <c r="AQ63" s="264"/>
      <c r="AR63" s="264">
        <v>1.59649327661388</v>
      </c>
      <c r="AS63" s="264"/>
      <c r="AT63" s="264"/>
      <c r="AU63" s="264"/>
      <c r="AV63" s="264"/>
      <c r="AW63" s="264"/>
      <c r="AX63" s="264"/>
      <c r="AZ63" s="260">
        <v>590</v>
      </c>
      <c r="BA63" s="269">
        <v>121.731</v>
      </c>
      <c r="BB63" s="267">
        <v>88.6856</v>
      </c>
      <c r="BC63" s="268"/>
      <c r="BD63" s="269"/>
      <c r="BE63" s="269"/>
      <c r="BF63" s="269"/>
      <c r="BG63" s="269">
        <v>1</v>
      </c>
      <c r="BH63" s="269"/>
      <c r="BI63" s="262">
        <v>590</v>
      </c>
      <c r="BJ63" s="270"/>
      <c r="BK63" s="270"/>
      <c r="BL63" s="270"/>
      <c r="BM63" s="270"/>
      <c r="BN63" s="270"/>
      <c r="BO63" s="270"/>
      <c r="BP63" s="272">
        <f>Inputs!B66</f>
        <v>422</v>
      </c>
      <c r="BQ63" s="272">
        <f>IF(LEFT(Inputs!$C$11,6)="photon",10^Inputs!C66,Inputs!C66)</f>
        <v>6.56781111468074</v>
      </c>
      <c r="BR63" s="272"/>
      <c r="BS63" s="272">
        <f>'Advanced Inputs'!I68</f>
        <v>422</v>
      </c>
      <c r="BT63" s="272">
        <f>IF('Advanced Inputs'!J$19="Photon system",10^'Advanced Inputs'!J68,'Advanced Inputs'!J68)</f>
        <v>0</v>
      </c>
      <c r="BV63" s="272">
        <v>422</v>
      </c>
      <c r="BW63" s="8">
        <v>21.7016</v>
      </c>
      <c r="BX63" s="8">
        <v>92.0819</v>
      </c>
      <c r="CC63" s="8">
        <v>1</v>
      </c>
    </row>
    <row r="64" hidden="1" spans="2:81">
      <c r="B64" s="7"/>
      <c r="C64" s="259" t="s">
        <v>184</v>
      </c>
      <c r="H64" s="8">
        <v>423</v>
      </c>
      <c r="I64" s="261"/>
      <c r="J64" s="261"/>
      <c r="K64" s="261"/>
      <c r="L64" s="261"/>
      <c r="M64" s="261"/>
      <c r="N64" s="261"/>
      <c r="O64" s="261"/>
      <c r="P64" s="261"/>
      <c r="Q64" s="261"/>
      <c r="R64" s="261"/>
      <c r="S64" s="261">
        <v>2.95224</v>
      </c>
      <c r="T64" s="261"/>
      <c r="V64" s="8">
        <v>423</v>
      </c>
      <c r="W64" s="261"/>
      <c r="X64" s="261"/>
      <c r="Y64" s="261"/>
      <c r="Z64" s="261"/>
      <c r="AA64" s="261"/>
      <c r="AB64" s="261"/>
      <c r="AC64" s="261"/>
      <c r="AD64" s="261"/>
      <c r="AF64" s="8">
        <v>423</v>
      </c>
      <c r="AG64" s="261"/>
      <c r="AH64" s="261"/>
      <c r="AI64" s="261"/>
      <c r="AJ64" s="261"/>
      <c r="AK64" s="261"/>
      <c r="AL64" s="261"/>
      <c r="AM64" s="261"/>
      <c r="AO64" s="12">
        <v>423</v>
      </c>
      <c r="AP64" s="264"/>
      <c r="AQ64" s="264"/>
      <c r="AR64" s="264">
        <v>1.82907864084728</v>
      </c>
      <c r="AS64" s="264"/>
      <c r="AT64" s="264"/>
      <c r="AU64" s="264"/>
      <c r="AV64" s="264"/>
      <c r="AW64" s="264"/>
      <c r="AX64" s="264"/>
      <c r="AZ64" s="260">
        <v>595</v>
      </c>
      <c r="BA64" s="269">
        <v>125.386</v>
      </c>
      <c r="BB64" s="267">
        <v>89.3459</v>
      </c>
      <c r="BC64" s="268"/>
      <c r="BD64" s="269"/>
      <c r="BE64" s="269"/>
      <c r="BF64" s="269"/>
      <c r="BG64" s="269">
        <v>1</v>
      </c>
      <c r="BH64" s="269"/>
      <c r="BI64" s="262">
        <v>595</v>
      </c>
      <c r="BJ64" s="270"/>
      <c r="BK64" s="270"/>
      <c r="BL64" s="270"/>
      <c r="BM64" s="270"/>
      <c r="BN64" s="270"/>
      <c r="BO64" s="270"/>
      <c r="BP64" s="272">
        <f>Inputs!B67</f>
        <v>423</v>
      </c>
      <c r="BQ64" s="272">
        <f>IF(LEFT(Inputs!$C$11,6)="photon",10^Inputs!C67,Inputs!C67)</f>
        <v>7.37783506860311</v>
      </c>
      <c r="BR64" s="272"/>
      <c r="BS64" s="272">
        <f>'Advanced Inputs'!I69</f>
        <v>423</v>
      </c>
      <c r="BT64" s="272">
        <f>IF('Advanced Inputs'!J$19="Photon system",10^'Advanced Inputs'!J69,'Advanced Inputs'!J69)</f>
        <v>0</v>
      </c>
      <c r="BV64" s="272">
        <v>423</v>
      </c>
      <c r="BW64" s="8">
        <v>22.0603</v>
      </c>
      <c r="BX64" s="8">
        <v>91.4069</v>
      </c>
      <c r="CC64" s="8">
        <v>1</v>
      </c>
    </row>
    <row r="65" hidden="1" spans="2:81">
      <c r="B65" s="7"/>
      <c r="C65" s="259" t="s">
        <v>123</v>
      </c>
      <c r="H65" s="8">
        <v>424</v>
      </c>
      <c r="I65" s="261"/>
      <c r="J65" s="261"/>
      <c r="K65" s="261"/>
      <c r="L65" s="261"/>
      <c r="M65" s="261"/>
      <c r="N65" s="261"/>
      <c r="O65" s="261"/>
      <c r="P65" s="261"/>
      <c r="Q65" s="261"/>
      <c r="R65" s="261"/>
      <c r="S65" s="261">
        <v>3.13568</v>
      </c>
      <c r="T65" s="261"/>
      <c r="V65" s="8">
        <v>424</v>
      </c>
      <c r="W65" s="261"/>
      <c r="X65" s="261"/>
      <c r="Y65" s="261"/>
      <c r="Z65" s="261"/>
      <c r="AA65" s="261"/>
      <c r="AB65" s="261"/>
      <c r="AC65" s="261"/>
      <c r="AD65" s="261"/>
      <c r="AF65" s="8">
        <v>424</v>
      </c>
      <c r="AG65" s="261"/>
      <c r="AH65" s="261"/>
      <c r="AI65" s="261"/>
      <c r="AJ65" s="261"/>
      <c r="AK65" s="261"/>
      <c r="AL65" s="261"/>
      <c r="AM65" s="261"/>
      <c r="AO65" s="12">
        <v>424</v>
      </c>
      <c r="AP65" s="264"/>
      <c r="AQ65" s="264"/>
      <c r="AR65" s="264">
        <v>2.08735676435545</v>
      </c>
      <c r="AS65" s="264"/>
      <c r="AT65" s="264"/>
      <c r="AU65" s="264"/>
      <c r="AV65" s="264"/>
      <c r="AW65" s="264"/>
      <c r="AX65" s="264"/>
      <c r="AZ65" s="260">
        <v>600</v>
      </c>
      <c r="BA65" s="269">
        <v>129.043</v>
      </c>
      <c r="BB65" s="267">
        <v>90.0062</v>
      </c>
      <c r="BC65" s="268"/>
      <c r="BD65" s="269"/>
      <c r="BE65" s="269"/>
      <c r="BF65" s="269"/>
      <c r="BG65" s="269">
        <v>1</v>
      </c>
      <c r="BH65" s="269"/>
      <c r="BI65" s="262">
        <v>600</v>
      </c>
      <c r="BJ65" s="270"/>
      <c r="BK65" s="270"/>
      <c r="BL65" s="270"/>
      <c r="BM65" s="270"/>
      <c r="BN65" s="270"/>
      <c r="BO65" s="270"/>
      <c r="BP65" s="272">
        <f>Inputs!B68</f>
        <v>424</v>
      </c>
      <c r="BQ65" s="272">
        <f>IF(LEFT(Inputs!$C$11,6)="photon",10^Inputs!C68,Inputs!C68)</f>
        <v>8.1518074541019</v>
      </c>
      <c r="BR65" s="272"/>
      <c r="BS65" s="272">
        <f>'Advanced Inputs'!I70</f>
        <v>424</v>
      </c>
      <c r="BT65" s="272">
        <f>IF('Advanced Inputs'!J$19="Photon system",10^'Advanced Inputs'!J70,'Advanced Inputs'!J70)</f>
        <v>0</v>
      </c>
      <c r="BV65" s="272">
        <v>424</v>
      </c>
      <c r="BW65" s="8">
        <v>22.4225</v>
      </c>
      <c r="BX65" s="8">
        <v>90.732</v>
      </c>
      <c r="CC65" s="8">
        <v>1</v>
      </c>
    </row>
    <row r="66" hidden="1" spans="2:81">
      <c r="B66" s="7"/>
      <c r="C66" s="259" t="s">
        <v>185</v>
      </c>
      <c r="H66" s="8">
        <v>425</v>
      </c>
      <c r="I66" s="261"/>
      <c r="J66" s="261"/>
      <c r="K66" s="261"/>
      <c r="L66" s="261"/>
      <c r="M66" s="261"/>
      <c r="N66" s="261"/>
      <c r="O66" s="261"/>
      <c r="P66" s="261"/>
      <c r="Q66" s="261"/>
      <c r="R66" s="261"/>
      <c r="S66" s="261">
        <v>3.33</v>
      </c>
      <c r="T66" s="261"/>
      <c r="V66" s="8">
        <v>425</v>
      </c>
      <c r="W66" s="261"/>
      <c r="X66" s="261"/>
      <c r="Y66" s="261"/>
      <c r="Z66" s="261"/>
      <c r="AA66" s="261"/>
      <c r="AB66" s="261"/>
      <c r="AC66" s="261"/>
      <c r="AD66" s="261"/>
      <c r="AF66" s="8">
        <v>425</v>
      </c>
      <c r="AG66" s="261"/>
      <c r="AH66" s="261"/>
      <c r="AI66" s="261"/>
      <c r="AJ66" s="261"/>
      <c r="AK66" s="261"/>
      <c r="AL66" s="261"/>
      <c r="AM66" s="261"/>
      <c r="AO66" s="12">
        <v>425</v>
      </c>
      <c r="AP66" s="264"/>
      <c r="AQ66" s="264"/>
      <c r="AR66" s="264">
        <v>2.37260086743392</v>
      </c>
      <c r="AS66" s="264"/>
      <c r="AT66" s="264"/>
      <c r="AU66" s="264"/>
      <c r="AV66" s="264"/>
      <c r="AW66" s="264"/>
      <c r="AX66" s="264"/>
      <c r="AZ66" s="260">
        <v>605</v>
      </c>
      <c r="BA66" s="269">
        <v>132.697</v>
      </c>
      <c r="BB66" s="267">
        <v>89.8026</v>
      </c>
      <c r="BC66" s="268"/>
      <c r="BD66" s="269"/>
      <c r="BE66" s="269"/>
      <c r="BF66" s="269"/>
      <c r="BG66" s="269">
        <v>1</v>
      </c>
      <c r="BH66" s="269"/>
      <c r="BI66" s="262">
        <v>605</v>
      </c>
      <c r="BJ66" s="270"/>
      <c r="BK66" s="270"/>
      <c r="BL66" s="270"/>
      <c r="BM66" s="270"/>
      <c r="BN66" s="270"/>
      <c r="BO66" s="270"/>
      <c r="BP66" s="272">
        <f>Inputs!B69</f>
        <v>425</v>
      </c>
      <c r="BQ66" s="272">
        <f>IF(LEFT(Inputs!$C$11,6)="photon",10^Inputs!C69,Inputs!C69)</f>
        <v>8.82499937631178</v>
      </c>
      <c r="BR66" s="272"/>
      <c r="BS66" s="272">
        <f>'Advanced Inputs'!I71</f>
        <v>425</v>
      </c>
      <c r="BT66" s="272">
        <f>IF('Advanced Inputs'!J$19="Photon system",10^'Advanced Inputs'!J71,'Advanced Inputs'!J71)</f>
        <v>0</v>
      </c>
      <c r="BV66" s="272">
        <v>425</v>
      </c>
      <c r="BW66" s="8">
        <v>22.7883</v>
      </c>
      <c r="BX66" s="8">
        <v>90.057</v>
      </c>
      <c r="CC66" s="8">
        <v>1</v>
      </c>
    </row>
    <row r="67" hidden="1" spans="2:81">
      <c r="B67" s="7"/>
      <c r="C67" s="259" t="s">
        <v>186</v>
      </c>
      <c r="H67" s="8">
        <v>426</v>
      </c>
      <c r="I67" s="261"/>
      <c r="J67" s="261"/>
      <c r="K67" s="261"/>
      <c r="L67" s="261"/>
      <c r="M67" s="261"/>
      <c r="N67" s="261"/>
      <c r="O67" s="261"/>
      <c r="P67" s="261"/>
      <c r="Q67" s="261"/>
      <c r="R67" s="261"/>
      <c r="S67" s="261">
        <v>3.55423506172839</v>
      </c>
      <c r="T67" s="261"/>
      <c r="V67" s="8">
        <v>426</v>
      </c>
      <c r="W67" s="261"/>
      <c r="X67" s="261"/>
      <c r="Y67" s="261"/>
      <c r="Z67" s="261"/>
      <c r="AA67" s="261"/>
      <c r="AB67" s="261"/>
      <c r="AC67" s="261"/>
      <c r="AD67" s="261"/>
      <c r="AF67" s="8">
        <v>426</v>
      </c>
      <c r="AG67" s="261"/>
      <c r="AH67" s="261"/>
      <c r="AI67" s="261"/>
      <c r="AJ67" s="261"/>
      <c r="AK67" s="261"/>
      <c r="AL67" s="261"/>
      <c r="AM67" s="261"/>
      <c r="AO67" s="12">
        <v>426</v>
      </c>
      <c r="AP67" s="264"/>
      <c r="AQ67" s="264"/>
      <c r="AR67" s="264">
        <v>2.68593362438198</v>
      </c>
      <c r="AS67" s="264"/>
      <c r="AT67" s="264"/>
      <c r="AU67" s="264"/>
      <c r="AV67" s="264"/>
      <c r="AW67" s="264"/>
      <c r="AX67" s="264"/>
      <c r="AZ67" s="260">
        <v>610</v>
      </c>
      <c r="BA67" s="269">
        <v>136.346</v>
      </c>
      <c r="BB67" s="267">
        <v>89.5991</v>
      </c>
      <c r="BC67" s="268"/>
      <c r="BD67" s="269"/>
      <c r="BE67" s="269"/>
      <c r="BF67" s="269"/>
      <c r="BG67" s="269">
        <v>1</v>
      </c>
      <c r="BH67" s="269"/>
      <c r="BI67" s="262">
        <v>610</v>
      </c>
      <c r="BJ67" s="270"/>
      <c r="BK67" s="270"/>
      <c r="BL67" s="270"/>
      <c r="BM67" s="270"/>
      <c r="BN67" s="270"/>
      <c r="BO67" s="270"/>
      <c r="BP67" s="272">
        <f>Inputs!B70</f>
        <v>426</v>
      </c>
      <c r="BQ67" s="272">
        <f>IF(LEFT(Inputs!$C$11,6)="photon",10^Inputs!C70,Inputs!C70)</f>
        <v>9.49630919629774</v>
      </c>
      <c r="BR67" s="272"/>
      <c r="BS67" s="272">
        <f>'Advanced Inputs'!I72</f>
        <v>426</v>
      </c>
      <c r="BT67" s="272">
        <f>IF('Advanced Inputs'!J$19="Photon system",10^'Advanced Inputs'!J72,'Advanced Inputs'!J72)</f>
        <v>0</v>
      </c>
      <c r="BV67" s="272">
        <v>426</v>
      </c>
      <c r="BW67" s="8">
        <v>23.1577</v>
      </c>
      <c r="BX67" s="8">
        <v>89.3821</v>
      </c>
      <c r="CC67" s="8">
        <v>1</v>
      </c>
    </row>
    <row r="68" hidden="1" spans="2:81">
      <c r="B68" s="7"/>
      <c r="C68" s="259" t="s">
        <v>187</v>
      </c>
      <c r="H68" s="8">
        <v>427</v>
      </c>
      <c r="I68" s="261"/>
      <c r="J68" s="261"/>
      <c r="K68" s="261"/>
      <c r="L68" s="261"/>
      <c r="M68" s="261"/>
      <c r="N68" s="261"/>
      <c r="O68" s="261"/>
      <c r="P68" s="261"/>
      <c r="Q68" s="261"/>
      <c r="R68" s="261"/>
      <c r="S68" s="261">
        <v>3.78621135802469</v>
      </c>
      <c r="T68" s="261"/>
      <c r="V68" s="8">
        <v>427</v>
      </c>
      <c r="W68" s="261"/>
      <c r="X68" s="261"/>
      <c r="Y68" s="261"/>
      <c r="Z68" s="261"/>
      <c r="AA68" s="261"/>
      <c r="AB68" s="261"/>
      <c r="AC68" s="261"/>
      <c r="AD68" s="261"/>
      <c r="AF68" s="8">
        <v>427</v>
      </c>
      <c r="AG68" s="261"/>
      <c r="AH68" s="261"/>
      <c r="AI68" s="261"/>
      <c r="AJ68" s="261"/>
      <c r="AK68" s="261"/>
      <c r="AL68" s="261"/>
      <c r="AM68" s="261"/>
      <c r="AO68" s="12">
        <v>427</v>
      </c>
      <c r="AP68" s="264"/>
      <c r="AQ68" s="264"/>
      <c r="AR68" s="264">
        <v>3.02857038631996</v>
      </c>
      <c r="AS68" s="264"/>
      <c r="AT68" s="264"/>
      <c r="AU68" s="264"/>
      <c r="AV68" s="264"/>
      <c r="AW68" s="264"/>
      <c r="AX68" s="264"/>
      <c r="AZ68" s="260">
        <v>615</v>
      </c>
      <c r="BA68" s="269">
        <v>139.988</v>
      </c>
      <c r="BB68" s="267">
        <v>88.6489</v>
      </c>
      <c r="BC68" s="268"/>
      <c r="BD68" s="269"/>
      <c r="BE68" s="269"/>
      <c r="BF68" s="269"/>
      <c r="BG68" s="269">
        <v>1</v>
      </c>
      <c r="BH68" s="269"/>
      <c r="BI68" s="262">
        <v>615</v>
      </c>
      <c r="BJ68" s="270"/>
      <c r="BK68" s="270"/>
      <c r="BL68" s="270"/>
      <c r="BM68" s="270"/>
      <c r="BN68" s="270"/>
      <c r="BO68" s="270"/>
      <c r="BP68" s="272">
        <f>Inputs!B71</f>
        <v>427</v>
      </c>
      <c r="BQ68" s="272">
        <f>IF(LEFT(Inputs!$C$11,6)="photon",10^Inputs!C71,Inputs!C71)</f>
        <v>9.91570865773669</v>
      </c>
      <c r="BR68" s="272"/>
      <c r="BS68" s="272">
        <f>'Advanced Inputs'!I73</f>
        <v>427</v>
      </c>
      <c r="BT68" s="272">
        <f>IF('Advanced Inputs'!J$19="Photon system",10^'Advanced Inputs'!J73,'Advanced Inputs'!J73)</f>
        <v>0</v>
      </c>
      <c r="BV68" s="272">
        <v>427</v>
      </c>
      <c r="BW68" s="8">
        <v>23.5307</v>
      </c>
      <c r="BX68" s="8">
        <v>88.7071</v>
      </c>
      <c r="CC68" s="8">
        <v>1</v>
      </c>
    </row>
    <row r="69" hidden="1" spans="2:81">
      <c r="B69" s="7"/>
      <c r="C69" s="259" t="s">
        <v>188</v>
      </c>
      <c r="H69" s="8">
        <v>428</v>
      </c>
      <c r="I69" s="261"/>
      <c r="J69" s="261"/>
      <c r="K69" s="261"/>
      <c r="L69" s="261"/>
      <c r="M69" s="261"/>
      <c r="N69" s="261"/>
      <c r="O69" s="261"/>
      <c r="P69" s="261"/>
      <c r="Q69" s="261"/>
      <c r="R69" s="261"/>
      <c r="S69" s="261">
        <v>4.02207012345679</v>
      </c>
      <c r="T69" s="261"/>
      <c r="V69" s="8">
        <v>428</v>
      </c>
      <c r="W69" s="261"/>
      <c r="X69" s="261"/>
      <c r="Y69" s="261"/>
      <c r="Z69" s="261"/>
      <c r="AA69" s="261"/>
      <c r="AB69" s="261"/>
      <c r="AC69" s="261"/>
      <c r="AD69" s="261"/>
      <c r="AF69" s="8">
        <v>428</v>
      </c>
      <c r="AG69" s="261"/>
      <c r="AH69" s="261"/>
      <c r="AI69" s="261"/>
      <c r="AJ69" s="261"/>
      <c r="AK69" s="261"/>
      <c r="AL69" s="261"/>
      <c r="AM69" s="261"/>
      <c r="AO69" s="12">
        <v>428</v>
      </c>
      <c r="AP69" s="264"/>
      <c r="AQ69" s="264"/>
      <c r="AR69" s="264">
        <v>3.40128573012336</v>
      </c>
      <c r="AS69" s="264"/>
      <c r="AT69" s="264"/>
      <c r="AU69" s="264"/>
      <c r="AV69" s="264"/>
      <c r="AW69" s="264"/>
      <c r="AX69" s="264"/>
      <c r="AZ69" s="260">
        <v>620</v>
      </c>
      <c r="BA69" s="269">
        <v>143.618</v>
      </c>
      <c r="BB69" s="267">
        <v>87.6987</v>
      </c>
      <c r="BC69" s="268"/>
      <c r="BD69" s="269"/>
      <c r="BE69" s="269"/>
      <c r="BF69" s="269"/>
      <c r="BG69" s="269">
        <v>1</v>
      </c>
      <c r="BH69" s="269"/>
      <c r="BI69" s="262">
        <v>620</v>
      </c>
      <c r="BJ69" s="270"/>
      <c r="BK69" s="270"/>
      <c r="BL69" s="270"/>
      <c r="BM69" s="270"/>
      <c r="BN69" s="270"/>
      <c r="BO69" s="270"/>
      <c r="BP69" s="272">
        <f>Inputs!B72</f>
        <v>428</v>
      </c>
      <c r="BQ69" s="272">
        <f>IF(LEFT(Inputs!$C$11,6)="photon",10^Inputs!C72,Inputs!C72)</f>
        <v>10.2532863454401</v>
      </c>
      <c r="BR69" s="272"/>
      <c r="BS69" s="272">
        <f>'Advanced Inputs'!I74</f>
        <v>428</v>
      </c>
      <c r="BT69" s="272">
        <f>IF('Advanced Inputs'!J$19="Photon system",10^'Advanced Inputs'!J74,'Advanced Inputs'!J74)</f>
        <v>0</v>
      </c>
      <c r="BV69" s="272">
        <v>428</v>
      </c>
      <c r="BW69" s="8">
        <v>23.9072</v>
      </c>
      <c r="BX69" s="8">
        <v>88.0322</v>
      </c>
      <c r="CC69" s="8">
        <v>1</v>
      </c>
    </row>
    <row r="70" hidden="1" spans="2:81">
      <c r="B70" s="7"/>
      <c r="C70" s="259" t="s">
        <v>189</v>
      </c>
      <c r="H70" s="8">
        <v>429</v>
      </c>
      <c r="I70" s="261"/>
      <c r="J70" s="261"/>
      <c r="K70" s="261"/>
      <c r="L70" s="261"/>
      <c r="M70" s="261"/>
      <c r="N70" s="261"/>
      <c r="O70" s="261"/>
      <c r="P70" s="261"/>
      <c r="Q70" s="261"/>
      <c r="R70" s="261"/>
      <c r="S70" s="261">
        <v>4.25795259259259</v>
      </c>
      <c r="T70" s="261"/>
      <c r="V70" s="8">
        <v>429</v>
      </c>
      <c r="W70" s="261"/>
      <c r="X70" s="261"/>
      <c r="Y70" s="261"/>
      <c r="Z70" s="261"/>
      <c r="AA70" s="261"/>
      <c r="AB70" s="261"/>
      <c r="AC70" s="261"/>
      <c r="AD70" s="261"/>
      <c r="AF70" s="8">
        <v>429</v>
      </c>
      <c r="AG70" s="261"/>
      <c r="AH70" s="261"/>
      <c r="AI70" s="261"/>
      <c r="AJ70" s="261"/>
      <c r="AK70" s="261"/>
      <c r="AL70" s="261"/>
      <c r="AM70" s="261"/>
      <c r="AO70" s="12">
        <v>429</v>
      </c>
      <c r="AP70" s="264"/>
      <c r="AQ70" s="264"/>
      <c r="AR70" s="264">
        <v>3.80477547116008</v>
      </c>
      <c r="AS70" s="264"/>
      <c r="AT70" s="264"/>
      <c r="AU70" s="264"/>
      <c r="AV70" s="264"/>
      <c r="AW70" s="264"/>
      <c r="AX70" s="264"/>
      <c r="AZ70" s="260">
        <v>625</v>
      </c>
      <c r="BA70" s="269">
        <v>147.235</v>
      </c>
      <c r="BB70" s="267">
        <v>85.4936</v>
      </c>
      <c r="BC70" s="268"/>
      <c r="BD70" s="269"/>
      <c r="BE70" s="269"/>
      <c r="BF70" s="269"/>
      <c r="BG70" s="269">
        <v>1</v>
      </c>
      <c r="BH70" s="269"/>
      <c r="BI70" s="262">
        <v>625</v>
      </c>
      <c r="BJ70" s="270"/>
      <c r="BK70" s="270"/>
      <c r="BL70" s="270"/>
      <c r="BM70" s="270"/>
      <c r="BN70" s="270"/>
      <c r="BO70" s="270"/>
      <c r="BP70" s="272">
        <f>Inputs!B73</f>
        <v>429</v>
      </c>
      <c r="BQ70" s="272">
        <f>IF(LEFT(Inputs!$C$11,6)="photon",10^Inputs!C73,Inputs!C73)</f>
        <v>10.6043981802274</v>
      </c>
      <c r="BR70" s="272"/>
      <c r="BS70" s="272">
        <f>'Advanced Inputs'!I75</f>
        <v>429</v>
      </c>
      <c r="BT70" s="272">
        <f>IF('Advanced Inputs'!J$19="Photon system",10^'Advanced Inputs'!J75,'Advanced Inputs'!J75)</f>
        <v>0</v>
      </c>
      <c r="BV70" s="272">
        <v>429</v>
      </c>
      <c r="BW70" s="8">
        <v>24.2873</v>
      </c>
      <c r="BX70" s="8">
        <v>87.3572</v>
      </c>
      <c r="CC70" s="8">
        <v>1</v>
      </c>
    </row>
    <row r="71" hidden="1" spans="2:81">
      <c r="B71" s="7"/>
      <c r="C71" s="259" t="s">
        <v>190</v>
      </c>
      <c r="H71" s="8">
        <v>430</v>
      </c>
      <c r="I71" s="261"/>
      <c r="J71" s="261"/>
      <c r="K71" s="261"/>
      <c r="L71" s="261"/>
      <c r="M71" s="261"/>
      <c r="N71" s="261"/>
      <c r="O71" s="261"/>
      <c r="P71" s="261"/>
      <c r="Q71" s="261"/>
      <c r="R71" s="261"/>
      <c r="S71" s="261">
        <v>4.49</v>
      </c>
      <c r="T71" s="261"/>
      <c r="V71" s="8">
        <v>430</v>
      </c>
      <c r="W71" s="261"/>
      <c r="X71" s="261"/>
      <c r="Y71" s="261"/>
      <c r="Z71" s="261"/>
      <c r="AA71" s="261"/>
      <c r="AB71" s="261"/>
      <c r="AC71" s="261"/>
      <c r="AD71" s="261"/>
      <c r="AF71" s="8">
        <v>430</v>
      </c>
      <c r="AG71" s="261"/>
      <c r="AH71" s="261"/>
      <c r="AI71" s="261"/>
      <c r="AJ71" s="261"/>
      <c r="AK71" s="261"/>
      <c r="AL71" s="261"/>
      <c r="AM71" s="261"/>
      <c r="AO71" s="12">
        <v>430</v>
      </c>
      <c r="AP71" s="264"/>
      <c r="AQ71" s="264"/>
      <c r="AR71" s="264">
        <v>4.24094629970168</v>
      </c>
      <c r="AS71" s="264"/>
      <c r="AT71" s="264"/>
      <c r="AU71" s="264"/>
      <c r="AV71" s="264"/>
      <c r="AW71" s="264"/>
      <c r="AX71" s="264"/>
      <c r="AZ71" s="260">
        <v>630</v>
      </c>
      <c r="BA71" s="269">
        <v>150.836</v>
      </c>
      <c r="BB71" s="267">
        <v>83.2886</v>
      </c>
      <c r="BC71" s="268"/>
      <c r="BD71" s="269"/>
      <c r="BE71" s="269"/>
      <c r="BF71" s="269"/>
      <c r="BG71" s="269">
        <v>1</v>
      </c>
      <c r="BH71" s="269"/>
      <c r="BI71" s="262">
        <v>630</v>
      </c>
      <c r="BJ71" s="270"/>
      <c r="BK71" s="270"/>
      <c r="BL71" s="270"/>
      <c r="BM71" s="270"/>
      <c r="BN71" s="270"/>
      <c r="BO71" s="270"/>
      <c r="BP71" s="272">
        <f>Inputs!B74</f>
        <v>430</v>
      </c>
      <c r="BQ71" s="272">
        <f>IF(LEFT(Inputs!$C$11,6)="photon",10^Inputs!C74,Inputs!C74)</f>
        <v>10.5964754269361</v>
      </c>
      <c r="BR71" s="272"/>
      <c r="BS71" s="272">
        <f>'Advanced Inputs'!I76</f>
        <v>430</v>
      </c>
      <c r="BT71" s="272">
        <f>IF('Advanced Inputs'!J$19="Photon system",10^'Advanced Inputs'!J76,'Advanced Inputs'!J76)</f>
        <v>0</v>
      </c>
      <c r="BV71" s="272">
        <v>430</v>
      </c>
      <c r="BW71" s="8">
        <v>24.6709</v>
      </c>
      <c r="BX71" s="8">
        <v>86.6823</v>
      </c>
      <c r="CC71" s="8">
        <v>1</v>
      </c>
    </row>
    <row r="72" hidden="1" spans="2:81">
      <c r="B72" s="7"/>
      <c r="C72" s="258" t="s">
        <v>203</v>
      </c>
      <c r="H72" s="8">
        <v>431</v>
      </c>
      <c r="I72" s="261"/>
      <c r="J72" s="261"/>
      <c r="K72" s="261"/>
      <c r="L72" s="261"/>
      <c r="M72" s="261"/>
      <c r="N72" s="261"/>
      <c r="O72" s="261"/>
      <c r="P72" s="261"/>
      <c r="Q72" s="261"/>
      <c r="R72" s="261"/>
      <c r="S72" s="261">
        <v>4.69652049382716</v>
      </c>
      <c r="T72" s="261"/>
      <c r="V72" s="8">
        <v>431</v>
      </c>
      <c r="W72" s="261"/>
      <c r="X72" s="261"/>
      <c r="Y72" s="261"/>
      <c r="Z72" s="261"/>
      <c r="AA72" s="261"/>
      <c r="AB72" s="261"/>
      <c r="AC72" s="261"/>
      <c r="AD72" s="261"/>
      <c r="AF72" s="8">
        <v>431</v>
      </c>
      <c r="AG72" s="261"/>
      <c r="AH72" s="261"/>
      <c r="AI72" s="261"/>
      <c r="AJ72" s="261"/>
      <c r="AK72" s="261"/>
      <c r="AL72" s="261"/>
      <c r="AM72" s="261"/>
      <c r="AO72" s="12">
        <v>431</v>
      </c>
      <c r="AP72" s="264"/>
      <c r="AQ72" s="264"/>
      <c r="AR72" s="264">
        <v>4.71887219220311</v>
      </c>
      <c r="AS72" s="264"/>
      <c r="AT72" s="264"/>
      <c r="AU72" s="264"/>
      <c r="AV72" s="264"/>
      <c r="AW72" s="264"/>
      <c r="AX72" s="264"/>
      <c r="AZ72" s="260">
        <v>635</v>
      </c>
      <c r="BA72" s="269">
        <v>154.418</v>
      </c>
      <c r="BB72" s="267">
        <v>83.4939</v>
      </c>
      <c r="BC72" s="268"/>
      <c r="BD72" s="269"/>
      <c r="BE72" s="269"/>
      <c r="BF72" s="269"/>
      <c r="BG72" s="269">
        <v>1</v>
      </c>
      <c r="BH72" s="269"/>
      <c r="BI72" s="262">
        <v>635</v>
      </c>
      <c r="BJ72" s="270"/>
      <c r="BK72" s="270"/>
      <c r="BL72" s="270"/>
      <c r="BM72" s="270"/>
      <c r="BN72" s="270"/>
      <c r="BO72" s="270"/>
      <c r="BP72" s="272">
        <f>Inputs!B75</f>
        <v>431</v>
      </c>
      <c r="BQ72" s="272">
        <f>IF(LEFT(Inputs!$C$11,6)="photon",10^Inputs!C75,Inputs!C75)</f>
        <v>10.5051034114509</v>
      </c>
      <c r="BR72" s="272"/>
      <c r="BS72" s="272">
        <f>'Advanced Inputs'!I77</f>
        <v>431</v>
      </c>
      <c r="BT72" s="272">
        <f>IF('Advanced Inputs'!J$19="Photon system",10^'Advanced Inputs'!J77,'Advanced Inputs'!J77)</f>
        <v>0</v>
      </c>
      <c r="BV72" s="272">
        <v>431</v>
      </c>
      <c r="BW72" s="8">
        <v>25.0581</v>
      </c>
      <c r="BX72" s="8">
        <v>88.5006</v>
      </c>
      <c r="CC72" s="8">
        <v>1</v>
      </c>
    </row>
    <row r="73" hidden="1" spans="8:81">
      <c r="H73" s="8">
        <v>432</v>
      </c>
      <c r="I73" s="261"/>
      <c r="J73" s="261"/>
      <c r="K73" s="261"/>
      <c r="L73" s="261"/>
      <c r="M73" s="261"/>
      <c r="N73" s="261"/>
      <c r="O73" s="261"/>
      <c r="P73" s="261"/>
      <c r="Q73" s="261"/>
      <c r="R73" s="261"/>
      <c r="S73" s="261">
        <v>4.89594666666667</v>
      </c>
      <c r="T73" s="261"/>
      <c r="V73" s="8">
        <v>432</v>
      </c>
      <c r="W73" s="261"/>
      <c r="X73" s="261"/>
      <c r="Y73" s="261"/>
      <c r="Z73" s="261"/>
      <c r="AA73" s="261"/>
      <c r="AB73" s="261"/>
      <c r="AC73" s="261"/>
      <c r="AD73" s="261"/>
      <c r="AF73" s="8">
        <v>432</v>
      </c>
      <c r="AG73" s="261"/>
      <c r="AH73" s="261"/>
      <c r="AI73" s="261"/>
      <c r="AJ73" s="261"/>
      <c r="AK73" s="261"/>
      <c r="AL73" s="261"/>
      <c r="AM73" s="261"/>
      <c r="AO73" s="12">
        <v>432</v>
      </c>
      <c r="AP73" s="264"/>
      <c r="AQ73" s="264"/>
      <c r="AR73" s="264">
        <v>5.24074023345174</v>
      </c>
      <c r="AS73" s="264"/>
      <c r="AT73" s="264"/>
      <c r="AU73" s="264"/>
      <c r="AV73" s="264"/>
      <c r="AW73" s="264"/>
      <c r="AX73" s="264"/>
      <c r="AZ73" s="260">
        <v>640</v>
      </c>
      <c r="BA73" s="269">
        <v>157.979</v>
      </c>
      <c r="BB73" s="267">
        <v>83.6992</v>
      </c>
      <c r="BC73" s="268"/>
      <c r="BD73" s="269"/>
      <c r="BE73" s="269"/>
      <c r="BF73" s="269"/>
      <c r="BG73" s="269">
        <v>1</v>
      </c>
      <c r="BH73" s="269"/>
      <c r="BI73" s="262">
        <v>640</v>
      </c>
      <c r="BJ73" s="270"/>
      <c r="BK73" s="270"/>
      <c r="BL73" s="270"/>
      <c r="BM73" s="270"/>
      <c r="BN73" s="270"/>
      <c r="BO73" s="270"/>
      <c r="BP73" s="272">
        <f>Inputs!B76</f>
        <v>432</v>
      </c>
      <c r="BQ73" s="272">
        <f>IF(LEFT(Inputs!$C$11,6)="photon",10^Inputs!C76,Inputs!C76)</f>
        <v>10.2508015996064</v>
      </c>
      <c r="BR73" s="272"/>
      <c r="BS73" s="272">
        <f>'Advanced Inputs'!I78</f>
        <v>432</v>
      </c>
      <c r="BT73" s="272">
        <f>IF('Advanced Inputs'!J$19="Photon system",10^'Advanced Inputs'!J78,'Advanced Inputs'!J78)</f>
        <v>0</v>
      </c>
      <c r="BV73" s="272">
        <v>432</v>
      </c>
      <c r="BW73" s="8">
        <v>25.4489</v>
      </c>
      <c r="BX73" s="8">
        <v>90.3188</v>
      </c>
      <c r="CC73" s="8">
        <v>1</v>
      </c>
    </row>
    <row r="74" hidden="1" spans="8:81">
      <c r="H74" s="8">
        <v>433</v>
      </c>
      <c r="I74" s="261"/>
      <c r="J74" s="261"/>
      <c r="K74" s="261"/>
      <c r="L74" s="261"/>
      <c r="M74" s="261"/>
      <c r="N74" s="261"/>
      <c r="O74" s="261"/>
      <c r="P74" s="261"/>
      <c r="Q74" s="261"/>
      <c r="R74" s="261"/>
      <c r="S74" s="261">
        <v>5.08887802469136</v>
      </c>
      <c r="T74" s="261"/>
      <c r="V74" s="8">
        <v>433</v>
      </c>
      <c r="W74" s="261"/>
      <c r="X74" s="261"/>
      <c r="Y74" s="261"/>
      <c r="Z74" s="261"/>
      <c r="AA74" s="261"/>
      <c r="AB74" s="261"/>
      <c r="AC74" s="261"/>
      <c r="AD74" s="261"/>
      <c r="AF74" s="8">
        <v>433</v>
      </c>
      <c r="AG74" s="261"/>
      <c r="AH74" s="261"/>
      <c r="AI74" s="261"/>
      <c r="AJ74" s="261"/>
      <c r="AK74" s="261"/>
      <c r="AL74" s="261"/>
      <c r="AM74" s="261"/>
      <c r="AO74" s="12">
        <v>433</v>
      </c>
      <c r="AP74" s="264"/>
      <c r="AQ74" s="264"/>
      <c r="AR74" s="264">
        <v>5.81581322758154</v>
      </c>
      <c r="AS74" s="264"/>
      <c r="AT74" s="264"/>
      <c r="AU74" s="264"/>
      <c r="AV74" s="264"/>
      <c r="AW74" s="264"/>
      <c r="AX74" s="264"/>
      <c r="AZ74" s="260">
        <v>645</v>
      </c>
      <c r="BA74" s="269">
        <v>161.516</v>
      </c>
      <c r="BB74" s="267">
        <v>81.863</v>
      </c>
      <c r="BC74" s="268"/>
      <c r="BD74" s="269"/>
      <c r="BE74" s="269"/>
      <c r="BF74" s="269"/>
      <c r="BG74" s="269">
        <v>1</v>
      </c>
      <c r="BH74" s="269"/>
      <c r="BI74" s="262">
        <v>645</v>
      </c>
      <c r="BJ74" s="270"/>
      <c r="BK74" s="270"/>
      <c r="BL74" s="270"/>
      <c r="BM74" s="270"/>
      <c r="BN74" s="270"/>
      <c r="BO74" s="270"/>
      <c r="BP74" s="272">
        <f>Inputs!B77</f>
        <v>433</v>
      </c>
      <c r="BQ74" s="272">
        <f>IF(LEFT(Inputs!$C$11,6)="photon",10^Inputs!C77,Inputs!C77)</f>
        <v>9.84749074988137</v>
      </c>
      <c r="BR74" s="272"/>
      <c r="BS74" s="272">
        <f>'Advanced Inputs'!I79</f>
        <v>433</v>
      </c>
      <c r="BT74" s="272">
        <f>IF('Advanced Inputs'!J$19="Photon system",10^'Advanced Inputs'!J79,'Advanced Inputs'!J79)</f>
        <v>0</v>
      </c>
      <c r="BV74" s="272">
        <v>433</v>
      </c>
      <c r="BW74" s="8">
        <v>25.8432</v>
      </c>
      <c r="BX74" s="8">
        <v>92.1371</v>
      </c>
      <c r="CC74" s="8">
        <v>1</v>
      </c>
    </row>
    <row r="75" hidden="1" spans="8:81">
      <c r="H75" s="8">
        <v>434</v>
      </c>
      <c r="I75" s="261"/>
      <c r="J75" s="261"/>
      <c r="K75" s="261"/>
      <c r="L75" s="261"/>
      <c r="M75" s="261"/>
      <c r="N75" s="261"/>
      <c r="O75" s="261"/>
      <c r="P75" s="261"/>
      <c r="Q75" s="261"/>
      <c r="R75" s="261"/>
      <c r="S75" s="261">
        <v>5.27591407407407</v>
      </c>
      <c r="T75" s="261"/>
      <c r="V75" s="8">
        <v>434</v>
      </c>
      <c r="W75" s="261"/>
      <c r="X75" s="261"/>
      <c r="Y75" s="261"/>
      <c r="Z75" s="261"/>
      <c r="AA75" s="261"/>
      <c r="AB75" s="261"/>
      <c r="AC75" s="261"/>
      <c r="AD75" s="261"/>
      <c r="AF75" s="8">
        <v>434</v>
      </c>
      <c r="AG75" s="261"/>
      <c r="AH75" s="261"/>
      <c r="AI75" s="261"/>
      <c r="AJ75" s="261"/>
      <c r="AK75" s="261"/>
      <c r="AL75" s="261"/>
      <c r="AM75" s="261"/>
      <c r="AO75" s="12">
        <v>434</v>
      </c>
      <c r="AP75" s="264"/>
      <c r="AQ75" s="264"/>
      <c r="AR75" s="264">
        <v>6.45561280266929</v>
      </c>
      <c r="AS75" s="264"/>
      <c r="AT75" s="264"/>
      <c r="AU75" s="264"/>
      <c r="AV75" s="264"/>
      <c r="AW75" s="264"/>
      <c r="AX75" s="264"/>
      <c r="AZ75" s="260">
        <v>650</v>
      </c>
      <c r="BA75" s="269">
        <v>165.028</v>
      </c>
      <c r="BB75" s="267">
        <v>80.0268</v>
      </c>
      <c r="BC75" s="268"/>
      <c r="BD75" s="269"/>
      <c r="BE75" s="269"/>
      <c r="BF75" s="269"/>
      <c r="BG75" s="269">
        <v>1</v>
      </c>
      <c r="BH75" s="269"/>
      <c r="BI75" s="262">
        <v>650</v>
      </c>
      <c r="BJ75" s="270"/>
      <c r="BK75" s="270"/>
      <c r="BL75" s="270"/>
      <c r="BM75" s="270"/>
      <c r="BN75" s="270"/>
      <c r="BO75" s="270"/>
      <c r="BP75" s="272">
        <f>Inputs!B78</f>
        <v>434</v>
      </c>
      <c r="BQ75" s="272">
        <f>IF(LEFT(Inputs!$C$11,6)="photon",10^Inputs!C78,Inputs!C78)</f>
        <v>9.43373627411354</v>
      </c>
      <c r="BR75" s="272"/>
      <c r="BS75" s="272">
        <f>'Advanced Inputs'!I80</f>
        <v>434</v>
      </c>
      <c r="BT75" s="272">
        <f>IF('Advanced Inputs'!J$19="Photon system",10^'Advanced Inputs'!J80,'Advanced Inputs'!J80)</f>
        <v>0</v>
      </c>
      <c r="BV75" s="272">
        <v>434</v>
      </c>
      <c r="BW75" s="8">
        <v>26.2411</v>
      </c>
      <c r="BX75" s="8">
        <v>93.9554</v>
      </c>
      <c r="CC75" s="8">
        <v>1</v>
      </c>
    </row>
    <row r="76" hidden="1" spans="8:81">
      <c r="H76" s="8">
        <v>435</v>
      </c>
      <c r="I76" s="261"/>
      <c r="J76" s="261"/>
      <c r="K76" s="261"/>
      <c r="L76" s="261"/>
      <c r="M76" s="261"/>
      <c r="N76" s="261"/>
      <c r="O76" s="261"/>
      <c r="P76" s="261"/>
      <c r="Q76" s="261"/>
      <c r="R76" s="261"/>
      <c r="S76" s="261">
        <v>31.388406282663</v>
      </c>
      <c r="T76" s="261"/>
      <c r="V76" s="8">
        <v>435</v>
      </c>
      <c r="W76" s="261"/>
      <c r="X76" s="261"/>
      <c r="Y76" s="261"/>
      <c r="Z76" s="261"/>
      <c r="AA76" s="261"/>
      <c r="AB76" s="261"/>
      <c r="AC76" s="261"/>
      <c r="AD76" s="261"/>
      <c r="AF76" s="8">
        <v>435</v>
      </c>
      <c r="AG76" s="261"/>
      <c r="AH76" s="261"/>
      <c r="AI76" s="261"/>
      <c r="AJ76" s="261"/>
      <c r="AK76" s="261"/>
      <c r="AL76" s="261"/>
      <c r="AM76" s="261"/>
      <c r="AO76" s="12">
        <v>435</v>
      </c>
      <c r="AP76" s="264"/>
      <c r="AQ76" s="264"/>
      <c r="AR76" s="264">
        <v>7.17234936786683</v>
      </c>
      <c r="AS76" s="264"/>
      <c r="AT76" s="264"/>
      <c r="AU76" s="264"/>
      <c r="AV76" s="264"/>
      <c r="AW76" s="264"/>
      <c r="AX76" s="264"/>
      <c r="AZ76" s="260">
        <v>655</v>
      </c>
      <c r="BA76" s="269">
        <v>168.51</v>
      </c>
      <c r="BB76" s="267">
        <v>80.1207</v>
      </c>
      <c r="BC76" s="268"/>
      <c r="BD76" s="269"/>
      <c r="BE76" s="269"/>
      <c r="BF76" s="269"/>
      <c r="BG76" s="269">
        <v>1</v>
      </c>
      <c r="BH76" s="269"/>
      <c r="BI76" s="262">
        <v>655</v>
      </c>
      <c r="BJ76" s="270"/>
      <c r="BK76" s="270"/>
      <c r="BL76" s="270"/>
      <c r="BM76" s="270"/>
      <c r="BN76" s="270"/>
      <c r="BO76" s="270"/>
      <c r="BP76" s="272">
        <f>Inputs!B79</f>
        <v>435</v>
      </c>
      <c r="BQ76" s="272">
        <f>IF(LEFT(Inputs!$C$11,6)="photon",10^Inputs!C79,Inputs!C79)</f>
        <v>8.90862428776355</v>
      </c>
      <c r="BR76" s="272"/>
      <c r="BS76" s="272">
        <f>'Advanced Inputs'!I81</f>
        <v>435</v>
      </c>
      <c r="BT76" s="272">
        <f>IF('Advanced Inputs'!J$19="Photon system",10^'Advanced Inputs'!J81,'Advanced Inputs'!J81)</f>
        <v>0</v>
      </c>
      <c r="BV76" s="272">
        <v>435</v>
      </c>
      <c r="BW76" s="8">
        <v>26.6425</v>
      </c>
      <c r="BX76" s="8">
        <v>95.7736</v>
      </c>
      <c r="CC76" s="8">
        <v>1</v>
      </c>
    </row>
    <row r="77" hidden="1" spans="8:81">
      <c r="H77" s="8">
        <v>436</v>
      </c>
      <c r="I77" s="261"/>
      <c r="J77" s="261"/>
      <c r="K77" s="261"/>
      <c r="L77" s="261"/>
      <c r="M77" s="261"/>
      <c r="N77" s="261"/>
      <c r="O77" s="261"/>
      <c r="P77" s="261"/>
      <c r="Q77" s="261"/>
      <c r="R77" s="261"/>
      <c r="S77" s="261">
        <v>150.850716496642</v>
      </c>
      <c r="T77" s="261"/>
      <c r="V77" s="8">
        <v>436</v>
      </c>
      <c r="W77" s="261"/>
      <c r="X77" s="261"/>
      <c r="Y77" s="261"/>
      <c r="Z77" s="261"/>
      <c r="AA77" s="261"/>
      <c r="AB77" s="261"/>
      <c r="AC77" s="261"/>
      <c r="AD77" s="261"/>
      <c r="AF77" s="8">
        <v>436</v>
      </c>
      <c r="AG77" s="261"/>
      <c r="AH77" s="261"/>
      <c r="AI77" s="261"/>
      <c r="AJ77" s="261"/>
      <c r="AK77" s="261"/>
      <c r="AL77" s="261"/>
      <c r="AM77" s="261"/>
      <c r="AO77" s="12">
        <v>436</v>
      </c>
      <c r="AP77" s="264"/>
      <c r="AQ77" s="264"/>
      <c r="AR77" s="264">
        <v>7.97669457070384</v>
      </c>
      <c r="AS77" s="264"/>
      <c r="AT77" s="264"/>
      <c r="AU77" s="264"/>
      <c r="AV77" s="264"/>
      <c r="AW77" s="264"/>
      <c r="AX77" s="264"/>
      <c r="AZ77" s="260">
        <v>660</v>
      </c>
      <c r="BA77" s="269">
        <v>171.963</v>
      </c>
      <c r="BB77" s="267">
        <v>80.2146</v>
      </c>
      <c r="BC77" s="268"/>
      <c r="BD77" s="269"/>
      <c r="BE77" s="269"/>
      <c r="BF77" s="269"/>
      <c r="BG77" s="269">
        <v>1</v>
      </c>
      <c r="BH77" s="269"/>
      <c r="BI77" s="262">
        <v>660</v>
      </c>
      <c r="BJ77" s="270"/>
      <c r="BK77" s="270"/>
      <c r="BL77" s="270"/>
      <c r="BM77" s="270"/>
      <c r="BN77" s="270"/>
      <c r="BO77" s="270"/>
      <c r="BP77" s="272">
        <f>Inputs!B80</f>
        <v>436</v>
      </c>
      <c r="BQ77" s="272">
        <f>IF(LEFT(Inputs!$C$11,6)="photon",10^Inputs!C80,Inputs!C80)</f>
        <v>8.42579267101393</v>
      </c>
      <c r="BR77" s="272"/>
      <c r="BS77" s="272">
        <f>'Advanced Inputs'!I82</f>
        <v>436</v>
      </c>
      <c r="BT77" s="272">
        <f>IF('Advanced Inputs'!J$19="Photon system",10^'Advanced Inputs'!J82,'Advanced Inputs'!J82)</f>
        <v>0</v>
      </c>
      <c r="BV77" s="272">
        <v>436</v>
      </c>
      <c r="BW77" s="8">
        <v>27.0475</v>
      </c>
      <c r="BX77" s="8">
        <v>97.5919</v>
      </c>
      <c r="CC77" s="8">
        <v>1</v>
      </c>
    </row>
    <row r="78" hidden="1" spans="8:81">
      <c r="H78" s="8">
        <v>437</v>
      </c>
      <c r="I78" s="261"/>
      <c r="J78" s="261"/>
      <c r="K78" s="261"/>
      <c r="L78" s="261"/>
      <c r="M78" s="261"/>
      <c r="N78" s="261"/>
      <c r="O78" s="261"/>
      <c r="P78" s="261"/>
      <c r="Q78" s="261"/>
      <c r="R78" s="261"/>
      <c r="S78" s="261">
        <v>5.83313686343457</v>
      </c>
      <c r="T78" s="261"/>
      <c r="V78" s="8">
        <v>437</v>
      </c>
      <c r="W78" s="261"/>
      <c r="X78" s="261"/>
      <c r="Y78" s="261"/>
      <c r="Z78" s="261"/>
      <c r="AA78" s="261"/>
      <c r="AB78" s="261"/>
      <c r="AC78" s="261"/>
      <c r="AD78" s="261"/>
      <c r="AF78" s="8">
        <v>437</v>
      </c>
      <c r="AG78" s="261"/>
      <c r="AH78" s="261"/>
      <c r="AI78" s="261"/>
      <c r="AJ78" s="261"/>
      <c r="AK78" s="261"/>
      <c r="AL78" s="261"/>
      <c r="AM78" s="261"/>
      <c r="AO78" s="12">
        <v>437</v>
      </c>
      <c r="AP78" s="264"/>
      <c r="AQ78" s="264"/>
      <c r="AR78" s="264">
        <v>8.8756602361538</v>
      </c>
      <c r="AS78" s="264"/>
      <c r="AT78" s="264"/>
      <c r="AU78" s="264"/>
      <c r="AV78" s="264"/>
      <c r="AW78" s="264"/>
      <c r="AX78" s="264"/>
      <c r="AZ78" s="260">
        <v>665</v>
      </c>
      <c r="BA78" s="269">
        <v>175.383</v>
      </c>
      <c r="BB78" s="267">
        <v>81.2462</v>
      </c>
      <c r="BC78" s="268"/>
      <c r="BD78" s="269"/>
      <c r="BE78" s="269"/>
      <c r="BF78" s="269"/>
      <c r="BG78" s="269">
        <v>1</v>
      </c>
      <c r="BH78" s="269"/>
      <c r="BI78" s="262">
        <v>665</v>
      </c>
      <c r="BJ78" s="270"/>
      <c r="BK78" s="270"/>
      <c r="BL78" s="270"/>
      <c r="BM78" s="270"/>
      <c r="BN78" s="270"/>
      <c r="BO78" s="270"/>
      <c r="BP78" s="272">
        <f>Inputs!B81</f>
        <v>437</v>
      </c>
      <c r="BQ78" s="272">
        <f>IF(LEFT(Inputs!$C$11,6)="photon",10^Inputs!C81,Inputs!C81)</f>
        <v>7.97416568767227</v>
      </c>
      <c r="BR78" s="272"/>
      <c r="BS78" s="272">
        <f>'Advanced Inputs'!I83</f>
        <v>437</v>
      </c>
      <c r="BT78" s="272">
        <f>IF('Advanced Inputs'!J$19="Photon system",10^'Advanced Inputs'!J83,'Advanced Inputs'!J83)</f>
        <v>0</v>
      </c>
      <c r="BV78" s="272">
        <v>437</v>
      </c>
      <c r="BW78" s="8">
        <v>27.456</v>
      </c>
      <c r="BX78" s="8">
        <v>99.4102</v>
      </c>
      <c r="CC78" s="8">
        <v>1</v>
      </c>
    </row>
    <row r="79" hidden="1" spans="8:81">
      <c r="H79" s="8">
        <v>438</v>
      </c>
      <c r="I79" s="261"/>
      <c r="J79" s="261"/>
      <c r="K79" s="261"/>
      <c r="L79" s="261"/>
      <c r="M79" s="261"/>
      <c r="N79" s="261"/>
      <c r="O79" s="261"/>
      <c r="P79" s="261"/>
      <c r="Q79" s="261"/>
      <c r="R79" s="261"/>
      <c r="S79" s="261">
        <v>5.9876987654321</v>
      </c>
      <c r="T79" s="261"/>
      <c r="V79" s="8">
        <v>438</v>
      </c>
      <c r="W79" s="261"/>
      <c r="X79" s="261"/>
      <c r="Y79" s="261"/>
      <c r="Z79" s="261"/>
      <c r="AA79" s="261"/>
      <c r="AB79" s="261"/>
      <c r="AC79" s="261"/>
      <c r="AD79" s="261"/>
      <c r="AF79" s="8">
        <v>438</v>
      </c>
      <c r="AG79" s="261"/>
      <c r="AH79" s="261"/>
      <c r="AI79" s="261"/>
      <c r="AJ79" s="261"/>
      <c r="AK79" s="261"/>
      <c r="AL79" s="261"/>
      <c r="AM79" s="261"/>
      <c r="AO79" s="12">
        <v>438</v>
      </c>
      <c r="AP79" s="264"/>
      <c r="AQ79" s="264"/>
      <c r="AR79" s="264">
        <v>9.87057295929047</v>
      </c>
      <c r="AS79" s="264"/>
      <c r="AT79" s="264"/>
      <c r="AU79" s="264"/>
      <c r="AV79" s="264"/>
      <c r="AW79" s="264"/>
      <c r="AX79" s="264"/>
      <c r="AZ79" s="260">
        <v>670</v>
      </c>
      <c r="BA79" s="269">
        <v>178.769</v>
      </c>
      <c r="BB79" s="267">
        <v>82.2778</v>
      </c>
      <c r="BC79" s="268"/>
      <c r="BD79" s="269"/>
      <c r="BE79" s="269"/>
      <c r="BF79" s="269"/>
      <c r="BG79" s="269">
        <v>1</v>
      </c>
      <c r="BH79" s="269"/>
      <c r="BI79" s="262">
        <v>670</v>
      </c>
      <c r="BJ79" s="270"/>
      <c r="BK79" s="270"/>
      <c r="BL79" s="270"/>
      <c r="BM79" s="270"/>
      <c r="BN79" s="270"/>
      <c r="BO79" s="270"/>
      <c r="BP79" s="272">
        <f>Inputs!B82</f>
        <v>438</v>
      </c>
      <c r="BQ79" s="272">
        <f>IF(LEFT(Inputs!$C$11,6)="photon",10^Inputs!C82,Inputs!C82)</f>
        <v>7.612117145095</v>
      </c>
      <c r="BR79" s="272"/>
      <c r="BS79" s="272">
        <f>'Advanced Inputs'!I84</f>
        <v>438</v>
      </c>
      <c r="BT79" s="272">
        <f>IF('Advanced Inputs'!J$19="Photon system",10^'Advanced Inputs'!J84,'Advanced Inputs'!J84)</f>
        <v>0</v>
      </c>
      <c r="BV79" s="272">
        <v>438</v>
      </c>
      <c r="BW79" s="8">
        <v>27.8681</v>
      </c>
      <c r="BX79" s="8">
        <v>101.228</v>
      </c>
      <c r="CC79" s="8">
        <v>1</v>
      </c>
    </row>
    <row r="80" hidden="1" spans="8:81">
      <c r="H80" s="8">
        <v>439</v>
      </c>
      <c r="I80" s="261"/>
      <c r="J80" s="261"/>
      <c r="K80" s="261"/>
      <c r="L80" s="261"/>
      <c r="M80" s="261"/>
      <c r="N80" s="261"/>
      <c r="O80" s="261"/>
      <c r="P80" s="261"/>
      <c r="Q80" s="261"/>
      <c r="R80" s="261"/>
      <c r="S80" s="261">
        <v>6.1516</v>
      </c>
      <c r="T80" s="261"/>
      <c r="V80" s="8">
        <v>439</v>
      </c>
      <c r="W80" s="261"/>
      <c r="X80" s="261"/>
      <c r="Y80" s="261"/>
      <c r="Z80" s="261"/>
      <c r="AA80" s="261"/>
      <c r="AB80" s="261"/>
      <c r="AC80" s="261"/>
      <c r="AD80" s="261"/>
      <c r="AF80" s="8">
        <v>439</v>
      </c>
      <c r="AG80" s="261"/>
      <c r="AH80" s="261"/>
      <c r="AI80" s="261"/>
      <c r="AJ80" s="261"/>
      <c r="AK80" s="261"/>
      <c r="AL80" s="261"/>
      <c r="AM80" s="261"/>
      <c r="AO80" s="12">
        <v>439</v>
      </c>
      <c r="AP80" s="264"/>
      <c r="AQ80" s="264"/>
      <c r="AR80" s="264">
        <v>10.9547603994695</v>
      </c>
      <c r="AS80" s="264"/>
      <c r="AT80" s="264"/>
      <c r="AU80" s="264"/>
      <c r="AV80" s="264"/>
      <c r="AW80" s="264"/>
      <c r="AX80" s="264"/>
      <c r="AZ80" s="260">
        <v>675</v>
      </c>
      <c r="BA80" s="269">
        <v>182.118</v>
      </c>
      <c r="BB80" s="267">
        <v>80.281</v>
      </c>
      <c r="BC80" s="268"/>
      <c r="BD80" s="269"/>
      <c r="BE80" s="269"/>
      <c r="BF80" s="269"/>
      <c r="BG80" s="269">
        <v>1</v>
      </c>
      <c r="BH80" s="269"/>
      <c r="BI80" s="262">
        <v>675</v>
      </c>
      <c r="BJ80" s="270"/>
      <c r="BK80" s="270"/>
      <c r="BL80" s="270"/>
      <c r="BM80" s="270"/>
      <c r="BN80" s="270"/>
      <c r="BO80" s="270"/>
      <c r="BP80" s="272">
        <f>Inputs!B83</f>
        <v>439</v>
      </c>
      <c r="BQ80" s="272">
        <f>IF(LEFT(Inputs!$C$11,6)="photon",10^Inputs!C83,Inputs!C83)</f>
        <v>7.2911476882192</v>
      </c>
      <c r="BR80" s="272"/>
      <c r="BS80" s="272">
        <f>'Advanced Inputs'!I85</f>
        <v>439</v>
      </c>
      <c r="BT80" s="272">
        <f>IF('Advanced Inputs'!J$19="Photon system",10^'Advanced Inputs'!J85,'Advanced Inputs'!J85)</f>
        <v>0</v>
      </c>
      <c r="BV80" s="272">
        <v>439</v>
      </c>
      <c r="BW80" s="8">
        <v>28.2836</v>
      </c>
      <c r="BX80" s="8">
        <v>103.047</v>
      </c>
      <c r="CC80" s="8">
        <v>1</v>
      </c>
    </row>
    <row r="81" hidden="1" spans="8:81">
      <c r="H81" s="8">
        <v>440</v>
      </c>
      <c r="I81" s="261"/>
      <c r="J81" s="261"/>
      <c r="K81" s="261"/>
      <c r="L81" s="261"/>
      <c r="M81" s="261"/>
      <c r="N81" s="261"/>
      <c r="O81" s="261"/>
      <c r="P81" s="261"/>
      <c r="Q81" s="261"/>
      <c r="R81" s="261"/>
      <c r="S81" s="261">
        <v>6.3079012345679</v>
      </c>
      <c r="T81" s="261"/>
      <c r="V81" s="8">
        <v>440</v>
      </c>
      <c r="W81" s="261"/>
      <c r="X81" s="261"/>
      <c r="Y81" s="261"/>
      <c r="Z81" s="261"/>
      <c r="AA81" s="261"/>
      <c r="AB81" s="261"/>
      <c r="AC81" s="261"/>
      <c r="AD81" s="261"/>
      <c r="AF81" s="8">
        <v>440</v>
      </c>
      <c r="AG81" s="261"/>
      <c r="AH81" s="261"/>
      <c r="AI81" s="261"/>
      <c r="AJ81" s="261"/>
      <c r="AK81" s="261"/>
      <c r="AL81" s="261"/>
      <c r="AM81" s="261"/>
      <c r="AO81" s="12">
        <v>440</v>
      </c>
      <c r="AP81" s="264"/>
      <c r="AQ81" s="264"/>
      <c r="AR81" s="264">
        <v>12.1114825779109</v>
      </c>
      <c r="AS81" s="264"/>
      <c r="AT81" s="264"/>
      <c r="AU81" s="264"/>
      <c r="AV81" s="264"/>
      <c r="AW81" s="264"/>
      <c r="AX81" s="264"/>
      <c r="AZ81" s="260">
        <v>680</v>
      </c>
      <c r="BA81" s="269">
        <v>185.429</v>
      </c>
      <c r="BB81" s="267">
        <v>78.2842</v>
      </c>
      <c r="BC81" s="268"/>
      <c r="BD81" s="269"/>
      <c r="BE81" s="269"/>
      <c r="BF81" s="269"/>
      <c r="BG81" s="269">
        <v>1</v>
      </c>
      <c r="BH81" s="269"/>
      <c r="BI81" s="262">
        <v>680</v>
      </c>
      <c r="BJ81" s="270"/>
      <c r="BK81" s="270"/>
      <c r="BL81" s="270"/>
      <c r="BM81" s="270"/>
      <c r="BN81" s="270"/>
      <c r="BO81" s="270"/>
      <c r="BP81" s="272">
        <f>Inputs!B84</f>
        <v>440</v>
      </c>
      <c r="BQ81" s="272">
        <f>IF(LEFT(Inputs!$C$11,6)="photon",10^Inputs!C84,Inputs!C84)</f>
        <v>7.12327982895169</v>
      </c>
      <c r="BR81" s="272"/>
      <c r="BS81" s="272">
        <f>'Advanced Inputs'!I86</f>
        <v>440</v>
      </c>
      <c r="BT81" s="272">
        <f>IF('Advanced Inputs'!J$19="Photon system",10^'Advanced Inputs'!J86,'Advanced Inputs'!J86)</f>
        <v>0</v>
      </c>
      <c r="BV81" s="272">
        <v>440</v>
      </c>
      <c r="BW81" s="8">
        <v>28.7027</v>
      </c>
      <c r="BX81" s="8">
        <v>104.865</v>
      </c>
      <c r="CC81" s="8">
        <v>1</v>
      </c>
    </row>
    <row r="82" hidden="1" spans="8:81">
      <c r="H82" s="8">
        <v>441</v>
      </c>
      <c r="I82" s="261"/>
      <c r="J82" s="261"/>
      <c r="K82" s="261"/>
      <c r="L82" s="261"/>
      <c r="M82" s="261"/>
      <c r="N82" s="261"/>
      <c r="O82" s="261"/>
      <c r="P82" s="261"/>
      <c r="Q82" s="261"/>
      <c r="R82" s="261"/>
      <c r="S82" s="261">
        <v>6.45917925925926</v>
      </c>
      <c r="T82" s="261"/>
      <c r="V82" s="8">
        <v>441</v>
      </c>
      <c r="W82" s="261"/>
      <c r="X82" s="261"/>
      <c r="Y82" s="261"/>
      <c r="Z82" s="261"/>
      <c r="AA82" s="261"/>
      <c r="AB82" s="261"/>
      <c r="AC82" s="261"/>
      <c r="AD82" s="261"/>
      <c r="AF82" s="8">
        <v>441</v>
      </c>
      <c r="AG82" s="261"/>
      <c r="AH82" s="261"/>
      <c r="AI82" s="261"/>
      <c r="AJ82" s="261"/>
      <c r="AK82" s="261"/>
      <c r="AL82" s="261"/>
      <c r="AM82" s="261"/>
      <c r="AO82" s="12">
        <v>441</v>
      </c>
      <c r="AP82" s="264"/>
      <c r="AQ82" s="264"/>
      <c r="AR82" s="264">
        <v>13.3131891577573</v>
      </c>
      <c r="AS82" s="264"/>
      <c r="AT82" s="264"/>
      <c r="AU82" s="264"/>
      <c r="AV82" s="264"/>
      <c r="AW82" s="264"/>
      <c r="AX82" s="264"/>
      <c r="AZ82" s="260">
        <v>685</v>
      </c>
      <c r="BA82" s="269">
        <v>188.701</v>
      </c>
      <c r="BB82" s="267">
        <v>74.0027</v>
      </c>
      <c r="BC82" s="268"/>
      <c r="BD82" s="269"/>
      <c r="BE82" s="269"/>
      <c r="BF82" s="269"/>
      <c r="BG82" s="269">
        <v>1</v>
      </c>
      <c r="BH82" s="269"/>
      <c r="BI82" s="262">
        <v>685</v>
      </c>
      <c r="BJ82" s="270"/>
      <c r="BK82" s="270"/>
      <c r="BL82" s="270"/>
      <c r="BM82" s="270"/>
      <c r="BN82" s="270"/>
      <c r="BO82" s="270"/>
      <c r="BP82" s="272">
        <f>Inputs!B85</f>
        <v>441</v>
      </c>
      <c r="BQ82" s="272">
        <f>IF(LEFT(Inputs!$C$11,6)="photon",10^Inputs!C85,Inputs!C85)</f>
        <v>7.00625788429717</v>
      </c>
      <c r="BR82" s="272"/>
      <c r="BS82" s="272">
        <f>'Advanced Inputs'!I87</f>
        <v>441</v>
      </c>
      <c r="BT82" s="272">
        <f>IF('Advanced Inputs'!J$19="Photon system",10^'Advanced Inputs'!J87,'Advanced Inputs'!J87)</f>
        <v>0</v>
      </c>
      <c r="BV82" s="272">
        <v>441</v>
      </c>
      <c r="BW82" s="8">
        <v>29.1253</v>
      </c>
      <c r="BX82" s="8">
        <v>106.079</v>
      </c>
      <c r="CC82" s="8">
        <v>1</v>
      </c>
    </row>
    <row r="83" hidden="1" spans="8:81">
      <c r="H83" s="8">
        <v>442</v>
      </c>
      <c r="I83" s="261"/>
      <c r="J83" s="261"/>
      <c r="K83" s="261"/>
      <c r="L83" s="261"/>
      <c r="M83" s="261"/>
      <c r="N83" s="261"/>
      <c r="O83" s="261"/>
      <c r="P83" s="261"/>
      <c r="Q83" s="261"/>
      <c r="R83" s="261"/>
      <c r="S83" s="261">
        <v>6.60057975308642</v>
      </c>
      <c r="T83" s="261"/>
      <c r="V83" s="8">
        <v>442</v>
      </c>
      <c r="W83" s="261"/>
      <c r="X83" s="261"/>
      <c r="Y83" s="261"/>
      <c r="Z83" s="261"/>
      <c r="AA83" s="261"/>
      <c r="AB83" s="261"/>
      <c r="AC83" s="261"/>
      <c r="AD83" s="261"/>
      <c r="AF83" s="8">
        <v>442</v>
      </c>
      <c r="AG83" s="261"/>
      <c r="AH83" s="261"/>
      <c r="AI83" s="261"/>
      <c r="AJ83" s="261"/>
      <c r="AK83" s="261"/>
      <c r="AL83" s="261"/>
      <c r="AM83" s="261"/>
      <c r="AO83" s="12">
        <v>442</v>
      </c>
      <c r="AP83" s="264"/>
      <c r="AQ83" s="264"/>
      <c r="AR83" s="264">
        <v>14.5221802659015</v>
      </c>
      <c r="AS83" s="264"/>
      <c r="AT83" s="264"/>
      <c r="AU83" s="264"/>
      <c r="AV83" s="264"/>
      <c r="AW83" s="264"/>
      <c r="AX83" s="264"/>
      <c r="AZ83" s="260">
        <v>690</v>
      </c>
      <c r="BA83" s="269">
        <v>191.931</v>
      </c>
      <c r="BB83" s="267">
        <v>69.7213</v>
      </c>
      <c r="BC83" s="268"/>
      <c r="BD83" s="269"/>
      <c r="BE83" s="269"/>
      <c r="BF83" s="269"/>
      <c r="BG83" s="269">
        <v>1</v>
      </c>
      <c r="BH83" s="269"/>
      <c r="BI83" s="262">
        <v>690</v>
      </c>
      <c r="BJ83" s="270"/>
      <c r="BK83" s="270"/>
      <c r="BL83" s="270"/>
      <c r="BM83" s="270"/>
      <c r="BN83" s="270"/>
      <c r="BO83" s="270"/>
      <c r="BP83" s="272">
        <f>Inputs!B86</f>
        <v>442</v>
      </c>
      <c r="BQ83" s="272">
        <f>IF(LEFT(Inputs!$C$11,6)="photon",10^Inputs!C86,Inputs!C86)</f>
        <v>7.02540678445851</v>
      </c>
      <c r="BR83" s="272"/>
      <c r="BS83" s="272">
        <f>'Advanced Inputs'!I88</f>
        <v>442</v>
      </c>
      <c r="BT83" s="272">
        <f>IF('Advanced Inputs'!J$19="Photon system",10^'Advanced Inputs'!J88,'Advanced Inputs'!J88)</f>
        <v>0</v>
      </c>
      <c r="BV83" s="272">
        <v>442</v>
      </c>
      <c r="BW83" s="8">
        <v>29.5515</v>
      </c>
      <c r="BX83" s="8">
        <v>107.294</v>
      </c>
      <c r="CC83" s="8">
        <v>1</v>
      </c>
    </row>
    <row r="84" hidden="1" spans="8:81">
      <c r="H84" s="8">
        <v>443</v>
      </c>
      <c r="I84" s="261"/>
      <c r="J84" s="261"/>
      <c r="K84" s="261"/>
      <c r="L84" s="261"/>
      <c r="M84" s="261"/>
      <c r="N84" s="261"/>
      <c r="O84" s="261"/>
      <c r="P84" s="261"/>
      <c r="Q84" s="261"/>
      <c r="R84" s="261"/>
      <c r="S84" s="261">
        <v>6.73055111111111</v>
      </c>
      <c r="T84" s="261"/>
      <c r="V84" s="8">
        <v>443</v>
      </c>
      <c r="W84" s="261"/>
      <c r="X84" s="261"/>
      <c r="Y84" s="261"/>
      <c r="Z84" s="261"/>
      <c r="AA84" s="261"/>
      <c r="AB84" s="261"/>
      <c r="AC84" s="261"/>
      <c r="AD84" s="261"/>
      <c r="AF84" s="8">
        <v>443</v>
      </c>
      <c r="AG84" s="261"/>
      <c r="AH84" s="261"/>
      <c r="AI84" s="261"/>
      <c r="AJ84" s="261"/>
      <c r="AK84" s="261"/>
      <c r="AL84" s="261"/>
      <c r="AM84" s="261"/>
      <c r="AO84" s="12">
        <v>443</v>
      </c>
      <c r="AP84" s="264"/>
      <c r="AQ84" s="264"/>
      <c r="AR84" s="264">
        <v>15.6920018593421</v>
      </c>
      <c r="AS84" s="264"/>
      <c r="AT84" s="264"/>
      <c r="AU84" s="264"/>
      <c r="AV84" s="264"/>
      <c r="AW84" s="264"/>
      <c r="AX84" s="264"/>
      <c r="AZ84" s="260">
        <v>695</v>
      </c>
      <c r="BA84" s="269">
        <v>195.118</v>
      </c>
      <c r="BB84" s="267">
        <v>70.6652</v>
      </c>
      <c r="BC84" s="268"/>
      <c r="BD84" s="269"/>
      <c r="BE84" s="269"/>
      <c r="BF84" s="269"/>
      <c r="BG84" s="269">
        <v>1</v>
      </c>
      <c r="BH84" s="269"/>
      <c r="BI84" s="262">
        <v>695</v>
      </c>
      <c r="BJ84" s="270"/>
      <c r="BK84" s="270"/>
      <c r="BL84" s="270"/>
      <c r="BM84" s="270"/>
      <c r="BN84" s="270"/>
      <c r="BO84" s="270"/>
      <c r="BP84" s="272">
        <f>Inputs!B87</f>
        <v>443</v>
      </c>
      <c r="BQ84" s="272">
        <f>IF(LEFT(Inputs!$C$11,6)="photon",10^Inputs!C87,Inputs!C87)</f>
        <v>7.1498909587072</v>
      </c>
      <c r="BR84" s="272"/>
      <c r="BS84" s="272">
        <f>'Advanced Inputs'!I89</f>
        <v>443</v>
      </c>
      <c r="BT84" s="272">
        <f>IF('Advanced Inputs'!J$19="Photon system",10^'Advanced Inputs'!J89,'Advanced Inputs'!J89)</f>
        <v>0</v>
      </c>
      <c r="BV84" s="272">
        <v>443</v>
      </c>
      <c r="BW84" s="8">
        <v>29.9811</v>
      </c>
      <c r="BX84" s="8">
        <v>108.508</v>
      </c>
      <c r="CC84" s="8">
        <v>1</v>
      </c>
    </row>
    <row r="85" hidden="1" spans="8:81">
      <c r="H85" s="8">
        <v>444</v>
      </c>
      <c r="I85" s="261"/>
      <c r="J85" s="261"/>
      <c r="K85" s="261"/>
      <c r="L85" s="261"/>
      <c r="M85" s="261"/>
      <c r="N85" s="261"/>
      <c r="O85" s="261"/>
      <c r="P85" s="261"/>
      <c r="Q85" s="261"/>
      <c r="R85" s="261"/>
      <c r="S85" s="261">
        <v>6.84754172839506</v>
      </c>
      <c r="T85" s="261"/>
      <c r="V85" s="8">
        <v>444</v>
      </c>
      <c r="W85" s="261"/>
      <c r="X85" s="261"/>
      <c r="Y85" s="261"/>
      <c r="Z85" s="261"/>
      <c r="AA85" s="261"/>
      <c r="AB85" s="261"/>
      <c r="AC85" s="261"/>
      <c r="AD85" s="261"/>
      <c r="AF85" s="8">
        <v>444</v>
      </c>
      <c r="AG85" s="261"/>
      <c r="AH85" s="261"/>
      <c r="AI85" s="261"/>
      <c r="AJ85" s="261"/>
      <c r="AK85" s="261"/>
      <c r="AL85" s="261"/>
      <c r="AM85" s="261"/>
      <c r="AO85" s="12">
        <v>444</v>
      </c>
      <c r="AP85" s="264"/>
      <c r="AQ85" s="264"/>
      <c r="AR85" s="264">
        <v>16.7699399319656</v>
      </c>
      <c r="AS85" s="264"/>
      <c r="AT85" s="264"/>
      <c r="AU85" s="264"/>
      <c r="AV85" s="264"/>
      <c r="AW85" s="264"/>
      <c r="AX85" s="264"/>
      <c r="AZ85" s="260">
        <v>700</v>
      </c>
      <c r="BA85" s="269">
        <v>198.261</v>
      </c>
      <c r="BB85" s="267">
        <v>71.6091</v>
      </c>
      <c r="BC85" s="268"/>
      <c r="BD85" s="269"/>
      <c r="BE85" s="269"/>
      <c r="BF85" s="269"/>
      <c r="BG85" s="269">
        <v>1</v>
      </c>
      <c r="BH85" s="269"/>
      <c r="BI85" s="262">
        <v>700</v>
      </c>
      <c r="BJ85" s="270"/>
      <c r="BK85" s="270"/>
      <c r="BL85" s="270"/>
      <c r="BM85" s="270"/>
      <c r="BN85" s="270"/>
      <c r="BO85" s="270"/>
      <c r="BP85" s="272">
        <f>Inputs!B88</f>
        <v>444</v>
      </c>
      <c r="BQ85" s="272">
        <f>IF(LEFT(Inputs!$C$11,6)="photon",10^Inputs!C88,Inputs!C88)</f>
        <v>7.35529333476443</v>
      </c>
      <c r="BR85" s="272"/>
      <c r="BS85" s="272">
        <f>'Advanced Inputs'!I90</f>
        <v>444</v>
      </c>
      <c r="BT85" s="272">
        <f>IF('Advanced Inputs'!J$19="Photon system",10^'Advanced Inputs'!J90,'Advanced Inputs'!J90)</f>
        <v>0</v>
      </c>
      <c r="BV85" s="272">
        <v>444</v>
      </c>
      <c r="BW85" s="8">
        <v>30.4142</v>
      </c>
      <c r="BX85" s="8">
        <v>109.722</v>
      </c>
      <c r="CC85" s="8">
        <v>1</v>
      </c>
    </row>
    <row r="86" hidden="1" spans="8:81">
      <c r="H86" s="8">
        <v>445</v>
      </c>
      <c r="I86" s="261"/>
      <c r="J86" s="261"/>
      <c r="K86" s="261"/>
      <c r="L86" s="261"/>
      <c r="M86" s="261"/>
      <c r="N86" s="261"/>
      <c r="O86" s="261"/>
      <c r="P86" s="261"/>
      <c r="Q86" s="261"/>
      <c r="R86" s="261"/>
      <c r="S86" s="261">
        <v>6.95</v>
      </c>
      <c r="T86" s="261"/>
      <c r="V86" s="8">
        <v>445</v>
      </c>
      <c r="W86" s="261"/>
      <c r="X86" s="261"/>
      <c r="Y86" s="261"/>
      <c r="Z86" s="261"/>
      <c r="AA86" s="261"/>
      <c r="AB86" s="261"/>
      <c r="AC86" s="261"/>
      <c r="AD86" s="261"/>
      <c r="AF86" s="8">
        <v>445</v>
      </c>
      <c r="AG86" s="261"/>
      <c r="AH86" s="261"/>
      <c r="AI86" s="261"/>
      <c r="AJ86" s="261"/>
      <c r="AK86" s="261"/>
      <c r="AL86" s="261"/>
      <c r="AM86" s="261"/>
      <c r="AO86" s="12">
        <v>445</v>
      </c>
      <c r="AP86" s="264"/>
      <c r="AQ86" s="264"/>
      <c r="AR86" s="264">
        <v>17.7017584367089</v>
      </c>
      <c r="AS86" s="264"/>
      <c r="AT86" s="264"/>
      <c r="AU86" s="264"/>
      <c r="AV86" s="264"/>
      <c r="AW86" s="264"/>
      <c r="AX86" s="264"/>
      <c r="AZ86" s="260">
        <v>705</v>
      </c>
      <c r="BA86" s="269">
        <v>201.359</v>
      </c>
      <c r="BB86" s="267">
        <v>72.979</v>
      </c>
      <c r="BC86" s="268"/>
      <c r="BD86" s="269"/>
      <c r="BE86" s="269"/>
      <c r="BF86" s="269"/>
      <c r="BG86" s="269">
        <v>1</v>
      </c>
      <c r="BH86" s="269"/>
      <c r="BI86" s="262">
        <v>705</v>
      </c>
      <c r="BJ86" s="270"/>
      <c r="BK86" s="270"/>
      <c r="BL86" s="270"/>
      <c r="BM86" s="270"/>
      <c r="BN86" s="270"/>
      <c r="BO86" s="270"/>
      <c r="BP86" s="272">
        <f>Inputs!B89</f>
        <v>445</v>
      </c>
      <c r="BQ86" s="272">
        <f>IF(LEFT(Inputs!$C$11,6)="photon",10^Inputs!C89,Inputs!C89)</f>
        <v>7.67773705792438</v>
      </c>
      <c r="BR86" s="272"/>
      <c r="BS86" s="272">
        <f>'Advanced Inputs'!I91</f>
        <v>445</v>
      </c>
      <c r="BT86" s="272">
        <f>IF('Advanced Inputs'!J$19="Photon system",10^'Advanced Inputs'!J91,'Advanced Inputs'!J91)</f>
        <v>0</v>
      </c>
      <c r="BV86" s="272">
        <v>445</v>
      </c>
      <c r="BW86" s="8">
        <v>30.8508</v>
      </c>
      <c r="BX86" s="8">
        <v>110.936</v>
      </c>
      <c r="CC86" s="8">
        <v>1</v>
      </c>
    </row>
    <row r="87" hidden="1" spans="8:81">
      <c r="H87" s="8">
        <v>446</v>
      </c>
      <c r="I87" s="261"/>
      <c r="J87" s="261"/>
      <c r="K87" s="261"/>
      <c r="L87" s="261"/>
      <c r="M87" s="261"/>
      <c r="N87" s="261"/>
      <c r="O87" s="261"/>
      <c r="P87" s="261"/>
      <c r="Q87" s="261"/>
      <c r="R87" s="261"/>
      <c r="S87" s="261">
        <v>7.02722074074074</v>
      </c>
      <c r="T87" s="261"/>
      <c r="V87" s="8">
        <v>446</v>
      </c>
      <c r="W87" s="261"/>
      <c r="X87" s="261"/>
      <c r="Y87" s="261"/>
      <c r="Z87" s="261"/>
      <c r="AA87" s="261"/>
      <c r="AB87" s="261"/>
      <c r="AC87" s="261"/>
      <c r="AD87" s="261"/>
      <c r="AF87" s="8">
        <v>446</v>
      </c>
      <c r="AG87" s="261"/>
      <c r="AH87" s="261"/>
      <c r="AI87" s="261"/>
      <c r="AJ87" s="261"/>
      <c r="AK87" s="261"/>
      <c r="AL87" s="261"/>
      <c r="AM87" s="261"/>
      <c r="AO87" s="12">
        <v>446</v>
      </c>
      <c r="AP87" s="264"/>
      <c r="AQ87" s="264"/>
      <c r="AR87" s="264">
        <v>18.4381632478459</v>
      </c>
      <c r="AS87" s="264"/>
      <c r="AT87" s="264"/>
      <c r="AU87" s="264"/>
      <c r="AV87" s="264"/>
      <c r="AW87" s="264"/>
      <c r="AX87" s="264"/>
      <c r="AZ87" s="260">
        <v>710</v>
      </c>
      <c r="BA87" s="269">
        <v>204.409</v>
      </c>
      <c r="BB87" s="267">
        <v>74.349</v>
      </c>
      <c r="BC87" s="268"/>
      <c r="BD87" s="269"/>
      <c r="BE87" s="269"/>
      <c r="BF87" s="269"/>
      <c r="BG87" s="269">
        <v>1</v>
      </c>
      <c r="BH87" s="269"/>
      <c r="BI87" s="262">
        <v>710</v>
      </c>
      <c r="BJ87" s="270"/>
      <c r="BK87" s="270"/>
      <c r="BL87" s="270"/>
      <c r="BM87" s="270"/>
      <c r="BN87" s="270"/>
      <c r="BO87" s="270"/>
      <c r="BP87" s="272">
        <f>Inputs!B90</f>
        <v>446</v>
      </c>
      <c r="BQ87" s="272">
        <f>IF(LEFT(Inputs!$C$11,6)="photon",10^Inputs!C90,Inputs!C90)</f>
        <v>8.13130189901888</v>
      </c>
      <c r="BR87" s="272"/>
      <c r="BS87" s="272">
        <f>'Advanced Inputs'!I92</f>
        <v>446</v>
      </c>
      <c r="BT87" s="272">
        <f>IF('Advanced Inputs'!J$19="Photon system",10^'Advanced Inputs'!J92,'Advanced Inputs'!J92)</f>
        <v>0</v>
      </c>
      <c r="BV87" s="272">
        <v>446</v>
      </c>
      <c r="BW87" s="8">
        <v>31.2909</v>
      </c>
      <c r="BX87" s="8">
        <v>112.151</v>
      </c>
      <c r="CC87" s="8">
        <v>1</v>
      </c>
    </row>
    <row r="88" hidden="1" spans="8:81">
      <c r="H88" s="8">
        <v>447</v>
      </c>
      <c r="I88" s="261"/>
      <c r="J88" s="261"/>
      <c r="K88" s="261"/>
      <c r="L88" s="261"/>
      <c r="M88" s="261"/>
      <c r="N88" s="261"/>
      <c r="O88" s="261"/>
      <c r="P88" s="261"/>
      <c r="Q88" s="261"/>
      <c r="R88" s="261"/>
      <c r="S88" s="261">
        <v>7.08909432098766</v>
      </c>
      <c r="T88" s="261"/>
      <c r="V88" s="8">
        <v>447</v>
      </c>
      <c r="W88" s="261"/>
      <c r="X88" s="261"/>
      <c r="Y88" s="261"/>
      <c r="Z88" s="261"/>
      <c r="AA88" s="261"/>
      <c r="AB88" s="261"/>
      <c r="AC88" s="261"/>
      <c r="AD88" s="261"/>
      <c r="AF88" s="8">
        <v>447</v>
      </c>
      <c r="AG88" s="261"/>
      <c r="AH88" s="261"/>
      <c r="AI88" s="261"/>
      <c r="AJ88" s="261"/>
      <c r="AK88" s="261"/>
      <c r="AL88" s="261"/>
      <c r="AM88" s="261"/>
      <c r="AO88" s="12">
        <v>447</v>
      </c>
      <c r="AP88" s="264"/>
      <c r="AQ88" s="264"/>
      <c r="AR88" s="264">
        <v>18.9404176315885</v>
      </c>
      <c r="AS88" s="264"/>
      <c r="AT88" s="264"/>
      <c r="AU88" s="264"/>
      <c r="AV88" s="264"/>
      <c r="AW88" s="264"/>
      <c r="AX88" s="264"/>
      <c r="AZ88" s="260">
        <v>715</v>
      </c>
      <c r="BA88" s="269">
        <v>207.411</v>
      </c>
      <c r="BB88" s="267">
        <v>67.9765</v>
      </c>
      <c r="BC88" s="268"/>
      <c r="BD88" s="269"/>
      <c r="BE88" s="269"/>
      <c r="BF88" s="269"/>
      <c r="BG88" s="269">
        <v>1</v>
      </c>
      <c r="BH88" s="269"/>
      <c r="BI88" s="262">
        <v>715</v>
      </c>
      <c r="BJ88" s="270"/>
      <c r="BK88" s="270"/>
      <c r="BL88" s="270"/>
      <c r="BM88" s="270"/>
      <c r="BN88" s="270"/>
      <c r="BO88" s="270"/>
      <c r="BP88" s="272">
        <f>Inputs!B91</f>
        <v>447</v>
      </c>
      <c r="BQ88" s="272">
        <f>IF(LEFT(Inputs!$C$11,6)="photon",10^Inputs!C91,Inputs!C91)</f>
        <v>8.70486342894998</v>
      </c>
      <c r="BR88" s="272"/>
      <c r="BS88" s="272">
        <f>'Advanced Inputs'!I93</f>
        <v>447</v>
      </c>
      <c r="BT88" s="272">
        <f>IF('Advanced Inputs'!J$19="Photon system",10^'Advanced Inputs'!J93,'Advanced Inputs'!J93)</f>
        <v>0</v>
      </c>
      <c r="BV88" s="272">
        <v>447</v>
      </c>
      <c r="BW88" s="8">
        <v>31.7345</v>
      </c>
      <c r="BX88" s="8">
        <v>113.365</v>
      </c>
      <c r="CC88" s="8">
        <v>1</v>
      </c>
    </row>
    <row r="89" hidden="1" spans="8:81">
      <c r="H89" s="8">
        <v>448</v>
      </c>
      <c r="I89" s="261"/>
      <c r="J89" s="261"/>
      <c r="K89" s="261"/>
      <c r="L89" s="261"/>
      <c r="M89" s="261"/>
      <c r="N89" s="261"/>
      <c r="O89" s="261"/>
      <c r="P89" s="261"/>
      <c r="Q89" s="261"/>
      <c r="R89" s="261"/>
      <c r="S89" s="261">
        <v>7.1363575308642</v>
      </c>
      <c r="T89" s="261"/>
      <c r="V89" s="8">
        <v>448</v>
      </c>
      <c r="W89" s="261"/>
      <c r="X89" s="261"/>
      <c r="Y89" s="261"/>
      <c r="Z89" s="261"/>
      <c r="AA89" s="261"/>
      <c r="AB89" s="261"/>
      <c r="AC89" s="261"/>
      <c r="AD89" s="261"/>
      <c r="AF89" s="8">
        <v>448</v>
      </c>
      <c r="AG89" s="261"/>
      <c r="AH89" s="261"/>
      <c r="AI89" s="261"/>
      <c r="AJ89" s="261"/>
      <c r="AK89" s="261"/>
      <c r="AL89" s="261"/>
      <c r="AM89" s="261"/>
      <c r="AO89" s="12">
        <v>448</v>
      </c>
      <c r="AP89" s="264"/>
      <c r="AQ89" s="264"/>
      <c r="AR89" s="264">
        <v>19.1833522592835</v>
      </c>
      <c r="AS89" s="264"/>
      <c r="AT89" s="264"/>
      <c r="AU89" s="264"/>
      <c r="AV89" s="264"/>
      <c r="AW89" s="264"/>
      <c r="AX89" s="264"/>
      <c r="AZ89" s="260">
        <v>720</v>
      </c>
      <c r="BA89" s="269">
        <v>210.365</v>
      </c>
      <c r="BB89" s="267">
        <v>61.604</v>
      </c>
      <c r="BC89" s="268"/>
      <c r="BD89" s="269"/>
      <c r="BE89" s="269"/>
      <c r="BF89" s="269"/>
      <c r="BG89" s="269">
        <v>1</v>
      </c>
      <c r="BH89" s="269"/>
      <c r="BI89" s="262">
        <v>720</v>
      </c>
      <c r="BJ89" s="270"/>
      <c r="BK89" s="270"/>
      <c r="BL89" s="270"/>
      <c r="BM89" s="270"/>
      <c r="BN89" s="270"/>
      <c r="BO89" s="270"/>
      <c r="BP89" s="272">
        <f>Inputs!B92</f>
        <v>448</v>
      </c>
      <c r="BQ89" s="272">
        <f>IF(LEFT(Inputs!$C$11,6)="photon",10^Inputs!C92,Inputs!C92)</f>
        <v>9.42116753250387</v>
      </c>
      <c r="BR89" s="272"/>
      <c r="BS89" s="272">
        <f>'Advanced Inputs'!I94</f>
        <v>448</v>
      </c>
      <c r="BT89" s="272">
        <f>IF('Advanced Inputs'!J$19="Photon system",10^'Advanced Inputs'!J94,'Advanced Inputs'!J94)</f>
        <v>0</v>
      </c>
      <c r="BV89" s="272">
        <v>448</v>
      </c>
      <c r="BW89" s="8">
        <v>32.1815</v>
      </c>
      <c r="BX89" s="8">
        <v>114.579</v>
      </c>
      <c r="CC89" s="8">
        <v>1</v>
      </c>
    </row>
    <row r="90" hidden="1" spans="8:81">
      <c r="H90" s="8">
        <v>449</v>
      </c>
      <c r="I90" s="261"/>
      <c r="J90" s="261"/>
      <c r="K90" s="261"/>
      <c r="L90" s="261"/>
      <c r="M90" s="261"/>
      <c r="N90" s="261"/>
      <c r="O90" s="261"/>
      <c r="P90" s="261"/>
      <c r="Q90" s="261"/>
      <c r="R90" s="261"/>
      <c r="S90" s="261">
        <v>7.16974716049383</v>
      </c>
      <c r="T90" s="261"/>
      <c r="V90" s="8">
        <v>449</v>
      </c>
      <c r="W90" s="261"/>
      <c r="X90" s="261"/>
      <c r="Y90" s="261"/>
      <c r="Z90" s="261"/>
      <c r="AA90" s="261"/>
      <c r="AB90" s="261"/>
      <c r="AC90" s="261"/>
      <c r="AD90" s="261"/>
      <c r="AF90" s="8">
        <v>449</v>
      </c>
      <c r="AG90" s="261"/>
      <c r="AH90" s="261"/>
      <c r="AI90" s="261"/>
      <c r="AJ90" s="261"/>
      <c r="AK90" s="261"/>
      <c r="AL90" s="261"/>
      <c r="AM90" s="261"/>
      <c r="AO90" s="12">
        <v>449</v>
      </c>
      <c r="AP90" s="264"/>
      <c r="AQ90" s="264"/>
      <c r="AR90" s="264">
        <v>19.1565594564232</v>
      </c>
      <c r="AS90" s="264"/>
      <c r="AT90" s="264"/>
      <c r="AU90" s="264"/>
      <c r="AV90" s="264"/>
      <c r="AW90" s="264"/>
      <c r="AX90" s="264"/>
      <c r="AZ90" s="260">
        <v>725</v>
      </c>
      <c r="BA90" s="269">
        <v>213.268</v>
      </c>
      <c r="BB90" s="267">
        <v>65.7448</v>
      </c>
      <c r="BC90" s="268"/>
      <c r="BD90" s="269"/>
      <c r="BE90" s="269"/>
      <c r="BF90" s="269"/>
      <c r="BG90" s="269">
        <v>1</v>
      </c>
      <c r="BH90" s="269"/>
      <c r="BI90" s="262">
        <v>725</v>
      </c>
      <c r="BJ90" s="270"/>
      <c r="BK90" s="270"/>
      <c r="BL90" s="270"/>
      <c r="BM90" s="270"/>
      <c r="BN90" s="270"/>
      <c r="BO90" s="270"/>
      <c r="BP90" s="272">
        <f>Inputs!B93</f>
        <v>449</v>
      </c>
      <c r="BQ90" s="272">
        <f>IF(LEFT(Inputs!$C$11,6)="photon",10^Inputs!C93,Inputs!C93)</f>
        <v>10.2126237206891</v>
      </c>
      <c r="BR90" s="272"/>
      <c r="BS90" s="272">
        <f>'Advanced Inputs'!I95</f>
        <v>449</v>
      </c>
      <c r="BT90" s="272">
        <f>IF('Advanced Inputs'!J$19="Photon system",10^'Advanced Inputs'!J95,'Advanced Inputs'!J95)</f>
        <v>0</v>
      </c>
      <c r="BV90" s="272">
        <v>449</v>
      </c>
      <c r="BW90" s="8">
        <v>32.632</v>
      </c>
      <c r="BX90" s="8">
        <v>115.794</v>
      </c>
      <c r="CC90" s="8">
        <v>1</v>
      </c>
    </row>
    <row r="91" hidden="1" spans="8:81">
      <c r="H91" s="8">
        <v>450</v>
      </c>
      <c r="I91" s="261"/>
      <c r="J91" s="261"/>
      <c r="K91" s="261"/>
      <c r="L91" s="261"/>
      <c r="M91" s="261"/>
      <c r="N91" s="261"/>
      <c r="O91" s="261"/>
      <c r="P91" s="261"/>
      <c r="Q91" s="261"/>
      <c r="R91" s="261"/>
      <c r="S91" s="261">
        <v>7.19</v>
      </c>
      <c r="T91" s="261"/>
      <c r="V91" s="8">
        <v>450</v>
      </c>
      <c r="W91" s="261"/>
      <c r="X91" s="261"/>
      <c r="Y91" s="261"/>
      <c r="Z91" s="261"/>
      <c r="AA91" s="261"/>
      <c r="AB91" s="261"/>
      <c r="AC91" s="261"/>
      <c r="AD91" s="261"/>
      <c r="AF91" s="8">
        <v>450</v>
      </c>
      <c r="AG91" s="261"/>
      <c r="AH91" s="261"/>
      <c r="AI91" s="261"/>
      <c r="AJ91" s="261"/>
      <c r="AK91" s="261"/>
      <c r="AL91" s="261"/>
      <c r="AM91" s="261"/>
      <c r="AO91" s="12">
        <v>450</v>
      </c>
      <c r="AP91" s="264"/>
      <c r="AQ91" s="264"/>
      <c r="AR91" s="264">
        <v>18.8651211474408</v>
      </c>
      <c r="AS91" s="264"/>
      <c r="AT91" s="264"/>
      <c r="AU91" s="264"/>
      <c r="AV91" s="264"/>
      <c r="AW91" s="264"/>
      <c r="AX91" s="264"/>
      <c r="AZ91" s="260">
        <v>730</v>
      </c>
      <c r="BA91" s="269">
        <v>216.12</v>
      </c>
      <c r="BB91" s="267">
        <v>69.8856</v>
      </c>
      <c r="BC91" s="268"/>
      <c r="BD91" s="269"/>
      <c r="BE91" s="269"/>
      <c r="BF91" s="269"/>
      <c r="BG91" s="269">
        <v>1</v>
      </c>
      <c r="BH91" s="269"/>
      <c r="BI91" s="262">
        <v>730</v>
      </c>
      <c r="BJ91" s="270"/>
      <c r="BK91" s="270"/>
      <c r="BL91" s="270"/>
      <c r="BM91" s="270"/>
      <c r="BN91" s="270"/>
      <c r="BO91" s="270"/>
      <c r="BP91" s="272">
        <f>Inputs!B94</f>
        <v>450</v>
      </c>
      <c r="BQ91" s="272">
        <f>IF(LEFT(Inputs!$C$11,6)="photon",10^Inputs!C94,Inputs!C94)</f>
        <v>11.0966015431153</v>
      </c>
      <c r="BR91" s="272"/>
      <c r="BS91" s="272">
        <f>'Advanced Inputs'!I96</f>
        <v>450</v>
      </c>
      <c r="BT91" s="272">
        <f>IF('Advanced Inputs'!J$19="Photon system",10^'Advanced Inputs'!J96,'Advanced Inputs'!J96)</f>
        <v>0</v>
      </c>
      <c r="BV91" s="272">
        <v>450</v>
      </c>
      <c r="BW91" s="8">
        <v>33.0859</v>
      </c>
      <c r="BX91" s="8">
        <v>117.008</v>
      </c>
      <c r="CC91" s="8">
        <v>1</v>
      </c>
    </row>
    <row r="92" hidden="1" spans="8:81">
      <c r="H92" s="8">
        <v>451</v>
      </c>
      <c r="I92" s="261"/>
      <c r="J92" s="261"/>
      <c r="K92" s="261"/>
      <c r="L92" s="261"/>
      <c r="M92" s="261"/>
      <c r="N92" s="261"/>
      <c r="O92" s="261"/>
      <c r="P92" s="261"/>
      <c r="Q92" s="261"/>
      <c r="R92" s="261"/>
      <c r="S92" s="261">
        <v>7.20144</v>
      </c>
      <c r="T92" s="261"/>
      <c r="V92" s="8">
        <v>451</v>
      </c>
      <c r="W92" s="261"/>
      <c r="X92" s="261"/>
      <c r="Y92" s="261"/>
      <c r="Z92" s="261"/>
      <c r="AA92" s="261"/>
      <c r="AB92" s="261"/>
      <c r="AC92" s="261"/>
      <c r="AD92" s="261"/>
      <c r="AF92" s="8">
        <v>451</v>
      </c>
      <c r="AG92" s="261"/>
      <c r="AH92" s="261"/>
      <c r="AI92" s="261"/>
      <c r="AJ92" s="261"/>
      <c r="AK92" s="261"/>
      <c r="AL92" s="261"/>
      <c r="AM92" s="261"/>
      <c r="AO92" s="12">
        <v>451</v>
      </c>
      <c r="AP92" s="264"/>
      <c r="AQ92" s="264"/>
      <c r="AR92" s="264">
        <v>18.3296629594954</v>
      </c>
      <c r="AS92" s="264"/>
      <c r="AT92" s="264"/>
      <c r="AU92" s="264"/>
      <c r="AV92" s="264"/>
      <c r="AW92" s="264"/>
      <c r="AX92" s="264"/>
      <c r="AZ92" s="260">
        <v>735</v>
      </c>
      <c r="BA92" s="269">
        <v>218.92</v>
      </c>
      <c r="BB92" s="267">
        <v>72.4863</v>
      </c>
      <c r="BC92" s="268"/>
      <c r="BD92" s="269"/>
      <c r="BE92" s="269"/>
      <c r="BF92" s="269"/>
      <c r="BG92" s="269">
        <v>1</v>
      </c>
      <c r="BH92" s="269"/>
      <c r="BI92" s="262">
        <v>735</v>
      </c>
      <c r="BJ92" s="270"/>
      <c r="BK92" s="270"/>
      <c r="BL92" s="270"/>
      <c r="BM92" s="270"/>
      <c r="BN92" s="270"/>
      <c r="BO92" s="270"/>
      <c r="BP92" s="272">
        <f>Inputs!B95</f>
        <v>451</v>
      </c>
      <c r="BQ92" s="272">
        <f>IF(LEFT(Inputs!$C$11,6)="photon",10^Inputs!C95,Inputs!C95)</f>
        <v>11.9611840701564</v>
      </c>
      <c r="BR92" s="272"/>
      <c r="BS92" s="272">
        <f>'Advanced Inputs'!I97</f>
        <v>451</v>
      </c>
      <c r="BT92" s="272">
        <f>IF('Advanced Inputs'!J$19="Photon system",10^'Advanced Inputs'!J97,'Advanced Inputs'!J97)</f>
        <v>0</v>
      </c>
      <c r="BV92" s="272">
        <v>451</v>
      </c>
      <c r="BW92" s="8">
        <v>33.5432</v>
      </c>
      <c r="BX92" s="8">
        <v>117.088</v>
      </c>
      <c r="CC92" s="8">
        <v>1</v>
      </c>
    </row>
    <row r="93" hidden="1" spans="8:81">
      <c r="H93" s="8">
        <v>452</v>
      </c>
      <c r="I93" s="261"/>
      <c r="J93" s="261"/>
      <c r="K93" s="261"/>
      <c r="L93" s="261"/>
      <c r="M93" s="261"/>
      <c r="N93" s="261"/>
      <c r="O93" s="261"/>
      <c r="P93" s="261"/>
      <c r="Q93" s="261"/>
      <c r="R93" s="261"/>
      <c r="S93" s="261">
        <v>7.20032</v>
      </c>
      <c r="T93" s="261"/>
      <c r="V93" s="8">
        <v>452</v>
      </c>
      <c r="W93" s="261"/>
      <c r="X93" s="261"/>
      <c r="Y93" s="261"/>
      <c r="Z93" s="261"/>
      <c r="AA93" s="261"/>
      <c r="AB93" s="261"/>
      <c r="AC93" s="261"/>
      <c r="AD93" s="261"/>
      <c r="AF93" s="8">
        <v>452</v>
      </c>
      <c r="AG93" s="261"/>
      <c r="AH93" s="261"/>
      <c r="AI93" s="261"/>
      <c r="AJ93" s="261"/>
      <c r="AK93" s="261"/>
      <c r="AL93" s="261"/>
      <c r="AM93" s="261"/>
      <c r="AO93" s="12">
        <v>452</v>
      </c>
      <c r="AP93" s="264"/>
      <c r="AQ93" s="264"/>
      <c r="AR93" s="264">
        <v>17.584850699811</v>
      </c>
      <c r="AS93" s="264"/>
      <c r="AT93" s="264"/>
      <c r="AU93" s="264"/>
      <c r="AV93" s="264"/>
      <c r="AW93" s="264"/>
      <c r="AX93" s="264"/>
      <c r="AZ93" s="260">
        <v>740</v>
      </c>
      <c r="BA93" s="269">
        <v>221.667</v>
      </c>
      <c r="BB93" s="267">
        <v>75.087</v>
      </c>
      <c r="BC93" s="268"/>
      <c r="BD93" s="269"/>
      <c r="BE93" s="269"/>
      <c r="BF93" s="269"/>
      <c r="BG93" s="269">
        <v>1</v>
      </c>
      <c r="BH93" s="269"/>
      <c r="BI93" s="262">
        <v>740</v>
      </c>
      <c r="BJ93" s="270"/>
      <c r="BK93" s="270"/>
      <c r="BL93" s="270"/>
      <c r="BM93" s="270"/>
      <c r="BN93" s="270"/>
      <c r="BO93" s="270"/>
      <c r="BP93" s="272">
        <f>Inputs!B96</f>
        <v>452</v>
      </c>
      <c r="BQ93" s="272">
        <f>IF(LEFT(Inputs!$C$11,6)="photon",10^Inputs!C96,Inputs!C96)</f>
        <v>12.7544089273933</v>
      </c>
      <c r="BR93" s="272"/>
      <c r="BS93" s="272">
        <f>'Advanced Inputs'!I98</f>
        <v>452</v>
      </c>
      <c r="BT93" s="272">
        <f>IF('Advanced Inputs'!J$19="Photon system",10^'Advanced Inputs'!J98,'Advanced Inputs'!J98)</f>
        <v>0</v>
      </c>
      <c r="BV93" s="272">
        <v>452</v>
      </c>
      <c r="BW93" s="8">
        <v>34.004</v>
      </c>
      <c r="BX93" s="8">
        <v>117.169</v>
      </c>
      <c r="CC93" s="8">
        <v>1</v>
      </c>
    </row>
    <row r="94" hidden="1" spans="8:81">
      <c r="H94" s="8">
        <v>453</v>
      </c>
      <c r="I94" s="261"/>
      <c r="J94" s="261"/>
      <c r="K94" s="261"/>
      <c r="L94" s="261"/>
      <c r="M94" s="261"/>
      <c r="N94" s="261"/>
      <c r="O94" s="261"/>
      <c r="P94" s="261"/>
      <c r="Q94" s="261"/>
      <c r="R94" s="261"/>
      <c r="S94" s="261">
        <v>7.18648</v>
      </c>
      <c r="T94" s="261"/>
      <c r="V94" s="8">
        <v>453</v>
      </c>
      <c r="W94" s="261"/>
      <c r="X94" s="261"/>
      <c r="Y94" s="261"/>
      <c r="Z94" s="261"/>
      <c r="AA94" s="261"/>
      <c r="AB94" s="261"/>
      <c r="AC94" s="261"/>
      <c r="AD94" s="261"/>
      <c r="AF94" s="8">
        <v>453</v>
      </c>
      <c r="AG94" s="261"/>
      <c r="AH94" s="261"/>
      <c r="AI94" s="261"/>
      <c r="AJ94" s="261"/>
      <c r="AK94" s="261"/>
      <c r="AL94" s="261"/>
      <c r="AM94" s="261"/>
      <c r="AO94" s="12">
        <v>453</v>
      </c>
      <c r="AP94" s="264"/>
      <c r="AQ94" s="264"/>
      <c r="AR94" s="264">
        <v>16.6763179383442</v>
      </c>
      <c r="AS94" s="264"/>
      <c r="AT94" s="264"/>
      <c r="AU94" s="264"/>
      <c r="AV94" s="264"/>
      <c r="AW94" s="264"/>
      <c r="AX94" s="264"/>
      <c r="AZ94" s="260">
        <v>745</v>
      </c>
      <c r="BA94" s="269">
        <v>224.361</v>
      </c>
      <c r="BB94" s="267">
        <v>69.3398</v>
      </c>
      <c r="BC94" s="268"/>
      <c r="BD94" s="269"/>
      <c r="BE94" s="269"/>
      <c r="BF94" s="269"/>
      <c r="BG94" s="269">
        <v>1</v>
      </c>
      <c r="BH94" s="269"/>
      <c r="BI94" s="262">
        <v>745</v>
      </c>
      <c r="BJ94" s="270"/>
      <c r="BK94" s="270"/>
      <c r="BL94" s="270"/>
      <c r="BM94" s="270"/>
      <c r="BN94" s="270"/>
      <c r="BO94" s="270"/>
      <c r="BP94" s="272">
        <f>Inputs!B97</f>
        <v>453</v>
      </c>
      <c r="BQ94" s="272">
        <f>IF(LEFT(Inputs!$C$11,6)="photon",10^Inputs!C97,Inputs!C97)</f>
        <v>13.4511634257087</v>
      </c>
      <c r="BR94" s="272"/>
      <c r="BS94" s="272">
        <f>'Advanced Inputs'!I99</f>
        <v>453</v>
      </c>
      <c r="BT94" s="272">
        <f>IF('Advanced Inputs'!J$19="Photon system",10^'Advanced Inputs'!J99,'Advanced Inputs'!J99)</f>
        <v>0</v>
      </c>
      <c r="BV94" s="272">
        <v>453</v>
      </c>
      <c r="BW94" s="8">
        <v>34.4682</v>
      </c>
      <c r="BX94" s="8">
        <v>117.249</v>
      </c>
      <c r="CC94" s="8">
        <v>1</v>
      </c>
    </row>
    <row r="95" hidden="1" spans="8:81">
      <c r="H95" s="8">
        <v>454</v>
      </c>
      <c r="I95" s="261"/>
      <c r="J95" s="261"/>
      <c r="K95" s="261"/>
      <c r="L95" s="261"/>
      <c r="M95" s="261"/>
      <c r="N95" s="261"/>
      <c r="O95" s="261"/>
      <c r="P95" s="261"/>
      <c r="Q95" s="261"/>
      <c r="R95" s="261"/>
      <c r="S95" s="261">
        <v>7.15976</v>
      </c>
      <c r="T95" s="261"/>
      <c r="V95" s="8">
        <v>454</v>
      </c>
      <c r="W95" s="261"/>
      <c r="X95" s="261"/>
      <c r="Y95" s="261"/>
      <c r="Z95" s="261"/>
      <c r="AA95" s="261"/>
      <c r="AB95" s="261"/>
      <c r="AC95" s="261"/>
      <c r="AD95" s="261"/>
      <c r="AF95" s="8">
        <v>454</v>
      </c>
      <c r="AG95" s="261"/>
      <c r="AH95" s="261"/>
      <c r="AI95" s="261"/>
      <c r="AJ95" s="261"/>
      <c r="AK95" s="261"/>
      <c r="AL95" s="261"/>
      <c r="AM95" s="261"/>
      <c r="AO95" s="12">
        <v>454</v>
      </c>
      <c r="AP95" s="264"/>
      <c r="AQ95" s="264"/>
      <c r="AR95" s="264">
        <v>15.6566183358836</v>
      </c>
      <c r="AS95" s="264"/>
      <c r="AT95" s="264"/>
      <c r="AU95" s="264"/>
      <c r="AV95" s="264"/>
      <c r="AW95" s="264"/>
      <c r="AX95" s="264"/>
      <c r="AZ95" s="260">
        <v>750</v>
      </c>
      <c r="BA95" s="269">
        <v>227</v>
      </c>
      <c r="BB95" s="267">
        <v>63.5927</v>
      </c>
      <c r="BC95" s="268"/>
      <c r="BD95" s="269"/>
      <c r="BE95" s="269"/>
      <c r="BF95" s="269"/>
      <c r="BG95" s="269">
        <v>1</v>
      </c>
      <c r="BH95" s="269"/>
      <c r="BI95" s="262">
        <v>750</v>
      </c>
      <c r="BJ95" s="270"/>
      <c r="BK95" s="270"/>
      <c r="BL95" s="270"/>
      <c r="BM95" s="270"/>
      <c r="BN95" s="270"/>
      <c r="BO95" s="270"/>
      <c r="BP95" s="272">
        <f>Inputs!B98</f>
        <v>454</v>
      </c>
      <c r="BQ95" s="272">
        <f>IF(LEFT(Inputs!$C$11,6)="photon",10^Inputs!C98,Inputs!C98)</f>
        <v>13.9637524291881</v>
      </c>
      <c r="BR95" s="272"/>
      <c r="BS95" s="272">
        <f>'Advanced Inputs'!I100</f>
        <v>454</v>
      </c>
      <c r="BT95" s="272">
        <f>IF('Advanced Inputs'!J$19="Photon system",10^'Advanced Inputs'!J100,'Advanced Inputs'!J100)</f>
        <v>0</v>
      </c>
      <c r="BV95" s="272">
        <v>454</v>
      </c>
      <c r="BW95" s="8">
        <v>34.9358</v>
      </c>
      <c r="BX95" s="8">
        <v>117.33</v>
      </c>
      <c r="CC95" s="8">
        <v>1</v>
      </c>
    </row>
    <row r="96" hidden="1" spans="8:81">
      <c r="H96" s="8">
        <v>455</v>
      </c>
      <c r="I96" s="261"/>
      <c r="J96" s="261"/>
      <c r="K96" s="261"/>
      <c r="L96" s="261"/>
      <c r="M96" s="261"/>
      <c r="N96" s="261"/>
      <c r="O96" s="261"/>
      <c r="P96" s="261"/>
      <c r="Q96" s="261"/>
      <c r="R96" s="261"/>
      <c r="S96" s="261">
        <v>7.12</v>
      </c>
      <c r="T96" s="261"/>
      <c r="V96" s="8">
        <v>455</v>
      </c>
      <c r="W96" s="261"/>
      <c r="X96" s="261"/>
      <c r="Y96" s="261"/>
      <c r="Z96" s="261"/>
      <c r="AA96" s="261"/>
      <c r="AB96" s="261"/>
      <c r="AC96" s="261"/>
      <c r="AD96" s="261"/>
      <c r="AF96" s="8">
        <v>455</v>
      </c>
      <c r="AG96" s="261"/>
      <c r="AH96" s="261"/>
      <c r="AI96" s="261"/>
      <c r="AJ96" s="261"/>
      <c r="AK96" s="261"/>
      <c r="AL96" s="261"/>
      <c r="AM96" s="261"/>
      <c r="AO96" s="12">
        <v>455</v>
      </c>
      <c r="AP96" s="264"/>
      <c r="AQ96" s="264"/>
      <c r="AR96" s="264">
        <v>14.5806965922853</v>
      </c>
      <c r="AS96" s="264"/>
      <c r="AT96" s="264"/>
      <c r="AU96" s="264"/>
      <c r="AV96" s="264"/>
      <c r="AW96" s="264"/>
      <c r="AX96" s="264"/>
      <c r="AZ96" s="260">
        <v>755</v>
      </c>
      <c r="BA96" s="269">
        <v>229.585</v>
      </c>
      <c r="BB96" s="267">
        <v>55.0054</v>
      </c>
      <c r="BC96" s="268"/>
      <c r="BD96" s="269"/>
      <c r="BE96" s="269"/>
      <c r="BF96" s="269"/>
      <c r="BG96" s="269">
        <v>1</v>
      </c>
      <c r="BH96" s="269"/>
      <c r="BI96" s="262">
        <v>755</v>
      </c>
      <c r="BJ96" s="270"/>
      <c r="BK96" s="270"/>
      <c r="BL96" s="270"/>
      <c r="BM96" s="270"/>
      <c r="BN96" s="270"/>
      <c r="BO96" s="270"/>
      <c r="BP96" s="272">
        <f>Inputs!B99</f>
        <v>455</v>
      </c>
      <c r="BQ96" s="272">
        <f>IF(LEFT(Inputs!$C$11,6)="photon",10^Inputs!C99,Inputs!C99)</f>
        <v>14.2021715314643</v>
      </c>
      <c r="BR96" s="272"/>
      <c r="BS96" s="272">
        <f>'Advanced Inputs'!I101</f>
        <v>455</v>
      </c>
      <c r="BT96" s="272">
        <f>IF('Advanced Inputs'!J$19="Photon system",10^'Advanced Inputs'!J101,'Advanced Inputs'!J101)</f>
        <v>0</v>
      </c>
      <c r="BV96" s="272">
        <v>455</v>
      </c>
      <c r="BW96" s="8">
        <v>35.4068</v>
      </c>
      <c r="BX96" s="8">
        <v>117.41</v>
      </c>
      <c r="CC96" s="8">
        <v>1</v>
      </c>
    </row>
    <row r="97" hidden="1" spans="8:81">
      <c r="H97" s="8">
        <v>456</v>
      </c>
      <c r="I97" s="261"/>
      <c r="J97" s="261"/>
      <c r="K97" s="261"/>
      <c r="L97" s="261"/>
      <c r="M97" s="261"/>
      <c r="N97" s="261"/>
      <c r="O97" s="261"/>
      <c r="P97" s="261"/>
      <c r="Q97" s="261"/>
      <c r="R97" s="261"/>
      <c r="S97" s="261">
        <v>7.06192</v>
      </c>
      <c r="T97" s="261"/>
      <c r="V97" s="8">
        <v>456</v>
      </c>
      <c r="W97" s="261"/>
      <c r="X97" s="261"/>
      <c r="Y97" s="261"/>
      <c r="Z97" s="261"/>
      <c r="AA97" s="261"/>
      <c r="AB97" s="261"/>
      <c r="AC97" s="261"/>
      <c r="AD97" s="261"/>
      <c r="AF97" s="8">
        <v>456</v>
      </c>
      <c r="AG97" s="261"/>
      <c r="AH97" s="261"/>
      <c r="AI97" s="261"/>
      <c r="AJ97" s="261"/>
      <c r="AK97" s="261"/>
      <c r="AL97" s="261"/>
      <c r="AM97" s="261"/>
      <c r="AO97" s="12">
        <v>456</v>
      </c>
      <c r="AP97" s="264"/>
      <c r="AQ97" s="264"/>
      <c r="AR97" s="264">
        <v>13.5012937794708</v>
      </c>
      <c r="AS97" s="264"/>
      <c r="AT97" s="264"/>
      <c r="AU97" s="264"/>
      <c r="AV97" s="264"/>
      <c r="AW97" s="264"/>
      <c r="AX97" s="264"/>
      <c r="AZ97" s="260">
        <v>760</v>
      </c>
      <c r="BA97" s="269">
        <v>232.115</v>
      </c>
      <c r="BB97" s="267">
        <v>46.4182</v>
      </c>
      <c r="BC97" s="268"/>
      <c r="BD97" s="269"/>
      <c r="BE97" s="269"/>
      <c r="BF97" s="269"/>
      <c r="BG97" s="269">
        <v>1</v>
      </c>
      <c r="BH97" s="269"/>
      <c r="BI97" s="262">
        <v>760</v>
      </c>
      <c r="BJ97" s="270"/>
      <c r="BK97" s="270"/>
      <c r="BL97" s="270"/>
      <c r="BM97" s="270"/>
      <c r="BN97" s="270"/>
      <c r="BO97" s="270"/>
      <c r="BP97" s="272">
        <f>Inputs!B100</f>
        <v>456</v>
      </c>
      <c r="BQ97" s="272">
        <f>IF(LEFT(Inputs!$C$11,6)="photon",10^Inputs!C100,Inputs!C100)</f>
        <v>14.1852743045172</v>
      </c>
      <c r="BR97" s="272"/>
      <c r="BS97" s="272">
        <f>'Advanced Inputs'!I102</f>
        <v>456</v>
      </c>
      <c r="BT97" s="272">
        <f>IF('Advanced Inputs'!J$19="Photon system",10^'Advanced Inputs'!J102,'Advanced Inputs'!J102)</f>
        <v>0</v>
      </c>
      <c r="BV97" s="272">
        <v>456</v>
      </c>
      <c r="BW97" s="8">
        <v>35.8811</v>
      </c>
      <c r="BX97" s="8">
        <v>117.49</v>
      </c>
      <c r="CC97" s="8">
        <v>1</v>
      </c>
    </row>
    <row r="98" hidden="1" spans="8:81">
      <c r="H98" s="8">
        <v>457</v>
      </c>
      <c r="I98" s="261"/>
      <c r="J98" s="261"/>
      <c r="K98" s="261"/>
      <c r="L98" s="261"/>
      <c r="M98" s="261"/>
      <c r="N98" s="261"/>
      <c r="O98" s="261"/>
      <c r="P98" s="261"/>
      <c r="Q98" s="261"/>
      <c r="R98" s="261"/>
      <c r="S98" s="261">
        <v>6.99176</v>
      </c>
      <c r="T98" s="261"/>
      <c r="V98" s="8">
        <v>457</v>
      </c>
      <c r="W98" s="261"/>
      <c r="X98" s="261"/>
      <c r="Y98" s="261"/>
      <c r="Z98" s="261"/>
      <c r="AA98" s="261"/>
      <c r="AB98" s="261"/>
      <c r="AC98" s="261"/>
      <c r="AD98" s="261"/>
      <c r="AF98" s="8">
        <v>457</v>
      </c>
      <c r="AG98" s="261"/>
      <c r="AH98" s="261"/>
      <c r="AI98" s="261"/>
      <c r="AJ98" s="261"/>
      <c r="AK98" s="261"/>
      <c r="AL98" s="261"/>
      <c r="AM98" s="261"/>
      <c r="AO98" s="12">
        <v>457</v>
      </c>
      <c r="AP98" s="264"/>
      <c r="AQ98" s="264"/>
      <c r="AR98" s="264">
        <v>12.4645828884409</v>
      </c>
      <c r="AS98" s="264"/>
      <c r="AT98" s="264"/>
      <c r="AU98" s="264"/>
      <c r="AV98" s="264"/>
      <c r="AW98" s="264"/>
      <c r="AX98" s="264"/>
      <c r="AZ98" s="260">
        <v>765</v>
      </c>
      <c r="BA98" s="269">
        <v>234.589</v>
      </c>
      <c r="BB98" s="267">
        <v>56.6118</v>
      </c>
      <c r="BC98" s="268"/>
      <c r="BD98" s="269"/>
      <c r="BE98" s="269"/>
      <c r="BF98" s="269"/>
      <c r="BG98" s="269">
        <v>1</v>
      </c>
      <c r="BH98" s="269"/>
      <c r="BI98" s="262">
        <v>765</v>
      </c>
      <c r="BJ98" s="270"/>
      <c r="BK98" s="270"/>
      <c r="BL98" s="270"/>
      <c r="BM98" s="270"/>
      <c r="BN98" s="270"/>
      <c r="BO98" s="270"/>
      <c r="BP98" s="272">
        <f>Inputs!B101</f>
        <v>457</v>
      </c>
      <c r="BQ98" s="272">
        <f>IF(LEFT(Inputs!$C$11,6)="photon",10^Inputs!C101,Inputs!C101)</f>
        <v>13.8368643040203</v>
      </c>
      <c r="BR98" s="272"/>
      <c r="BS98" s="272">
        <f>'Advanced Inputs'!I103</f>
        <v>457</v>
      </c>
      <c r="BT98" s="272">
        <f>IF('Advanced Inputs'!J$19="Photon system",10^'Advanced Inputs'!J103,'Advanced Inputs'!J103)</f>
        <v>0</v>
      </c>
      <c r="BV98" s="272">
        <v>457</v>
      </c>
      <c r="BW98" s="8">
        <v>36.3588</v>
      </c>
      <c r="BX98" s="8">
        <v>117.571</v>
      </c>
      <c r="CC98" s="8">
        <v>1</v>
      </c>
    </row>
    <row r="99" hidden="1" spans="8:81">
      <c r="H99" s="8">
        <v>458</v>
      </c>
      <c r="I99" s="261"/>
      <c r="J99" s="261"/>
      <c r="K99" s="261"/>
      <c r="L99" s="261"/>
      <c r="M99" s="261"/>
      <c r="N99" s="261"/>
      <c r="O99" s="261"/>
      <c r="P99" s="261"/>
      <c r="Q99" s="261"/>
      <c r="R99" s="261"/>
      <c r="S99" s="261">
        <v>6.91064</v>
      </c>
      <c r="T99" s="261"/>
      <c r="V99" s="8">
        <v>458</v>
      </c>
      <c r="W99" s="261"/>
      <c r="X99" s="261"/>
      <c r="Y99" s="261"/>
      <c r="Z99" s="261"/>
      <c r="AA99" s="261"/>
      <c r="AB99" s="261"/>
      <c r="AC99" s="261"/>
      <c r="AD99" s="261"/>
      <c r="AF99" s="8">
        <v>458</v>
      </c>
      <c r="AG99" s="261"/>
      <c r="AH99" s="261"/>
      <c r="AI99" s="261"/>
      <c r="AJ99" s="261"/>
      <c r="AK99" s="261"/>
      <c r="AL99" s="261"/>
      <c r="AM99" s="261"/>
      <c r="AO99" s="12">
        <v>458</v>
      </c>
      <c r="AP99" s="264"/>
      <c r="AQ99" s="264"/>
      <c r="AR99" s="264">
        <v>11.5063281441064</v>
      </c>
      <c r="AS99" s="264"/>
      <c r="AT99" s="264"/>
      <c r="AU99" s="264"/>
      <c r="AV99" s="264"/>
      <c r="AW99" s="264"/>
      <c r="AX99" s="264"/>
      <c r="AZ99" s="260">
        <v>770</v>
      </c>
      <c r="BA99" s="269">
        <v>237.008</v>
      </c>
      <c r="BB99" s="267">
        <v>66.8054</v>
      </c>
      <c r="BC99" s="268"/>
      <c r="BD99" s="269"/>
      <c r="BE99" s="269"/>
      <c r="BF99" s="269"/>
      <c r="BG99" s="269">
        <v>1</v>
      </c>
      <c r="BH99" s="269"/>
      <c r="BI99" s="262">
        <v>770</v>
      </c>
      <c r="BJ99" s="270"/>
      <c r="BK99" s="270"/>
      <c r="BL99" s="270"/>
      <c r="BM99" s="270"/>
      <c r="BN99" s="270"/>
      <c r="BO99" s="270"/>
      <c r="BP99" s="272">
        <f>Inputs!B102</f>
        <v>458</v>
      </c>
      <c r="BQ99" s="272">
        <f>IF(LEFT(Inputs!$C$11,6)="photon",10^Inputs!C102,Inputs!C102)</f>
        <v>13.2837718049858</v>
      </c>
      <c r="BR99" s="272"/>
      <c r="BS99" s="272">
        <f>'Advanced Inputs'!I104</f>
        <v>458</v>
      </c>
      <c r="BT99" s="272">
        <f>IF('Advanced Inputs'!J$19="Photon system",10^'Advanced Inputs'!J104,'Advanced Inputs'!J104)</f>
        <v>0</v>
      </c>
      <c r="BV99" s="272">
        <v>458</v>
      </c>
      <c r="BW99" s="8">
        <v>36.8399</v>
      </c>
      <c r="BX99" s="8">
        <v>117.651</v>
      </c>
      <c r="CC99" s="8">
        <v>1</v>
      </c>
    </row>
    <row r="100" hidden="1" spans="8:81">
      <c r="H100" s="8">
        <v>459</v>
      </c>
      <c r="I100" s="261"/>
      <c r="J100" s="261"/>
      <c r="K100" s="261"/>
      <c r="L100" s="261"/>
      <c r="M100" s="261"/>
      <c r="N100" s="261"/>
      <c r="O100" s="261"/>
      <c r="P100" s="261"/>
      <c r="Q100" s="261"/>
      <c r="R100" s="261"/>
      <c r="S100" s="261">
        <v>6.81968</v>
      </c>
      <c r="T100" s="261"/>
      <c r="V100" s="8">
        <v>459</v>
      </c>
      <c r="W100" s="261"/>
      <c r="X100" s="261"/>
      <c r="Y100" s="261"/>
      <c r="Z100" s="261"/>
      <c r="AA100" s="261"/>
      <c r="AB100" s="261"/>
      <c r="AC100" s="261"/>
      <c r="AD100" s="261"/>
      <c r="AF100" s="8">
        <v>459</v>
      </c>
      <c r="AG100" s="261"/>
      <c r="AH100" s="261"/>
      <c r="AI100" s="261"/>
      <c r="AJ100" s="261"/>
      <c r="AK100" s="261"/>
      <c r="AL100" s="261"/>
      <c r="AM100" s="261"/>
      <c r="AO100" s="12">
        <v>459</v>
      </c>
      <c r="AP100" s="264"/>
      <c r="AQ100" s="264"/>
      <c r="AR100" s="264">
        <v>10.6494210026411</v>
      </c>
      <c r="AS100" s="264"/>
      <c r="AT100" s="264"/>
      <c r="AU100" s="264"/>
      <c r="AV100" s="264"/>
      <c r="AW100" s="264"/>
      <c r="AX100" s="264"/>
      <c r="AZ100" s="260">
        <v>775</v>
      </c>
      <c r="BA100" s="269">
        <v>239.37</v>
      </c>
      <c r="BB100" s="267">
        <v>65.0941</v>
      </c>
      <c r="BC100" s="268"/>
      <c r="BD100" s="269"/>
      <c r="BE100" s="269"/>
      <c r="BF100" s="269"/>
      <c r="BG100" s="269">
        <v>1</v>
      </c>
      <c r="BH100" s="269"/>
      <c r="BI100" s="262">
        <v>775</v>
      </c>
      <c r="BJ100" s="270"/>
      <c r="BK100" s="270"/>
      <c r="BL100" s="270"/>
      <c r="BM100" s="270"/>
      <c r="BN100" s="270"/>
      <c r="BO100" s="270"/>
      <c r="BP100" s="272">
        <f>Inputs!B103</f>
        <v>459</v>
      </c>
      <c r="BQ100" s="272">
        <f>IF(LEFT(Inputs!$C$11,6)="photon",10^Inputs!C103,Inputs!C103)</f>
        <v>12.5116921724726</v>
      </c>
      <c r="BR100" s="272"/>
      <c r="BS100" s="272">
        <f>'Advanced Inputs'!I105</f>
        <v>459</v>
      </c>
      <c r="BT100" s="272">
        <f>IF('Advanced Inputs'!J$19="Photon system",10^'Advanced Inputs'!J105,'Advanced Inputs'!J105)</f>
        <v>0</v>
      </c>
      <c r="BV100" s="272">
        <v>459</v>
      </c>
      <c r="BW100" s="8">
        <v>37.3243</v>
      </c>
      <c r="BX100" s="8">
        <v>117.732</v>
      </c>
      <c r="CC100" s="8">
        <v>1</v>
      </c>
    </row>
    <row r="101" hidden="1" spans="8:81">
      <c r="H101" s="8">
        <v>460</v>
      </c>
      <c r="I101" s="261"/>
      <c r="J101" s="261"/>
      <c r="K101" s="261"/>
      <c r="L101" s="261"/>
      <c r="M101" s="261"/>
      <c r="N101" s="261"/>
      <c r="O101" s="261"/>
      <c r="P101" s="261"/>
      <c r="Q101" s="261"/>
      <c r="R101" s="261"/>
      <c r="S101" s="261">
        <v>6.72</v>
      </c>
      <c r="T101" s="261"/>
      <c r="V101" s="8">
        <v>460</v>
      </c>
      <c r="W101" s="261"/>
      <c r="X101" s="261"/>
      <c r="Y101" s="261"/>
      <c r="Z101" s="261"/>
      <c r="AA101" s="261"/>
      <c r="AB101" s="261"/>
      <c r="AC101" s="261"/>
      <c r="AD101" s="261"/>
      <c r="AF101" s="8">
        <v>460</v>
      </c>
      <c r="AG101" s="261"/>
      <c r="AH101" s="261"/>
      <c r="AI101" s="261"/>
      <c r="AJ101" s="261"/>
      <c r="AK101" s="261"/>
      <c r="AL101" s="261"/>
      <c r="AM101" s="261"/>
      <c r="AO101" s="12">
        <v>460</v>
      </c>
      <c r="AP101" s="264"/>
      <c r="AQ101" s="264"/>
      <c r="AR101" s="264">
        <v>9.90371978202461</v>
      </c>
      <c r="AS101" s="264"/>
      <c r="AT101" s="264"/>
      <c r="AU101" s="264"/>
      <c r="AV101" s="264"/>
      <c r="AW101" s="264"/>
      <c r="AX101" s="264"/>
      <c r="AZ101" s="260">
        <v>780</v>
      </c>
      <c r="BA101" s="269">
        <v>241.675</v>
      </c>
      <c r="BB101" s="267">
        <v>63.3828</v>
      </c>
      <c r="BC101" s="268"/>
      <c r="BD101" s="269"/>
      <c r="BE101" s="269"/>
      <c r="BF101" s="269"/>
      <c r="BG101" s="269">
        <v>1</v>
      </c>
      <c r="BH101" s="269"/>
      <c r="BI101" s="262">
        <v>780</v>
      </c>
      <c r="BJ101" s="270"/>
      <c r="BK101" s="270"/>
      <c r="BL101" s="270"/>
      <c r="BM101" s="270"/>
      <c r="BN101" s="270"/>
      <c r="BO101" s="270"/>
      <c r="BP101" s="272">
        <f>Inputs!B104</f>
        <v>460</v>
      </c>
      <c r="BQ101" s="272">
        <f>IF(LEFT(Inputs!$C$11,6)="photon",10^Inputs!C104,Inputs!C104)</f>
        <v>11.6597521637311</v>
      </c>
      <c r="BR101" s="272"/>
      <c r="BS101" s="272">
        <f>'Advanced Inputs'!I106</f>
        <v>460</v>
      </c>
      <c r="BT101" s="272">
        <f>IF('Advanced Inputs'!J$19="Photon system",10^'Advanced Inputs'!J106,'Advanced Inputs'!J106)</f>
        <v>0</v>
      </c>
      <c r="BV101" s="272">
        <v>460</v>
      </c>
      <c r="BW101" s="8">
        <v>37.8121</v>
      </c>
      <c r="BX101" s="8">
        <v>117.812</v>
      </c>
      <c r="CC101" s="8">
        <v>1</v>
      </c>
    </row>
    <row r="102" hidden="1" spans="8:81">
      <c r="H102" s="8">
        <v>461</v>
      </c>
      <c r="I102" s="261"/>
      <c r="J102" s="261"/>
      <c r="K102" s="261"/>
      <c r="L102" s="261"/>
      <c r="M102" s="261"/>
      <c r="N102" s="261"/>
      <c r="O102" s="261"/>
      <c r="P102" s="261"/>
      <c r="Q102" s="261"/>
      <c r="R102" s="261"/>
      <c r="S102" s="261">
        <v>6.61368</v>
      </c>
      <c r="T102" s="261"/>
      <c r="V102" s="8">
        <v>461</v>
      </c>
      <c r="W102" s="261"/>
      <c r="X102" s="261"/>
      <c r="Y102" s="261"/>
      <c r="Z102" s="261"/>
      <c r="AA102" s="261"/>
      <c r="AB102" s="261"/>
      <c r="AC102" s="261"/>
      <c r="AD102" s="261"/>
      <c r="AF102" s="8">
        <v>461</v>
      </c>
      <c r="AG102" s="261"/>
      <c r="AH102" s="261"/>
      <c r="AI102" s="261"/>
      <c r="AJ102" s="261"/>
      <c r="AK102" s="261"/>
      <c r="AL102" s="261"/>
      <c r="AM102" s="261"/>
      <c r="AO102" s="12">
        <v>461</v>
      </c>
      <c r="AP102" s="264"/>
      <c r="AQ102" s="264"/>
      <c r="AR102" s="264">
        <v>9.26776841860268</v>
      </c>
      <c r="AS102" s="264"/>
      <c r="AT102" s="264"/>
      <c r="AU102" s="264"/>
      <c r="AV102" s="264"/>
      <c r="AW102" s="264"/>
      <c r="AX102" s="264"/>
      <c r="BH102" s="269"/>
      <c r="BP102" s="272">
        <f>Inputs!B105</f>
        <v>461</v>
      </c>
      <c r="BQ102" s="272">
        <f>IF(LEFT(Inputs!$C$11,6)="photon",10^Inputs!C105,Inputs!C105)</f>
        <v>10.7771200354919</v>
      </c>
      <c r="BR102" s="272"/>
      <c r="BS102" s="272">
        <f>'Advanced Inputs'!I107</f>
        <v>461</v>
      </c>
      <c r="BT102" s="272">
        <f>IF('Advanced Inputs'!J$19="Photon system",10^'Advanced Inputs'!J107,'Advanced Inputs'!J107)</f>
        <v>0</v>
      </c>
      <c r="BV102" s="272">
        <v>461</v>
      </c>
      <c r="BW102" s="8">
        <v>38.3031</v>
      </c>
      <c r="BX102" s="8">
        <v>117.517</v>
      </c>
      <c r="CC102" s="8">
        <v>1</v>
      </c>
    </row>
    <row r="103" hidden="1" spans="8:81">
      <c r="H103" s="8">
        <v>462</v>
      </c>
      <c r="I103" s="261"/>
      <c r="J103" s="261"/>
      <c r="K103" s="261"/>
      <c r="L103" s="261"/>
      <c r="M103" s="261"/>
      <c r="N103" s="261"/>
      <c r="O103" s="261"/>
      <c r="P103" s="261"/>
      <c r="Q103" s="261"/>
      <c r="R103" s="261"/>
      <c r="S103" s="261">
        <v>6.50064</v>
      </c>
      <c r="T103" s="261"/>
      <c r="V103" s="8">
        <v>462</v>
      </c>
      <c r="W103" s="261"/>
      <c r="X103" s="261"/>
      <c r="Y103" s="261"/>
      <c r="Z103" s="261"/>
      <c r="AA103" s="261"/>
      <c r="AB103" s="261"/>
      <c r="AC103" s="261"/>
      <c r="AD103" s="261"/>
      <c r="AF103" s="8">
        <v>462</v>
      </c>
      <c r="AG103" s="261"/>
      <c r="AH103" s="261"/>
      <c r="AI103" s="261"/>
      <c r="AJ103" s="261"/>
      <c r="AK103" s="261"/>
      <c r="AL103" s="261"/>
      <c r="AM103" s="261"/>
      <c r="AO103" s="12">
        <v>462</v>
      </c>
      <c r="AP103" s="264"/>
      <c r="AQ103" s="264"/>
      <c r="AR103" s="264">
        <v>8.7309511189431</v>
      </c>
      <c r="AS103" s="264"/>
      <c r="AT103" s="264"/>
      <c r="AU103" s="264"/>
      <c r="AV103" s="264"/>
      <c r="AW103" s="264"/>
      <c r="AX103" s="264"/>
      <c r="BH103" s="269"/>
      <c r="BP103" s="272">
        <f>Inputs!B106</f>
        <v>462</v>
      </c>
      <c r="BQ103" s="272">
        <f>IF(LEFT(Inputs!$C$11,6)="photon",10^Inputs!C106,Inputs!C106)</f>
        <v>9.96973932642137</v>
      </c>
      <c r="BR103" s="272"/>
      <c r="BS103" s="272">
        <f>'Advanced Inputs'!I108</f>
        <v>462</v>
      </c>
      <c r="BT103" s="272">
        <f>IF('Advanced Inputs'!J$19="Photon system",10^'Advanced Inputs'!J108,'Advanced Inputs'!J108)</f>
        <v>0</v>
      </c>
      <c r="BV103" s="272">
        <v>462</v>
      </c>
      <c r="BW103" s="8">
        <v>38.7975</v>
      </c>
      <c r="BX103" s="8">
        <v>117.222</v>
      </c>
      <c r="CC103" s="8">
        <v>1</v>
      </c>
    </row>
    <row r="104" hidden="1" spans="8:81">
      <c r="H104" s="8">
        <v>463</v>
      </c>
      <c r="I104" s="261"/>
      <c r="J104" s="261"/>
      <c r="K104" s="261"/>
      <c r="L104" s="261"/>
      <c r="M104" s="261"/>
      <c r="N104" s="261"/>
      <c r="O104" s="261"/>
      <c r="P104" s="261"/>
      <c r="Q104" s="261"/>
      <c r="R104" s="261"/>
      <c r="S104" s="261">
        <v>6.38176</v>
      </c>
      <c r="T104" s="261"/>
      <c r="V104" s="8">
        <v>463</v>
      </c>
      <c r="W104" s="261"/>
      <c r="X104" s="261"/>
      <c r="Y104" s="261"/>
      <c r="Z104" s="261"/>
      <c r="AA104" s="261"/>
      <c r="AB104" s="261"/>
      <c r="AC104" s="261"/>
      <c r="AD104" s="261"/>
      <c r="AF104" s="8">
        <v>463</v>
      </c>
      <c r="AG104" s="261"/>
      <c r="AH104" s="261"/>
      <c r="AI104" s="261"/>
      <c r="AJ104" s="261"/>
      <c r="AK104" s="261"/>
      <c r="AL104" s="261"/>
      <c r="AM104" s="261"/>
      <c r="AO104" s="12">
        <v>463</v>
      </c>
      <c r="AP104" s="264"/>
      <c r="AQ104" s="264"/>
      <c r="AR104" s="264">
        <v>8.27572347321452</v>
      </c>
      <c r="AS104" s="264"/>
      <c r="AT104" s="264"/>
      <c r="AU104" s="264"/>
      <c r="AV104" s="264"/>
      <c r="AW104" s="264"/>
      <c r="AX104" s="264"/>
      <c r="BH104" s="269"/>
      <c r="BP104" s="272">
        <f>Inputs!B107</f>
        <v>463</v>
      </c>
      <c r="BQ104" s="272">
        <f>IF(LEFT(Inputs!$C$11,6)="photon",10^Inputs!C107,Inputs!C107)</f>
        <v>9.24337422608941</v>
      </c>
      <c r="BR104" s="272"/>
      <c r="BS104" s="272">
        <f>'Advanced Inputs'!I109</f>
        <v>463</v>
      </c>
      <c r="BT104" s="272">
        <f>IF('Advanced Inputs'!J$19="Photon system",10^'Advanced Inputs'!J109,'Advanced Inputs'!J109)</f>
        <v>0</v>
      </c>
      <c r="BV104" s="272">
        <v>463</v>
      </c>
      <c r="BW104" s="8">
        <v>39.2951</v>
      </c>
      <c r="BX104" s="8">
        <v>116.927</v>
      </c>
      <c r="CC104" s="8">
        <v>1</v>
      </c>
    </row>
    <row r="105" hidden="1" spans="8:81">
      <c r="H105" s="8">
        <v>464</v>
      </c>
      <c r="I105" s="261"/>
      <c r="J105" s="261"/>
      <c r="K105" s="261"/>
      <c r="L105" s="261"/>
      <c r="M105" s="261"/>
      <c r="N105" s="261"/>
      <c r="O105" s="261"/>
      <c r="P105" s="261"/>
      <c r="Q105" s="261"/>
      <c r="R105" s="261"/>
      <c r="S105" s="261">
        <v>6.25792</v>
      </c>
      <c r="T105" s="261"/>
      <c r="V105" s="8">
        <v>464</v>
      </c>
      <c r="W105" s="261"/>
      <c r="X105" s="261"/>
      <c r="Y105" s="261"/>
      <c r="Z105" s="261"/>
      <c r="AA105" s="261"/>
      <c r="AB105" s="261"/>
      <c r="AC105" s="261"/>
      <c r="AD105" s="261"/>
      <c r="AF105" s="8">
        <v>464</v>
      </c>
      <c r="AG105" s="261"/>
      <c r="AH105" s="261"/>
      <c r="AI105" s="261"/>
      <c r="AJ105" s="261"/>
      <c r="AK105" s="261"/>
      <c r="AL105" s="261"/>
      <c r="AM105" s="261"/>
      <c r="AO105" s="12">
        <v>464</v>
      </c>
      <c r="AP105" s="264"/>
      <c r="AQ105" s="264"/>
      <c r="AR105" s="264">
        <v>7.88092874007396</v>
      </c>
      <c r="AS105" s="264"/>
      <c r="AT105" s="264"/>
      <c r="AU105" s="264"/>
      <c r="AV105" s="264"/>
      <c r="AW105" s="264"/>
      <c r="AX105" s="264"/>
      <c r="BH105" s="269"/>
      <c r="BP105" s="272">
        <f>Inputs!B108</f>
        <v>464</v>
      </c>
      <c r="BQ105" s="272">
        <f>IF(LEFT(Inputs!$C$11,6)="photon",10^Inputs!C108,Inputs!C108)</f>
        <v>8.61301729757752</v>
      </c>
      <c r="BR105" s="272"/>
      <c r="BS105" s="272">
        <f>'Advanced Inputs'!I110</f>
        <v>464</v>
      </c>
      <c r="BT105" s="272">
        <f>IF('Advanced Inputs'!J$19="Photon system",10^'Advanced Inputs'!J110,'Advanced Inputs'!J110)</f>
        <v>0</v>
      </c>
      <c r="BV105" s="272">
        <v>464</v>
      </c>
      <c r="BW105" s="8">
        <v>39.796</v>
      </c>
      <c r="BX105" s="8">
        <v>116.632</v>
      </c>
      <c r="CC105" s="8">
        <v>1</v>
      </c>
    </row>
    <row r="106" hidden="1" spans="8:81">
      <c r="H106" s="8">
        <v>465</v>
      </c>
      <c r="I106" s="261"/>
      <c r="J106" s="261"/>
      <c r="K106" s="261"/>
      <c r="L106" s="261"/>
      <c r="M106" s="261"/>
      <c r="N106" s="261"/>
      <c r="O106" s="261"/>
      <c r="P106" s="261"/>
      <c r="Q106" s="261"/>
      <c r="R106" s="261"/>
      <c r="S106" s="261">
        <v>6.13</v>
      </c>
      <c r="T106" s="261"/>
      <c r="V106" s="8">
        <v>465</v>
      </c>
      <c r="W106" s="261"/>
      <c r="X106" s="261"/>
      <c r="Y106" s="261"/>
      <c r="Z106" s="261"/>
      <c r="AA106" s="261"/>
      <c r="AB106" s="261"/>
      <c r="AC106" s="261"/>
      <c r="AD106" s="261"/>
      <c r="AF106" s="8">
        <v>465</v>
      </c>
      <c r="AG106" s="261"/>
      <c r="AH106" s="261"/>
      <c r="AI106" s="261"/>
      <c r="AJ106" s="261"/>
      <c r="AK106" s="261"/>
      <c r="AL106" s="261"/>
      <c r="AM106" s="261"/>
      <c r="AO106" s="12">
        <v>465</v>
      </c>
      <c r="AP106" s="264"/>
      <c r="AQ106" s="264"/>
      <c r="AR106" s="264">
        <v>7.52632222627249</v>
      </c>
      <c r="AS106" s="264"/>
      <c r="AT106" s="264"/>
      <c r="AU106" s="264"/>
      <c r="AV106" s="264"/>
      <c r="AW106" s="264"/>
      <c r="AX106" s="264"/>
      <c r="BH106" s="269"/>
      <c r="BP106" s="272">
        <f>Inputs!B109</f>
        <v>465</v>
      </c>
      <c r="BQ106" s="272">
        <f>IF(LEFT(Inputs!$C$11,6)="photon",10^Inputs!C109,Inputs!C109)</f>
        <v>8.08587209012227</v>
      </c>
      <c r="BR106" s="272"/>
      <c r="BS106" s="272">
        <f>'Advanced Inputs'!I111</f>
        <v>465</v>
      </c>
      <c r="BT106" s="272">
        <f>IF('Advanced Inputs'!J$19="Photon system",10^'Advanced Inputs'!J111,'Advanced Inputs'!J111)</f>
        <v>0</v>
      </c>
      <c r="BV106" s="272">
        <v>465</v>
      </c>
      <c r="BW106" s="8">
        <v>40.3002</v>
      </c>
      <c r="BX106" s="8">
        <v>116.336</v>
      </c>
      <c r="CC106" s="8">
        <v>1</v>
      </c>
    </row>
    <row r="107" hidden="1" spans="8:81">
      <c r="H107" s="8">
        <v>466</v>
      </c>
      <c r="I107" s="261"/>
      <c r="J107" s="261"/>
      <c r="K107" s="261"/>
      <c r="L107" s="261"/>
      <c r="M107" s="261"/>
      <c r="N107" s="261"/>
      <c r="O107" s="261"/>
      <c r="P107" s="261"/>
      <c r="Q107" s="261"/>
      <c r="R107" s="261"/>
      <c r="S107" s="261">
        <v>5.99984</v>
      </c>
      <c r="T107" s="261"/>
      <c r="V107" s="8">
        <v>466</v>
      </c>
      <c r="W107" s="261"/>
      <c r="X107" s="261"/>
      <c r="Y107" s="261"/>
      <c r="Z107" s="261"/>
      <c r="AA107" s="261"/>
      <c r="AB107" s="261"/>
      <c r="AC107" s="261"/>
      <c r="AD107" s="261"/>
      <c r="AF107" s="8">
        <v>466</v>
      </c>
      <c r="AG107" s="261"/>
      <c r="AH107" s="261"/>
      <c r="AI107" s="261"/>
      <c r="AJ107" s="261"/>
      <c r="AK107" s="261"/>
      <c r="AL107" s="261"/>
      <c r="AM107" s="261"/>
      <c r="AO107" s="12">
        <v>466</v>
      </c>
      <c r="AP107" s="264"/>
      <c r="AQ107" s="264"/>
      <c r="AR107" s="264">
        <v>7.19650708600548</v>
      </c>
      <c r="AS107" s="264"/>
      <c r="AT107" s="264"/>
      <c r="AU107" s="264"/>
      <c r="AV107" s="264"/>
      <c r="AW107" s="264"/>
      <c r="AX107" s="264"/>
      <c r="BH107" s="269"/>
      <c r="BP107" s="272">
        <f>Inputs!B110</f>
        <v>466</v>
      </c>
      <c r="BQ107" s="272">
        <f>IF(LEFT(Inputs!$C$11,6)="photon",10^Inputs!C110,Inputs!C110)</f>
        <v>7.67584302594608</v>
      </c>
      <c r="BR107" s="272"/>
      <c r="BS107" s="272">
        <f>'Advanced Inputs'!I112</f>
        <v>466</v>
      </c>
      <c r="BT107" s="272">
        <f>IF('Advanced Inputs'!J$19="Photon system",10^'Advanced Inputs'!J112,'Advanced Inputs'!J112)</f>
        <v>0</v>
      </c>
      <c r="BV107" s="272">
        <v>466</v>
      </c>
      <c r="BW107" s="8">
        <v>40.8076</v>
      </c>
      <c r="BX107" s="8">
        <v>116.041</v>
      </c>
      <c r="CC107" s="8">
        <v>1</v>
      </c>
    </row>
    <row r="108" hidden="1" spans="8:81">
      <c r="H108" s="8">
        <v>467</v>
      </c>
      <c r="I108" s="261"/>
      <c r="J108" s="261"/>
      <c r="K108" s="261"/>
      <c r="L108" s="261"/>
      <c r="M108" s="261"/>
      <c r="N108" s="261"/>
      <c r="O108" s="261"/>
      <c r="P108" s="261"/>
      <c r="Q108" s="261"/>
      <c r="R108" s="261"/>
      <c r="S108" s="261">
        <v>5.86712</v>
      </c>
      <c r="T108" s="261"/>
      <c r="V108" s="8">
        <v>467</v>
      </c>
      <c r="W108" s="261"/>
      <c r="X108" s="261"/>
      <c r="Y108" s="261"/>
      <c r="Z108" s="261"/>
      <c r="AA108" s="261"/>
      <c r="AB108" s="261"/>
      <c r="AC108" s="261"/>
      <c r="AD108" s="261"/>
      <c r="AF108" s="8">
        <v>467</v>
      </c>
      <c r="AG108" s="261"/>
      <c r="AH108" s="261"/>
      <c r="AI108" s="261"/>
      <c r="AJ108" s="261"/>
      <c r="AK108" s="261"/>
      <c r="AL108" s="261"/>
      <c r="AM108" s="261"/>
      <c r="AO108" s="12">
        <v>467</v>
      </c>
      <c r="AP108" s="264"/>
      <c r="AQ108" s="264"/>
      <c r="AR108" s="264">
        <v>6.8824616372744</v>
      </c>
      <c r="AS108" s="264"/>
      <c r="AT108" s="264"/>
      <c r="AU108" s="264"/>
      <c r="AV108" s="264"/>
      <c r="AW108" s="264"/>
      <c r="AX108" s="264"/>
      <c r="BH108" s="269"/>
      <c r="BP108" s="272">
        <f>Inputs!B111</f>
        <v>467</v>
      </c>
      <c r="BQ108" s="272">
        <f>IF(LEFT(Inputs!$C$11,6)="photon",10^Inputs!C111,Inputs!C111)</f>
        <v>7.36813492519307</v>
      </c>
      <c r="BR108" s="272"/>
      <c r="BS108" s="272">
        <f>'Advanced Inputs'!I113</f>
        <v>467</v>
      </c>
      <c r="BT108" s="272">
        <f>IF('Advanced Inputs'!J$19="Photon system",10^'Advanced Inputs'!J113,'Advanced Inputs'!J113)</f>
        <v>0</v>
      </c>
      <c r="BV108" s="272">
        <v>467</v>
      </c>
      <c r="BW108" s="8">
        <v>41.3182</v>
      </c>
      <c r="BX108" s="8">
        <v>115.746</v>
      </c>
      <c r="CC108" s="8">
        <v>1</v>
      </c>
    </row>
    <row r="109" hidden="1" spans="8:81">
      <c r="H109" s="8">
        <v>468</v>
      </c>
      <c r="I109" s="261"/>
      <c r="J109" s="261"/>
      <c r="K109" s="261"/>
      <c r="L109" s="261"/>
      <c r="M109" s="261"/>
      <c r="N109" s="261"/>
      <c r="O109" s="261"/>
      <c r="P109" s="261"/>
      <c r="Q109" s="261"/>
      <c r="R109" s="261"/>
      <c r="S109" s="261">
        <v>5.73248</v>
      </c>
      <c r="T109" s="261"/>
      <c r="V109" s="8">
        <v>468</v>
      </c>
      <c r="W109" s="261"/>
      <c r="X109" s="261"/>
      <c r="Y109" s="261"/>
      <c r="Z109" s="261"/>
      <c r="AA109" s="261"/>
      <c r="AB109" s="261"/>
      <c r="AC109" s="261"/>
      <c r="AD109" s="261"/>
      <c r="AF109" s="8">
        <v>468</v>
      </c>
      <c r="AG109" s="261"/>
      <c r="AH109" s="261"/>
      <c r="AI109" s="261"/>
      <c r="AJ109" s="261"/>
      <c r="AK109" s="261"/>
      <c r="AL109" s="261"/>
      <c r="AM109" s="261"/>
      <c r="AO109" s="12">
        <v>468</v>
      </c>
      <c r="AP109" s="264"/>
      <c r="AQ109" s="264"/>
      <c r="AR109" s="264">
        <v>6.58074604396529</v>
      </c>
      <c r="AS109" s="264"/>
      <c r="AT109" s="264"/>
      <c r="AU109" s="264"/>
      <c r="AV109" s="264"/>
      <c r="AW109" s="264"/>
      <c r="AX109" s="264"/>
      <c r="BH109" s="269"/>
      <c r="BP109" s="272">
        <f>Inputs!B112</f>
        <v>468</v>
      </c>
      <c r="BQ109" s="272">
        <f>IF(LEFT(Inputs!$C$11,6)="photon",10^Inputs!C112,Inputs!C112)</f>
        <v>7.08556600064468</v>
      </c>
      <c r="BR109" s="272"/>
      <c r="BS109" s="272">
        <f>'Advanced Inputs'!I114</f>
        <v>468</v>
      </c>
      <c r="BT109" s="272">
        <f>IF('Advanced Inputs'!J$19="Photon system",10^'Advanced Inputs'!J114,'Advanced Inputs'!J114)</f>
        <v>0</v>
      </c>
      <c r="BV109" s="272">
        <v>468</v>
      </c>
      <c r="BW109" s="8">
        <v>41.832</v>
      </c>
      <c r="BX109" s="8">
        <v>115.451</v>
      </c>
      <c r="CC109" s="8">
        <v>1</v>
      </c>
    </row>
    <row r="110" hidden="1" spans="8:81">
      <c r="H110" s="8">
        <v>469</v>
      </c>
      <c r="I110" s="261"/>
      <c r="J110" s="261"/>
      <c r="K110" s="261"/>
      <c r="L110" s="261"/>
      <c r="M110" s="261"/>
      <c r="N110" s="261"/>
      <c r="O110" s="261"/>
      <c r="P110" s="261"/>
      <c r="Q110" s="261"/>
      <c r="R110" s="261"/>
      <c r="S110" s="261">
        <v>5.59656</v>
      </c>
      <c r="T110" s="261"/>
      <c r="V110" s="8">
        <v>469</v>
      </c>
      <c r="W110" s="261"/>
      <c r="X110" s="261"/>
      <c r="Y110" s="261"/>
      <c r="Z110" s="261"/>
      <c r="AA110" s="261"/>
      <c r="AB110" s="261"/>
      <c r="AC110" s="261"/>
      <c r="AD110" s="261"/>
      <c r="AF110" s="8">
        <v>469</v>
      </c>
      <c r="AG110" s="261"/>
      <c r="AH110" s="261"/>
      <c r="AI110" s="261"/>
      <c r="AJ110" s="261"/>
      <c r="AK110" s="261"/>
      <c r="AL110" s="261"/>
      <c r="AM110" s="261"/>
      <c r="AO110" s="12">
        <v>469</v>
      </c>
      <c r="AP110" s="264"/>
      <c r="AQ110" s="264"/>
      <c r="AR110" s="264">
        <v>6.29193265256924</v>
      </c>
      <c r="AS110" s="264"/>
      <c r="AT110" s="264"/>
      <c r="AU110" s="264"/>
      <c r="AV110" s="264"/>
      <c r="AW110" s="264"/>
      <c r="AX110" s="264"/>
      <c r="BH110" s="269"/>
      <c r="BP110" s="272">
        <f>Inputs!B113</f>
        <v>469</v>
      </c>
      <c r="BQ110" s="272">
        <f>IF(LEFT(Inputs!$C$11,6)="photon",10^Inputs!C113,Inputs!C113)</f>
        <v>6.86021736848153</v>
      </c>
      <c r="BR110" s="272"/>
      <c r="BS110" s="272">
        <f>'Advanced Inputs'!I115</f>
        <v>469</v>
      </c>
      <c r="BT110" s="272">
        <f>IF('Advanced Inputs'!J$19="Photon system",10^'Advanced Inputs'!J115,'Advanced Inputs'!J115)</f>
        <v>0</v>
      </c>
      <c r="BV110" s="272">
        <v>469</v>
      </c>
      <c r="BW110" s="8">
        <v>42.3491</v>
      </c>
      <c r="BX110" s="8">
        <v>115.156</v>
      </c>
      <c r="CC110" s="8">
        <v>1</v>
      </c>
    </row>
    <row r="111" hidden="1" spans="8:81">
      <c r="H111" s="8">
        <v>470</v>
      </c>
      <c r="I111" s="261"/>
      <c r="J111" s="261"/>
      <c r="K111" s="261"/>
      <c r="L111" s="261"/>
      <c r="M111" s="261"/>
      <c r="N111" s="261"/>
      <c r="O111" s="261"/>
      <c r="P111" s="261"/>
      <c r="Q111" s="261"/>
      <c r="R111" s="261"/>
      <c r="S111" s="261">
        <v>5.46</v>
      </c>
      <c r="T111" s="261"/>
      <c r="V111" s="8">
        <v>470</v>
      </c>
      <c r="W111" s="261"/>
      <c r="X111" s="261"/>
      <c r="Y111" s="261"/>
      <c r="Z111" s="261"/>
      <c r="AA111" s="261"/>
      <c r="AB111" s="261"/>
      <c r="AC111" s="261"/>
      <c r="AD111" s="261"/>
      <c r="AF111" s="8">
        <v>470</v>
      </c>
      <c r="AG111" s="261"/>
      <c r="AH111" s="261"/>
      <c r="AI111" s="261"/>
      <c r="AJ111" s="261"/>
      <c r="AK111" s="261"/>
      <c r="AL111" s="261"/>
      <c r="AM111" s="261"/>
      <c r="AO111" s="12">
        <v>470</v>
      </c>
      <c r="AP111" s="264"/>
      <c r="AQ111" s="264"/>
      <c r="AR111" s="264">
        <v>6.01949712258568</v>
      </c>
      <c r="AS111" s="264"/>
      <c r="AT111" s="264"/>
      <c r="AU111" s="264"/>
      <c r="AV111" s="264"/>
      <c r="AW111" s="264"/>
      <c r="AX111" s="264"/>
      <c r="BH111" s="269"/>
      <c r="BP111" s="272">
        <f>Inputs!B114</f>
        <v>470</v>
      </c>
      <c r="BQ111" s="272">
        <f>IF(LEFT(Inputs!$C$11,6)="photon",10^Inputs!C114,Inputs!C114)</f>
        <v>6.61617290735099</v>
      </c>
      <c r="BR111" s="272"/>
      <c r="BS111" s="272">
        <f>'Advanced Inputs'!I116</f>
        <v>470</v>
      </c>
      <c r="BT111" s="272">
        <f>IF('Advanced Inputs'!J$19="Photon system",10^'Advanced Inputs'!J116,'Advanced Inputs'!J116)</f>
        <v>0</v>
      </c>
      <c r="BV111" s="272">
        <v>470</v>
      </c>
      <c r="BW111" s="8">
        <v>42.8693</v>
      </c>
      <c r="BX111" s="8">
        <v>114.861</v>
      </c>
      <c r="CC111" s="8">
        <v>1</v>
      </c>
    </row>
    <row r="112" hidden="1" spans="8:81">
      <c r="H112" s="8">
        <v>471</v>
      </c>
      <c r="I112" s="261"/>
      <c r="J112" s="261"/>
      <c r="K112" s="261"/>
      <c r="L112" s="261"/>
      <c r="M112" s="261"/>
      <c r="N112" s="261"/>
      <c r="O112" s="261"/>
      <c r="P112" s="261"/>
      <c r="Q112" s="261"/>
      <c r="R112" s="261"/>
      <c r="S112" s="261">
        <v>5.27672</v>
      </c>
      <c r="T112" s="261"/>
      <c r="V112" s="8">
        <v>471</v>
      </c>
      <c r="W112" s="261"/>
      <c r="X112" s="261"/>
      <c r="Y112" s="261"/>
      <c r="Z112" s="261"/>
      <c r="AA112" s="261"/>
      <c r="AB112" s="261"/>
      <c r="AC112" s="261"/>
      <c r="AD112" s="261"/>
      <c r="AF112" s="8">
        <v>471</v>
      </c>
      <c r="AG112" s="261"/>
      <c r="AH112" s="261"/>
      <c r="AI112" s="261"/>
      <c r="AJ112" s="261"/>
      <c r="AK112" s="261"/>
      <c r="AL112" s="261"/>
      <c r="AM112" s="261"/>
      <c r="AO112" s="12">
        <v>471</v>
      </c>
      <c r="AP112" s="264"/>
      <c r="AQ112" s="264"/>
      <c r="AR112" s="264">
        <v>5.76913825598004</v>
      </c>
      <c r="AS112" s="264"/>
      <c r="AT112" s="264"/>
      <c r="AU112" s="264"/>
      <c r="AV112" s="264"/>
      <c r="AW112" s="264"/>
      <c r="AX112" s="264"/>
      <c r="BH112" s="269"/>
      <c r="BP112" s="272">
        <f>Inputs!B115</f>
        <v>471</v>
      </c>
      <c r="BQ112" s="272">
        <f>IF(LEFT(Inputs!$C$11,6)="photon",10^Inputs!C115,Inputs!C115)</f>
        <v>6.36435280141837</v>
      </c>
      <c r="BR112" s="272"/>
      <c r="BS112" s="272">
        <f>'Advanced Inputs'!I117</f>
        <v>471</v>
      </c>
      <c r="BT112" s="272">
        <f>IF('Advanced Inputs'!J$19="Photon system",10^'Advanced Inputs'!J117,'Advanced Inputs'!J117)</f>
        <v>0</v>
      </c>
      <c r="BV112" s="272">
        <v>471</v>
      </c>
      <c r="BW112" s="8">
        <v>43.3926</v>
      </c>
      <c r="BX112" s="8">
        <v>114.967</v>
      </c>
      <c r="CC112" s="8">
        <v>1</v>
      </c>
    </row>
    <row r="113" hidden="1" spans="8:81">
      <c r="H113" s="8">
        <v>472</v>
      </c>
      <c r="I113" s="261"/>
      <c r="J113" s="261"/>
      <c r="K113" s="261"/>
      <c r="L113" s="261"/>
      <c r="M113" s="261"/>
      <c r="N113" s="261"/>
      <c r="O113" s="261"/>
      <c r="P113" s="261"/>
      <c r="Q113" s="261"/>
      <c r="R113" s="261"/>
      <c r="S113" s="261">
        <v>5.10576</v>
      </c>
      <c r="T113" s="261"/>
      <c r="V113" s="8">
        <v>472</v>
      </c>
      <c r="W113" s="261"/>
      <c r="X113" s="261"/>
      <c r="Y113" s="261"/>
      <c r="Z113" s="261"/>
      <c r="AA113" s="261"/>
      <c r="AB113" s="261"/>
      <c r="AC113" s="261"/>
      <c r="AD113" s="261"/>
      <c r="AF113" s="8">
        <v>472</v>
      </c>
      <c r="AG113" s="261"/>
      <c r="AH113" s="261"/>
      <c r="AI113" s="261"/>
      <c r="AJ113" s="261"/>
      <c r="AK113" s="261"/>
      <c r="AL113" s="261"/>
      <c r="AM113" s="261"/>
      <c r="AO113" s="12">
        <v>472</v>
      </c>
      <c r="AP113" s="264"/>
      <c r="AQ113" s="264"/>
      <c r="AR113" s="264">
        <v>5.54777704280737</v>
      </c>
      <c r="AS113" s="264"/>
      <c r="AT113" s="264"/>
      <c r="AU113" s="264"/>
      <c r="AV113" s="264"/>
      <c r="AW113" s="264"/>
      <c r="AX113" s="264"/>
      <c r="BH113" s="269"/>
      <c r="BP113" s="272">
        <f>Inputs!B116</f>
        <v>472</v>
      </c>
      <c r="BQ113" s="272">
        <f>IF(LEFT(Inputs!$C$11,6)="photon",10^Inputs!C116,Inputs!C116)</f>
        <v>6.09283931958187</v>
      </c>
      <c r="BR113" s="272"/>
      <c r="BS113" s="272">
        <f>'Advanced Inputs'!I118</f>
        <v>472</v>
      </c>
      <c r="BT113" s="272">
        <f>IF('Advanced Inputs'!J$19="Photon system",10^'Advanced Inputs'!J118,'Advanced Inputs'!J118)</f>
        <v>0</v>
      </c>
      <c r="BV113" s="272">
        <v>472</v>
      </c>
      <c r="BW113" s="8">
        <v>43.9192</v>
      </c>
      <c r="BX113" s="8">
        <v>115.073</v>
      </c>
      <c r="CC113" s="8">
        <v>1</v>
      </c>
    </row>
    <row r="114" hidden="1" spans="8:81">
      <c r="H114" s="8">
        <v>473</v>
      </c>
      <c r="I114" s="261"/>
      <c r="J114" s="261"/>
      <c r="K114" s="261"/>
      <c r="L114" s="261"/>
      <c r="M114" s="261"/>
      <c r="N114" s="261"/>
      <c r="O114" s="261"/>
      <c r="P114" s="261"/>
      <c r="Q114" s="261"/>
      <c r="R114" s="261"/>
      <c r="S114" s="261">
        <v>4.95944</v>
      </c>
      <c r="T114" s="261"/>
      <c r="V114" s="8">
        <v>473</v>
      </c>
      <c r="W114" s="261"/>
      <c r="X114" s="261"/>
      <c r="Y114" s="261"/>
      <c r="Z114" s="261"/>
      <c r="AA114" s="261"/>
      <c r="AB114" s="261"/>
      <c r="AC114" s="261"/>
      <c r="AD114" s="261"/>
      <c r="AF114" s="8">
        <v>473</v>
      </c>
      <c r="AG114" s="261"/>
      <c r="AH114" s="261"/>
      <c r="AI114" s="261"/>
      <c r="AJ114" s="261"/>
      <c r="AK114" s="261"/>
      <c r="AL114" s="261"/>
      <c r="AM114" s="261"/>
      <c r="AO114" s="12">
        <v>473</v>
      </c>
      <c r="AP114" s="264"/>
      <c r="AQ114" s="264"/>
      <c r="AR114" s="264">
        <v>5.36196137568393</v>
      </c>
      <c r="AS114" s="264"/>
      <c r="AT114" s="264"/>
      <c r="AU114" s="264"/>
      <c r="AV114" s="264"/>
      <c r="AW114" s="264"/>
      <c r="AX114" s="264"/>
      <c r="BH114" s="269"/>
      <c r="BP114" s="272">
        <f>Inputs!B117</f>
        <v>473</v>
      </c>
      <c r="BQ114" s="272">
        <f>IF(LEFT(Inputs!$C$11,6)="photon",10^Inputs!C117,Inputs!C117)</f>
        <v>5.80279544592525</v>
      </c>
      <c r="BR114" s="272"/>
      <c r="BS114" s="272">
        <f>'Advanced Inputs'!I119</f>
        <v>473</v>
      </c>
      <c r="BT114" s="272">
        <f>IF('Advanced Inputs'!J$19="Photon system",10^'Advanced Inputs'!J119,'Advanced Inputs'!J119)</f>
        <v>0</v>
      </c>
      <c r="BV114" s="272">
        <v>473</v>
      </c>
      <c r="BW114" s="8">
        <v>44.4488</v>
      </c>
      <c r="BX114" s="8">
        <v>115.18</v>
      </c>
      <c r="CC114" s="8">
        <v>1</v>
      </c>
    </row>
    <row r="115" hidden="1" spans="8:81">
      <c r="H115" s="8">
        <v>474</v>
      </c>
      <c r="I115" s="261"/>
      <c r="J115" s="261"/>
      <c r="K115" s="261"/>
      <c r="L115" s="261"/>
      <c r="M115" s="261"/>
      <c r="N115" s="261"/>
      <c r="O115" s="261"/>
      <c r="P115" s="261"/>
      <c r="Q115" s="261"/>
      <c r="R115" s="261"/>
      <c r="S115" s="261">
        <v>4.85008</v>
      </c>
      <c r="T115" s="261"/>
      <c r="V115" s="8">
        <v>474</v>
      </c>
      <c r="W115" s="261"/>
      <c r="X115" s="261"/>
      <c r="Y115" s="261"/>
      <c r="Z115" s="261"/>
      <c r="AA115" s="261"/>
      <c r="AB115" s="261"/>
      <c r="AC115" s="261"/>
      <c r="AD115" s="261"/>
      <c r="AF115" s="8">
        <v>474</v>
      </c>
      <c r="AG115" s="261"/>
      <c r="AH115" s="261"/>
      <c r="AI115" s="261"/>
      <c r="AJ115" s="261"/>
      <c r="AK115" s="261"/>
      <c r="AL115" s="261"/>
      <c r="AM115" s="261"/>
      <c r="AO115" s="12">
        <v>474</v>
      </c>
      <c r="AP115" s="264"/>
      <c r="AQ115" s="264"/>
      <c r="AR115" s="264">
        <v>5.21631553895902</v>
      </c>
      <c r="AS115" s="264"/>
      <c r="AT115" s="264"/>
      <c r="AU115" s="264"/>
      <c r="AV115" s="264"/>
      <c r="AW115" s="264"/>
      <c r="AX115" s="264"/>
      <c r="BH115" s="269"/>
      <c r="BP115" s="272">
        <f>Inputs!B118</f>
        <v>474</v>
      </c>
      <c r="BQ115" s="272">
        <f>IF(LEFT(Inputs!$C$11,6)="photon",10^Inputs!C118,Inputs!C118)</f>
        <v>5.51008184005896</v>
      </c>
      <c r="BR115" s="272"/>
      <c r="BS115" s="272">
        <f>'Advanced Inputs'!I120</f>
        <v>474</v>
      </c>
      <c r="BT115" s="272">
        <f>IF('Advanced Inputs'!J$19="Photon system",10^'Advanced Inputs'!J120,'Advanced Inputs'!J120)</f>
        <v>0</v>
      </c>
      <c r="BV115" s="272">
        <v>474</v>
      </c>
      <c r="BW115" s="8">
        <v>44.9816</v>
      </c>
      <c r="BX115" s="8">
        <v>115.286</v>
      </c>
      <c r="CC115" s="8">
        <v>1</v>
      </c>
    </row>
    <row r="116" hidden="1" spans="8:81">
      <c r="H116" s="8">
        <v>475</v>
      </c>
      <c r="I116" s="261"/>
      <c r="J116" s="261"/>
      <c r="K116" s="261"/>
      <c r="L116" s="261"/>
      <c r="M116" s="261"/>
      <c r="N116" s="261"/>
      <c r="O116" s="261"/>
      <c r="P116" s="261"/>
      <c r="Q116" s="261"/>
      <c r="R116" s="261"/>
      <c r="S116" s="261">
        <v>4.79</v>
      </c>
      <c r="T116" s="261"/>
      <c r="V116" s="8">
        <v>475</v>
      </c>
      <c r="W116" s="261"/>
      <c r="X116" s="261"/>
      <c r="Y116" s="261"/>
      <c r="Z116" s="261"/>
      <c r="AA116" s="261"/>
      <c r="AB116" s="261"/>
      <c r="AC116" s="261"/>
      <c r="AD116" s="261"/>
      <c r="AF116" s="8">
        <v>475</v>
      </c>
      <c r="AG116" s="261"/>
      <c r="AH116" s="261"/>
      <c r="AI116" s="261"/>
      <c r="AJ116" s="261"/>
      <c r="AK116" s="261"/>
      <c r="AL116" s="261"/>
      <c r="AM116" s="261"/>
      <c r="AO116" s="12">
        <v>475</v>
      </c>
      <c r="AP116" s="264"/>
      <c r="AQ116" s="264"/>
      <c r="AR116" s="264">
        <v>5.11286425784154</v>
      </c>
      <c r="AS116" s="264"/>
      <c r="AT116" s="264"/>
      <c r="AU116" s="264"/>
      <c r="AV116" s="264"/>
      <c r="AW116" s="264"/>
      <c r="AX116" s="264"/>
      <c r="BH116" s="269"/>
      <c r="BP116" s="272">
        <f>Inputs!B119</f>
        <v>475</v>
      </c>
      <c r="BQ116" s="272">
        <f>IF(LEFT(Inputs!$C$11,6)="photon",10^Inputs!C119,Inputs!C119)</f>
        <v>5.21613721989162</v>
      </c>
      <c r="BR116" s="272"/>
      <c r="BS116" s="272">
        <f>'Advanced Inputs'!I121</f>
        <v>475</v>
      </c>
      <c r="BT116" s="272">
        <f>IF('Advanced Inputs'!J$19="Photon system",10^'Advanced Inputs'!J121,'Advanced Inputs'!J121)</f>
        <v>0</v>
      </c>
      <c r="BV116" s="272">
        <v>475</v>
      </c>
      <c r="BW116" s="8">
        <v>45.5174</v>
      </c>
      <c r="BX116" s="8">
        <v>115.392</v>
      </c>
      <c r="CC116" s="8">
        <v>1</v>
      </c>
    </row>
    <row r="117" hidden="1" spans="8:81">
      <c r="H117" s="8">
        <v>476</v>
      </c>
      <c r="I117" s="261"/>
      <c r="J117" s="261"/>
      <c r="K117" s="261"/>
      <c r="L117" s="261"/>
      <c r="M117" s="261"/>
      <c r="N117" s="261"/>
      <c r="O117" s="261"/>
      <c r="P117" s="261"/>
      <c r="Q117" s="261"/>
      <c r="R117" s="261"/>
      <c r="S117" s="261">
        <v>4.64176</v>
      </c>
      <c r="T117" s="261"/>
      <c r="V117" s="8">
        <v>476</v>
      </c>
      <c r="W117" s="261"/>
      <c r="X117" s="261"/>
      <c r="Y117" s="261"/>
      <c r="Z117" s="261"/>
      <c r="AA117" s="261"/>
      <c r="AB117" s="261"/>
      <c r="AC117" s="261"/>
      <c r="AD117" s="261"/>
      <c r="AF117" s="8">
        <v>476</v>
      </c>
      <c r="AG117" s="261"/>
      <c r="AH117" s="261"/>
      <c r="AI117" s="261"/>
      <c r="AJ117" s="261"/>
      <c r="AK117" s="261"/>
      <c r="AL117" s="261"/>
      <c r="AM117" s="261"/>
      <c r="AO117" s="12">
        <v>476</v>
      </c>
      <c r="AP117" s="264"/>
      <c r="AQ117" s="264"/>
      <c r="AR117" s="264">
        <v>5.05132698121955</v>
      </c>
      <c r="AS117" s="264"/>
      <c r="AT117" s="264"/>
      <c r="AU117" s="264"/>
      <c r="AV117" s="264"/>
      <c r="AW117" s="264"/>
      <c r="AX117" s="264"/>
      <c r="BH117" s="269"/>
      <c r="BP117" s="272">
        <f>Inputs!B120</f>
        <v>476</v>
      </c>
      <c r="BQ117" s="272">
        <f>IF(LEFT(Inputs!$C$11,6)="photon",10^Inputs!C120,Inputs!C120)</f>
        <v>4.94696467848443</v>
      </c>
      <c r="BR117" s="272"/>
      <c r="BS117" s="272">
        <f>'Advanced Inputs'!I122</f>
        <v>476</v>
      </c>
      <c r="BT117" s="272">
        <f>IF('Advanced Inputs'!J$19="Photon system",10^'Advanced Inputs'!J122,'Advanced Inputs'!J122)</f>
        <v>0</v>
      </c>
      <c r="BV117" s="272">
        <v>476</v>
      </c>
      <c r="BW117" s="8">
        <v>46.0563</v>
      </c>
      <c r="BX117" s="8">
        <v>115.498</v>
      </c>
      <c r="CC117" s="8">
        <v>1</v>
      </c>
    </row>
    <row r="118" hidden="1" spans="8:81">
      <c r="H118" s="8">
        <v>477</v>
      </c>
      <c r="I118" s="261"/>
      <c r="J118" s="261"/>
      <c r="K118" s="261"/>
      <c r="L118" s="261"/>
      <c r="M118" s="261"/>
      <c r="N118" s="261"/>
      <c r="O118" s="261"/>
      <c r="P118" s="261"/>
      <c r="Q118" s="261"/>
      <c r="R118" s="261"/>
      <c r="S118" s="261">
        <v>4.60488</v>
      </c>
      <c r="T118" s="261"/>
      <c r="V118" s="8">
        <v>477</v>
      </c>
      <c r="W118" s="261"/>
      <c r="X118" s="261"/>
      <c r="Y118" s="261"/>
      <c r="Z118" s="261"/>
      <c r="AA118" s="261"/>
      <c r="AB118" s="261"/>
      <c r="AC118" s="261"/>
      <c r="AD118" s="261"/>
      <c r="AF118" s="8">
        <v>477</v>
      </c>
      <c r="AG118" s="261"/>
      <c r="AH118" s="261"/>
      <c r="AI118" s="261"/>
      <c r="AJ118" s="261"/>
      <c r="AK118" s="261"/>
      <c r="AL118" s="261"/>
      <c r="AM118" s="261"/>
      <c r="AO118" s="12">
        <v>477</v>
      </c>
      <c r="AP118" s="264"/>
      <c r="AQ118" s="264"/>
      <c r="AR118" s="264">
        <v>5.02971042369927</v>
      </c>
      <c r="AS118" s="264"/>
      <c r="AT118" s="264"/>
      <c r="AU118" s="264"/>
      <c r="AV118" s="264"/>
      <c r="AW118" s="264"/>
      <c r="AX118" s="264"/>
      <c r="BP118" s="272">
        <f>Inputs!B121</f>
        <v>477</v>
      </c>
      <c r="BQ118" s="272">
        <f>IF(LEFT(Inputs!$C$11,6)="photon",10^Inputs!C121,Inputs!C121)</f>
        <v>4.7080347802498</v>
      </c>
      <c r="BR118" s="272"/>
      <c r="BS118" s="272">
        <f>'Advanced Inputs'!I123</f>
        <v>477</v>
      </c>
      <c r="BT118" s="272">
        <f>IF('Advanced Inputs'!J$19="Photon system",10^'Advanced Inputs'!J123,'Advanced Inputs'!J123)</f>
        <v>0</v>
      </c>
      <c r="BV118" s="272">
        <v>477</v>
      </c>
      <c r="BW118" s="8">
        <v>46.5983</v>
      </c>
      <c r="BX118" s="8">
        <v>115.604</v>
      </c>
      <c r="CC118" s="8">
        <v>1</v>
      </c>
    </row>
    <row r="119" hidden="1" spans="8:81">
      <c r="H119" s="8">
        <v>478</v>
      </c>
      <c r="I119" s="261"/>
      <c r="J119" s="261"/>
      <c r="K119" s="261"/>
      <c r="L119" s="261"/>
      <c r="M119" s="261"/>
      <c r="N119" s="261"/>
      <c r="O119" s="261"/>
      <c r="P119" s="261"/>
      <c r="Q119" s="261"/>
      <c r="R119" s="261"/>
      <c r="S119" s="261">
        <v>4.72912</v>
      </c>
      <c r="T119" s="261"/>
      <c r="V119" s="8">
        <v>478</v>
      </c>
      <c r="W119" s="261"/>
      <c r="X119" s="261"/>
      <c r="Y119" s="261"/>
      <c r="Z119" s="261"/>
      <c r="AA119" s="261"/>
      <c r="AB119" s="261"/>
      <c r="AC119" s="261"/>
      <c r="AD119" s="261"/>
      <c r="AF119" s="8">
        <v>478</v>
      </c>
      <c r="AG119" s="261"/>
      <c r="AH119" s="261"/>
      <c r="AI119" s="261"/>
      <c r="AJ119" s="261"/>
      <c r="AK119" s="261"/>
      <c r="AL119" s="261"/>
      <c r="AM119" s="261"/>
      <c r="AO119" s="12">
        <v>478</v>
      </c>
      <c r="AP119" s="264"/>
      <c r="AQ119" s="264"/>
      <c r="AR119" s="264">
        <v>5.04465606355625</v>
      </c>
      <c r="AS119" s="264"/>
      <c r="AT119" s="264"/>
      <c r="AU119" s="264"/>
      <c r="AV119" s="264"/>
      <c r="AW119" s="264"/>
      <c r="AX119" s="264"/>
      <c r="BP119" s="272">
        <f>Inputs!B122</f>
        <v>478</v>
      </c>
      <c r="BQ119" s="272">
        <f>IF(LEFT(Inputs!$C$11,6)="photon",10^Inputs!C122,Inputs!C122)</f>
        <v>4.48231194791477</v>
      </c>
      <c r="BR119" s="272"/>
      <c r="BS119" s="272">
        <f>'Advanced Inputs'!I124</f>
        <v>478</v>
      </c>
      <c r="BT119" s="272">
        <f>IF('Advanced Inputs'!J$19="Photon system",10^'Advanced Inputs'!J124,'Advanced Inputs'!J124)</f>
        <v>0</v>
      </c>
      <c r="BV119" s="272">
        <v>478</v>
      </c>
      <c r="BW119" s="8">
        <v>47.1433</v>
      </c>
      <c r="BX119" s="8">
        <v>115.711</v>
      </c>
      <c r="CC119" s="8">
        <v>1</v>
      </c>
    </row>
    <row r="120" hidden="1" spans="8:81">
      <c r="H120" s="8">
        <v>479</v>
      </c>
      <c r="I120" s="261"/>
      <c r="J120" s="261"/>
      <c r="K120" s="261"/>
      <c r="L120" s="261"/>
      <c r="M120" s="261"/>
      <c r="N120" s="261"/>
      <c r="O120" s="261"/>
      <c r="P120" s="261"/>
      <c r="Q120" s="261"/>
      <c r="R120" s="261"/>
      <c r="S120" s="261">
        <v>5.06424</v>
      </c>
      <c r="T120" s="261"/>
      <c r="V120" s="8">
        <v>479</v>
      </c>
      <c r="W120" s="261"/>
      <c r="X120" s="261"/>
      <c r="Y120" s="261"/>
      <c r="Z120" s="261"/>
      <c r="AA120" s="261"/>
      <c r="AB120" s="261"/>
      <c r="AC120" s="261"/>
      <c r="AD120" s="261"/>
      <c r="AF120" s="8">
        <v>479</v>
      </c>
      <c r="AG120" s="261"/>
      <c r="AH120" s="261"/>
      <c r="AI120" s="261"/>
      <c r="AJ120" s="261"/>
      <c r="AK120" s="261"/>
      <c r="AL120" s="261"/>
      <c r="AM120" s="261"/>
      <c r="AO120" s="12">
        <v>479</v>
      </c>
      <c r="AP120" s="264"/>
      <c r="AQ120" s="264"/>
      <c r="AR120" s="264">
        <v>5.09177145418127</v>
      </c>
      <c r="AS120" s="264"/>
      <c r="AT120" s="264"/>
      <c r="AU120" s="264"/>
      <c r="AV120" s="264"/>
      <c r="AW120" s="264"/>
      <c r="AX120" s="264"/>
      <c r="BP120" s="272">
        <f>Inputs!B123</f>
        <v>479</v>
      </c>
      <c r="BQ120" s="272">
        <f>IF(LEFT(Inputs!$C$11,6)="photon",10^Inputs!C123,Inputs!C123)</f>
        <v>4.29295243964893</v>
      </c>
      <c r="BR120" s="272"/>
      <c r="BS120" s="272">
        <f>'Advanced Inputs'!I125</f>
        <v>479</v>
      </c>
      <c r="BT120" s="272">
        <f>IF('Advanced Inputs'!J$19="Photon system",10^'Advanced Inputs'!J125,'Advanced Inputs'!J125)</f>
        <v>0</v>
      </c>
      <c r="BV120" s="272">
        <v>479</v>
      </c>
      <c r="BW120" s="8">
        <v>47.6913</v>
      </c>
      <c r="BX120" s="8">
        <v>115.817</v>
      </c>
      <c r="CC120" s="8">
        <v>1</v>
      </c>
    </row>
    <row r="121" hidden="1" spans="8:81">
      <c r="H121" s="8">
        <v>480</v>
      </c>
      <c r="I121" s="261"/>
      <c r="J121" s="261"/>
      <c r="K121" s="261"/>
      <c r="L121" s="261"/>
      <c r="M121" s="261"/>
      <c r="N121" s="261"/>
      <c r="O121" s="261"/>
      <c r="P121" s="261"/>
      <c r="Q121" s="261"/>
      <c r="R121" s="261"/>
      <c r="S121" s="261">
        <v>5.66</v>
      </c>
      <c r="T121" s="261"/>
      <c r="V121" s="8">
        <v>480</v>
      </c>
      <c r="W121" s="261"/>
      <c r="X121" s="261"/>
      <c r="Y121" s="261"/>
      <c r="Z121" s="261"/>
      <c r="AA121" s="261"/>
      <c r="AB121" s="261"/>
      <c r="AC121" s="261"/>
      <c r="AD121" s="261"/>
      <c r="AF121" s="8">
        <v>480</v>
      </c>
      <c r="AG121" s="261"/>
      <c r="AH121" s="261"/>
      <c r="AI121" s="261"/>
      <c r="AJ121" s="261"/>
      <c r="AK121" s="261"/>
      <c r="AL121" s="261"/>
      <c r="AM121" s="261"/>
      <c r="AO121" s="12">
        <v>480</v>
      </c>
      <c r="AP121" s="264"/>
      <c r="AQ121" s="264"/>
      <c r="AR121" s="264">
        <v>5.16634556738242</v>
      </c>
      <c r="AS121" s="264"/>
      <c r="AT121" s="264"/>
      <c r="AU121" s="264"/>
      <c r="AV121" s="264"/>
      <c r="AW121" s="264"/>
      <c r="AX121" s="264"/>
      <c r="BP121" s="272">
        <f>Inputs!B124</f>
        <v>480</v>
      </c>
      <c r="BQ121" s="272">
        <f>IF(LEFT(Inputs!$C$11,6)="photon",10^Inputs!C124,Inputs!C124)</f>
        <v>4.15295195133414</v>
      </c>
      <c r="BR121" s="272"/>
      <c r="BS121" s="272">
        <f>'Advanced Inputs'!I126</f>
        <v>480</v>
      </c>
      <c r="BT121" s="272">
        <f>IF('Advanced Inputs'!J$19="Photon system",10^'Advanced Inputs'!J126,'Advanced Inputs'!J126)</f>
        <v>0</v>
      </c>
      <c r="BV121" s="272">
        <v>480</v>
      </c>
      <c r="BW121" s="8">
        <v>48.2423</v>
      </c>
      <c r="BX121" s="8">
        <v>115.923</v>
      </c>
      <c r="CC121" s="8">
        <v>1</v>
      </c>
    </row>
    <row r="122" hidden="1" spans="8:81">
      <c r="H122" s="8">
        <v>481</v>
      </c>
      <c r="I122" s="261"/>
      <c r="J122" s="261"/>
      <c r="K122" s="261"/>
      <c r="L122" s="261"/>
      <c r="M122" s="261"/>
      <c r="N122" s="261"/>
      <c r="O122" s="261"/>
      <c r="P122" s="261"/>
      <c r="Q122" s="261"/>
      <c r="R122" s="261"/>
      <c r="S122" s="261">
        <v>7.26824</v>
      </c>
      <c r="T122" s="261"/>
      <c r="V122" s="8">
        <v>481</v>
      </c>
      <c r="W122" s="261"/>
      <c r="X122" s="261"/>
      <c r="Y122" s="261"/>
      <c r="Z122" s="261"/>
      <c r="AA122" s="261"/>
      <c r="AB122" s="261"/>
      <c r="AC122" s="261"/>
      <c r="AD122" s="261"/>
      <c r="AF122" s="8">
        <v>481</v>
      </c>
      <c r="AG122" s="261"/>
      <c r="AH122" s="261"/>
      <c r="AI122" s="261"/>
      <c r="AJ122" s="261"/>
      <c r="AK122" s="261"/>
      <c r="AL122" s="261"/>
      <c r="AM122" s="261"/>
      <c r="AO122" s="12">
        <v>481</v>
      </c>
      <c r="AP122" s="264"/>
      <c r="AQ122" s="264"/>
      <c r="AR122" s="264">
        <v>5.26414347226659</v>
      </c>
      <c r="AS122" s="264"/>
      <c r="AT122" s="264"/>
      <c r="AU122" s="264"/>
      <c r="AV122" s="264"/>
      <c r="AW122" s="264"/>
      <c r="AX122" s="264"/>
      <c r="BP122" s="272">
        <f>Inputs!B125</f>
        <v>481</v>
      </c>
      <c r="BQ122" s="272">
        <f>IF(LEFT(Inputs!$C$11,6)="photon",10^Inputs!C125,Inputs!C125)</f>
        <v>4.06028912734808</v>
      </c>
      <c r="BR122" s="272"/>
      <c r="BS122" s="272">
        <f>'Advanced Inputs'!I127</f>
        <v>481</v>
      </c>
      <c r="BT122" s="272">
        <f>IF('Advanced Inputs'!J$19="Photon system",10^'Advanced Inputs'!J127,'Advanced Inputs'!J127)</f>
        <v>0</v>
      </c>
      <c r="BV122" s="272">
        <v>481</v>
      </c>
      <c r="BW122" s="8">
        <v>48.7963</v>
      </c>
      <c r="BX122" s="8">
        <v>115.212</v>
      </c>
      <c r="CC122" s="8">
        <v>1</v>
      </c>
    </row>
    <row r="123" hidden="1" spans="8:81">
      <c r="H123" s="8">
        <v>482</v>
      </c>
      <c r="I123" s="261"/>
      <c r="J123" s="261"/>
      <c r="K123" s="261"/>
      <c r="L123" s="261"/>
      <c r="M123" s="261"/>
      <c r="N123" s="261"/>
      <c r="O123" s="261"/>
      <c r="P123" s="261"/>
      <c r="Q123" s="261"/>
      <c r="R123" s="261"/>
      <c r="S123" s="261">
        <v>9.06112</v>
      </c>
      <c r="T123" s="261"/>
      <c r="V123" s="8">
        <v>482</v>
      </c>
      <c r="W123" s="261"/>
      <c r="X123" s="261"/>
      <c r="Y123" s="261"/>
      <c r="Z123" s="261"/>
      <c r="AA123" s="261"/>
      <c r="AB123" s="261"/>
      <c r="AC123" s="261"/>
      <c r="AD123" s="261"/>
      <c r="AF123" s="8">
        <v>482</v>
      </c>
      <c r="AG123" s="261"/>
      <c r="AH123" s="261"/>
      <c r="AI123" s="261"/>
      <c r="AJ123" s="261"/>
      <c r="AK123" s="261"/>
      <c r="AL123" s="261"/>
      <c r="AM123" s="261"/>
      <c r="AO123" s="12">
        <v>482</v>
      </c>
      <c r="AP123" s="264"/>
      <c r="AQ123" s="264"/>
      <c r="AR123" s="264">
        <v>5.38167135228563</v>
      </c>
      <c r="AS123" s="264"/>
      <c r="AT123" s="264"/>
      <c r="AU123" s="264"/>
      <c r="AV123" s="264"/>
      <c r="AW123" s="264"/>
      <c r="AX123" s="264"/>
      <c r="BP123" s="272">
        <f>Inputs!B126</f>
        <v>482</v>
      </c>
      <c r="BQ123" s="272">
        <f>IF(LEFT(Inputs!$C$11,6)="photon",10^Inputs!C126,Inputs!C126)</f>
        <v>4.02092791629221</v>
      </c>
      <c r="BR123" s="272"/>
      <c r="BS123" s="272">
        <f>'Advanced Inputs'!I128</f>
        <v>482</v>
      </c>
      <c r="BT123" s="272">
        <f>IF('Advanced Inputs'!J$19="Photon system",10^'Advanced Inputs'!J128,'Advanced Inputs'!J128)</f>
        <v>0</v>
      </c>
      <c r="BV123" s="272">
        <v>482</v>
      </c>
      <c r="BW123" s="8">
        <v>49.3533</v>
      </c>
      <c r="BX123" s="8">
        <v>114.501</v>
      </c>
      <c r="CC123" s="8">
        <v>1</v>
      </c>
    </row>
    <row r="124" hidden="1" spans="8:81">
      <c r="H124" s="8">
        <v>483</v>
      </c>
      <c r="I124" s="261"/>
      <c r="J124" s="261"/>
      <c r="K124" s="261"/>
      <c r="L124" s="261"/>
      <c r="M124" s="261"/>
      <c r="N124" s="261"/>
      <c r="O124" s="261"/>
      <c r="P124" s="261"/>
      <c r="Q124" s="261"/>
      <c r="R124" s="261"/>
      <c r="S124" s="261">
        <v>10.91288</v>
      </c>
      <c r="T124" s="261"/>
      <c r="V124" s="8">
        <v>483</v>
      </c>
      <c r="W124" s="261"/>
      <c r="X124" s="261"/>
      <c r="Y124" s="261"/>
      <c r="Z124" s="261"/>
      <c r="AA124" s="261"/>
      <c r="AB124" s="261"/>
      <c r="AC124" s="261"/>
      <c r="AD124" s="261"/>
      <c r="AF124" s="8">
        <v>483</v>
      </c>
      <c r="AG124" s="261"/>
      <c r="AH124" s="261"/>
      <c r="AI124" s="261"/>
      <c r="AJ124" s="261"/>
      <c r="AK124" s="261"/>
      <c r="AL124" s="261"/>
      <c r="AM124" s="261"/>
      <c r="AO124" s="12">
        <v>483</v>
      </c>
      <c r="AP124" s="264"/>
      <c r="AQ124" s="264"/>
      <c r="AR124" s="264">
        <v>5.51594398103243</v>
      </c>
      <c r="AS124" s="264"/>
      <c r="AT124" s="264"/>
      <c r="AU124" s="264"/>
      <c r="AV124" s="264"/>
      <c r="AW124" s="264"/>
      <c r="AX124" s="264"/>
      <c r="BP124" s="272">
        <f>Inputs!B127</f>
        <v>483</v>
      </c>
      <c r="BQ124" s="272">
        <f>IF(LEFT(Inputs!$C$11,6)="photon",10^Inputs!C127,Inputs!C127)</f>
        <v>4.00320860038461</v>
      </c>
      <c r="BR124" s="272"/>
      <c r="BS124" s="272">
        <f>'Advanced Inputs'!I129</f>
        <v>483</v>
      </c>
      <c r="BT124" s="272">
        <f>IF('Advanced Inputs'!J$19="Photon system",10^'Advanced Inputs'!J129,'Advanced Inputs'!J129)</f>
        <v>0</v>
      </c>
      <c r="BV124" s="272">
        <v>483</v>
      </c>
      <c r="BW124" s="8">
        <v>49.9132</v>
      </c>
      <c r="BX124" s="8">
        <v>113.789</v>
      </c>
      <c r="CC124" s="8">
        <v>1</v>
      </c>
    </row>
    <row r="125" hidden="1" spans="8:81">
      <c r="H125" s="8">
        <v>484</v>
      </c>
      <c r="I125" s="261"/>
      <c r="J125" s="261"/>
      <c r="K125" s="261"/>
      <c r="L125" s="261"/>
      <c r="M125" s="261"/>
      <c r="N125" s="261"/>
      <c r="O125" s="261"/>
      <c r="P125" s="261"/>
      <c r="Q125" s="261"/>
      <c r="R125" s="261"/>
      <c r="S125" s="261">
        <v>12.69776</v>
      </c>
      <c r="T125" s="261"/>
      <c r="V125" s="8">
        <v>484</v>
      </c>
      <c r="W125" s="261"/>
      <c r="X125" s="261"/>
      <c r="Y125" s="261"/>
      <c r="Z125" s="261"/>
      <c r="AA125" s="261"/>
      <c r="AB125" s="261"/>
      <c r="AC125" s="261"/>
      <c r="AD125" s="261"/>
      <c r="AF125" s="8">
        <v>484</v>
      </c>
      <c r="AG125" s="261"/>
      <c r="AH125" s="261"/>
      <c r="AI125" s="261"/>
      <c r="AJ125" s="261"/>
      <c r="AK125" s="261"/>
      <c r="AL125" s="261"/>
      <c r="AM125" s="261"/>
      <c r="AO125" s="12">
        <v>484</v>
      </c>
      <c r="AP125" s="264"/>
      <c r="AQ125" s="264"/>
      <c r="AR125" s="264">
        <v>5.66427572429296</v>
      </c>
      <c r="AS125" s="264"/>
      <c r="AT125" s="264"/>
      <c r="AU125" s="264"/>
      <c r="AV125" s="264"/>
      <c r="AW125" s="264"/>
      <c r="AX125" s="264"/>
      <c r="BP125" s="272">
        <f>Inputs!B128</f>
        <v>484</v>
      </c>
      <c r="BQ125" s="272">
        <f>IF(LEFT(Inputs!$C$11,6)="photon",10^Inputs!C128,Inputs!C128)</f>
        <v>4.0192166749808</v>
      </c>
      <c r="BR125" s="272"/>
      <c r="BS125" s="272">
        <f>'Advanced Inputs'!I130</f>
        <v>484</v>
      </c>
      <c r="BT125" s="272">
        <f>IF('Advanced Inputs'!J$19="Photon system",10^'Advanced Inputs'!J130,'Advanced Inputs'!J130)</f>
        <v>0</v>
      </c>
      <c r="BV125" s="272">
        <v>484</v>
      </c>
      <c r="BW125" s="8">
        <v>50.476</v>
      </c>
      <c r="BX125" s="8">
        <v>113.078</v>
      </c>
      <c r="CC125" s="8">
        <v>1</v>
      </c>
    </row>
    <row r="126" hidden="1" spans="8:81">
      <c r="H126" s="8">
        <v>485</v>
      </c>
      <c r="I126" s="261"/>
      <c r="J126" s="261"/>
      <c r="K126" s="261"/>
      <c r="L126" s="261"/>
      <c r="M126" s="261"/>
      <c r="N126" s="261"/>
      <c r="O126" s="261"/>
      <c r="P126" s="261"/>
      <c r="Q126" s="261"/>
      <c r="R126" s="261"/>
      <c r="S126" s="261">
        <v>14.29</v>
      </c>
      <c r="T126" s="261"/>
      <c r="V126" s="8">
        <v>485</v>
      </c>
      <c r="W126" s="261"/>
      <c r="X126" s="261"/>
      <c r="Y126" s="261"/>
      <c r="Z126" s="261"/>
      <c r="AA126" s="261"/>
      <c r="AB126" s="261"/>
      <c r="AC126" s="261"/>
      <c r="AD126" s="261"/>
      <c r="AF126" s="8">
        <v>485</v>
      </c>
      <c r="AG126" s="261"/>
      <c r="AH126" s="261"/>
      <c r="AI126" s="261"/>
      <c r="AJ126" s="261"/>
      <c r="AK126" s="261"/>
      <c r="AL126" s="261"/>
      <c r="AM126" s="261"/>
      <c r="AO126" s="12">
        <v>485</v>
      </c>
      <c r="AP126" s="264"/>
      <c r="AQ126" s="264"/>
      <c r="AR126" s="264">
        <v>5.82436127257268</v>
      </c>
      <c r="AS126" s="264"/>
      <c r="AT126" s="264"/>
      <c r="AU126" s="264"/>
      <c r="AV126" s="264"/>
      <c r="AW126" s="264"/>
      <c r="AX126" s="264"/>
      <c r="BP126" s="272">
        <f>Inputs!B129</f>
        <v>485</v>
      </c>
      <c r="BQ126" s="272">
        <f>IF(LEFT(Inputs!$C$11,6)="photon",10^Inputs!C129,Inputs!C129)</f>
        <v>4.06103850014886</v>
      </c>
      <c r="BR126" s="272"/>
      <c r="BS126" s="272">
        <f>'Advanced Inputs'!I131</f>
        <v>485</v>
      </c>
      <c r="BT126" s="272">
        <f>IF('Advanced Inputs'!J$19="Photon system",10^'Advanced Inputs'!J131,'Advanced Inputs'!J131)</f>
        <v>0</v>
      </c>
      <c r="BV126" s="272">
        <v>485</v>
      </c>
      <c r="BW126" s="8">
        <v>51.0418</v>
      </c>
      <c r="BX126" s="8">
        <v>112.367</v>
      </c>
      <c r="CC126" s="8">
        <v>1</v>
      </c>
    </row>
    <row r="127" hidden="1" spans="8:81">
      <c r="H127" s="8">
        <v>486</v>
      </c>
      <c r="I127" s="261"/>
      <c r="J127" s="261"/>
      <c r="K127" s="261"/>
      <c r="L127" s="261"/>
      <c r="M127" s="261"/>
      <c r="N127" s="261"/>
      <c r="O127" s="261"/>
      <c r="P127" s="261"/>
      <c r="Q127" s="261"/>
      <c r="R127" s="261"/>
      <c r="S127" s="261">
        <v>15.0192</v>
      </c>
      <c r="T127" s="261"/>
      <c r="V127" s="8">
        <v>486</v>
      </c>
      <c r="W127" s="261"/>
      <c r="X127" s="261"/>
      <c r="Y127" s="261"/>
      <c r="Z127" s="261"/>
      <c r="AA127" s="261"/>
      <c r="AB127" s="261"/>
      <c r="AC127" s="261"/>
      <c r="AD127" s="261"/>
      <c r="AF127" s="8">
        <v>486</v>
      </c>
      <c r="AG127" s="261"/>
      <c r="AH127" s="261"/>
      <c r="AI127" s="261"/>
      <c r="AJ127" s="261"/>
      <c r="AK127" s="261"/>
      <c r="AL127" s="261"/>
      <c r="AM127" s="261"/>
      <c r="AO127" s="12">
        <v>486</v>
      </c>
      <c r="AP127" s="264"/>
      <c r="AQ127" s="264"/>
      <c r="AR127" s="264">
        <v>5.99454999451848</v>
      </c>
      <c r="AS127" s="264"/>
      <c r="AT127" s="264"/>
      <c r="AU127" s="264"/>
      <c r="AV127" s="264"/>
      <c r="AW127" s="264"/>
      <c r="AX127" s="264"/>
      <c r="BP127" s="272">
        <f>Inputs!B130</f>
        <v>486</v>
      </c>
      <c r="BQ127" s="272">
        <f>IF(LEFT(Inputs!$C$11,6)="photon",10^Inputs!C130,Inputs!C130)</f>
        <v>4.13733393226677</v>
      </c>
      <c r="BR127" s="272"/>
      <c r="BS127" s="272">
        <f>'Advanced Inputs'!I132</f>
        <v>486</v>
      </c>
      <c r="BT127" s="272">
        <f>IF('Advanced Inputs'!J$19="Photon system",10^'Advanced Inputs'!J132,'Advanced Inputs'!J132)</f>
        <v>0</v>
      </c>
      <c r="BV127" s="272">
        <v>486</v>
      </c>
      <c r="BW127" s="8">
        <v>51.6104</v>
      </c>
      <c r="BX127" s="8">
        <v>111.656</v>
      </c>
      <c r="CC127" s="8">
        <v>1</v>
      </c>
    </row>
    <row r="128" hidden="1" spans="8:81">
      <c r="H128" s="8">
        <v>487</v>
      </c>
      <c r="I128" s="261"/>
      <c r="J128" s="261"/>
      <c r="K128" s="261"/>
      <c r="L128" s="261"/>
      <c r="M128" s="261"/>
      <c r="N128" s="261"/>
      <c r="O128" s="261"/>
      <c r="P128" s="261"/>
      <c r="Q128" s="261"/>
      <c r="R128" s="261"/>
      <c r="S128" s="261">
        <v>15.4404</v>
      </c>
      <c r="T128" s="261"/>
      <c r="V128" s="8">
        <v>487</v>
      </c>
      <c r="W128" s="261"/>
      <c r="X128" s="261"/>
      <c r="Y128" s="261"/>
      <c r="Z128" s="261"/>
      <c r="AA128" s="261"/>
      <c r="AB128" s="261"/>
      <c r="AC128" s="261"/>
      <c r="AD128" s="261"/>
      <c r="AF128" s="8">
        <v>487</v>
      </c>
      <c r="AG128" s="261"/>
      <c r="AH128" s="261"/>
      <c r="AI128" s="261"/>
      <c r="AJ128" s="261"/>
      <c r="AK128" s="261"/>
      <c r="AL128" s="261"/>
      <c r="AM128" s="261"/>
      <c r="AO128" s="12">
        <v>487</v>
      </c>
      <c r="AP128" s="264"/>
      <c r="AQ128" s="264"/>
      <c r="AR128" s="264">
        <v>6.17405053668576</v>
      </c>
      <c r="AS128" s="264"/>
      <c r="AT128" s="264"/>
      <c r="AU128" s="264"/>
      <c r="AV128" s="264"/>
      <c r="AW128" s="264"/>
      <c r="AX128" s="264"/>
      <c r="BP128" s="272">
        <f>Inputs!B131</f>
        <v>487</v>
      </c>
      <c r="BQ128" s="272">
        <f>IF(LEFT(Inputs!$C$11,6)="photon",10^Inputs!C131,Inputs!C131)</f>
        <v>4.22012194888643</v>
      </c>
      <c r="BR128" s="272"/>
      <c r="BS128" s="272">
        <f>'Advanced Inputs'!I133</f>
        <v>487</v>
      </c>
      <c r="BT128" s="272">
        <f>IF('Advanced Inputs'!J$19="Photon system",10^'Advanced Inputs'!J133,'Advanced Inputs'!J133)</f>
        <v>0</v>
      </c>
      <c r="BV128" s="272">
        <v>487</v>
      </c>
      <c r="BW128" s="8">
        <v>52.1818</v>
      </c>
      <c r="BX128" s="8">
        <v>110.945</v>
      </c>
      <c r="CC128" s="8">
        <v>1</v>
      </c>
    </row>
    <row r="129" hidden="1" spans="8:81">
      <c r="H129" s="8">
        <v>488</v>
      </c>
      <c r="I129" s="261"/>
      <c r="J129" s="261"/>
      <c r="K129" s="261"/>
      <c r="L129" s="261"/>
      <c r="M129" s="261"/>
      <c r="N129" s="261"/>
      <c r="O129" s="261"/>
      <c r="P129" s="261"/>
      <c r="Q129" s="261"/>
      <c r="R129" s="261"/>
      <c r="S129" s="261">
        <v>15.564</v>
      </c>
      <c r="T129" s="261"/>
      <c r="V129" s="8">
        <v>488</v>
      </c>
      <c r="W129" s="261"/>
      <c r="X129" s="261"/>
      <c r="Y129" s="261"/>
      <c r="Z129" s="261"/>
      <c r="AA129" s="261"/>
      <c r="AB129" s="261"/>
      <c r="AC129" s="261"/>
      <c r="AD129" s="261"/>
      <c r="AF129" s="8">
        <v>488</v>
      </c>
      <c r="AG129" s="261"/>
      <c r="AH129" s="261"/>
      <c r="AI129" s="261"/>
      <c r="AJ129" s="261"/>
      <c r="AK129" s="261"/>
      <c r="AL129" s="261"/>
      <c r="AM129" s="261"/>
      <c r="AO129" s="12">
        <v>488</v>
      </c>
      <c r="AP129" s="264"/>
      <c r="AQ129" s="264"/>
      <c r="AR129" s="264">
        <v>6.3627349556128</v>
      </c>
      <c r="AS129" s="264"/>
      <c r="AT129" s="264"/>
      <c r="AU129" s="264"/>
      <c r="AV129" s="264"/>
      <c r="AW129" s="264"/>
      <c r="AX129" s="264"/>
      <c r="BP129" s="272">
        <f>Inputs!B132</f>
        <v>488</v>
      </c>
      <c r="BQ129" s="272">
        <f>IF(LEFT(Inputs!$C$11,6)="photon",10^Inputs!C132,Inputs!C132)</f>
        <v>4.32326156968776</v>
      </c>
      <c r="BR129" s="272"/>
      <c r="BS129" s="272">
        <f>'Advanced Inputs'!I134</f>
        <v>488</v>
      </c>
      <c r="BT129" s="272">
        <f>IF('Advanced Inputs'!J$19="Photon system",10^'Advanced Inputs'!J134,'Advanced Inputs'!J134)</f>
        <v>0</v>
      </c>
      <c r="BV129" s="272">
        <v>488</v>
      </c>
      <c r="BW129" s="8">
        <v>52.7561</v>
      </c>
      <c r="BX129" s="8">
        <v>110.233</v>
      </c>
      <c r="CC129" s="8">
        <v>1</v>
      </c>
    </row>
    <row r="130" hidden="1" spans="8:81">
      <c r="H130" s="8">
        <v>489</v>
      </c>
      <c r="I130" s="261"/>
      <c r="J130" s="261"/>
      <c r="K130" s="261"/>
      <c r="L130" s="261"/>
      <c r="M130" s="261"/>
      <c r="N130" s="261"/>
      <c r="O130" s="261"/>
      <c r="P130" s="261"/>
      <c r="Q130" s="261"/>
      <c r="R130" s="261"/>
      <c r="S130" s="261">
        <v>15.4004</v>
      </c>
      <c r="T130" s="261"/>
      <c r="V130" s="8">
        <v>489</v>
      </c>
      <c r="W130" s="261"/>
      <c r="X130" s="261"/>
      <c r="Y130" s="261"/>
      <c r="Z130" s="261"/>
      <c r="AA130" s="261"/>
      <c r="AB130" s="261"/>
      <c r="AC130" s="261"/>
      <c r="AD130" s="261"/>
      <c r="AF130" s="8">
        <v>489</v>
      </c>
      <c r="AG130" s="261"/>
      <c r="AH130" s="261"/>
      <c r="AI130" s="261"/>
      <c r="AJ130" s="261"/>
      <c r="AK130" s="261"/>
      <c r="AL130" s="261"/>
      <c r="AM130" s="261"/>
      <c r="AO130" s="12">
        <v>489</v>
      </c>
      <c r="AP130" s="264"/>
      <c r="AQ130" s="264"/>
      <c r="AR130" s="264">
        <v>6.56053401843947</v>
      </c>
      <c r="AS130" s="264"/>
      <c r="AT130" s="264"/>
      <c r="AU130" s="264"/>
      <c r="AV130" s="264"/>
      <c r="AW130" s="264"/>
      <c r="AX130" s="264"/>
      <c r="BP130" s="272">
        <f>Inputs!B133</f>
        <v>489</v>
      </c>
      <c r="BQ130" s="272">
        <f>IF(LEFT(Inputs!$C$11,6)="photon",10^Inputs!C133,Inputs!C133)</f>
        <v>4.43958838874908</v>
      </c>
      <c r="BR130" s="272"/>
      <c r="BS130" s="272">
        <f>'Advanced Inputs'!I135</f>
        <v>489</v>
      </c>
      <c r="BT130" s="272">
        <f>IF('Advanced Inputs'!J$19="Photon system",10^'Advanced Inputs'!J135,'Advanced Inputs'!J135)</f>
        <v>0</v>
      </c>
      <c r="BV130" s="272">
        <v>489</v>
      </c>
      <c r="BW130" s="8">
        <v>53.3332</v>
      </c>
      <c r="BX130" s="8">
        <v>109.522</v>
      </c>
      <c r="CC130" s="8">
        <v>1</v>
      </c>
    </row>
    <row r="131" hidden="1" spans="8:81">
      <c r="H131" s="8">
        <v>490</v>
      </c>
      <c r="I131" s="261"/>
      <c r="J131" s="261"/>
      <c r="K131" s="261"/>
      <c r="L131" s="261"/>
      <c r="M131" s="261"/>
      <c r="N131" s="261"/>
      <c r="O131" s="261"/>
      <c r="P131" s="261"/>
      <c r="Q131" s="261"/>
      <c r="R131" s="261"/>
      <c r="S131" s="261">
        <v>14.96</v>
      </c>
      <c r="T131" s="261"/>
      <c r="V131" s="8">
        <v>490</v>
      </c>
      <c r="W131" s="261"/>
      <c r="X131" s="261"/>
      <c r="Y131" s="261"/>
      <c r="Z131" s="261"/>
      <c r="AA131" s="261"/>
      <c r="AB131" s="261"/>
      <c r="AC131" s="261"/>
      <c r="AD131" s="261"/>
      <c r="AF131" s="8">
        <v>490</v>
      </c>
      <c r="AG131" s="261"/>
      <c r="AH131" s="261"/>
      <c r="AI131" s="261"/>
      <c r="AJ131" s="261"/>
      <c r="AK131" s="261"/>
      <c r="AL131" s="261"/>
      <c r="AM131" s="261"/>
      <c r="AO131" s="12">
        <v>490</v>
      </c>
      <c r="AP131" s="264"/>
      <c r="AQ131" s="264"/>
      <c r="AR131" s="264">
        <v>6.76693099867399</v>
      </c>
      <c r="AS131" s="264"/>
      <c r="AT131" s="264"/>
      <c r="AU131" s="264"/>
      <c r="AV131" s="264"/>
      <c r="AW131" s="264"/>
      <c r="AX131" s="264"/>
      <c r="BP131" s="272">
        <f>Inputs!B134</f>
        <v>490</v>
      </c>
      <c r="BQ131" s="272">
        <f>IF(LEFT(Inputs!$C$11,6)="photon",10^Inputs!C134,Inputs!C134)</f>
        <v>4.6023610456678</v>
      </c>
      <c r="BR131" s="272"/>
      <c r="BS131" s="272">
        <f>'Advanced Inputs'!I136</f>
        <v>490</v>
      </c>
      <c r="BT131" s="272">
        <f>IF('Advanced Inputs'!J$19="Photon system",10^'Advanced Inputs'!J136,'Advanced Inputs'!J136)</f>
        <v>0</v>
      </c>
      <c r="BV131" s="272">
        <v>490</v>
      </c>
      <c r="BW131" s="8">
        <v>53.9132</v>
      </c>
      <c r="BX131" s="8">
        <v>108.811</v>
      </c>
      <c r="CC131" s="8">
        <v>1</v>
      </c>
    </row>
    <row r="132" hidden="1" spans="8:81">
      <c r="H132" s="8">
        <v>491</v>
      </c>
      <c r="I132" s="261"/>
      <c r="J132" s="261"/>
      <c r="K132" s="261"/>
      <c r="L132" s="261"/>
      <c r="M132" s="261"/>
      <c r="N132" s="261"/>
      <c r="O132" s="261"/>
      <c r="P132" s="261"/>
      <c r="Q132" s="261"/>
      <c r="R132" s="261"/>
      <c r="S132" s="261">
        <v>14.026</v>
      </c>
      <c r="T132" s="261"/>
      <c r="V132" s="8">
        <v>491</v>
      </c>
      <c r="W132" s="261"/>
      <c r="X132" s="261"/>
      <c r="Y132" s="261"/>
      <c r="Z132" s="261"/>
      <c r="AA132" s="261"/>
      <c r="AB132" s="261"/>
      <c r="AC132" s="261"/>
      <c r="AD132" s="261"/>
      <c r="AF132" s="8">
        <v>491</v>
      </c>
      <c r="AG132" s="261"/>
      <c r="AH132" s="261"/>
      <c r="AI132" s="261"/>
      <c r="AJ132" s="261"/>
      <c r="AK132" s="261"/>
      <c r="AL132" s="261"/>
      <c r="AM132" s="261"/>
      <c r="AO132" s="12">
        <v>491</v>
      </c>
      <c r="AP132" s="264"/>
      <c r="AQ132" s="264"/>
      <c r="AR132" s="264">
        <v>6.98090850737465</v>
      </c>
      <c r="AS132" s="264"/>
      <c r="AT132" s="264"/>
      <c r="AU132" s="264"/>
      <c r="AV132" s="264"/>
      <c r="AW132" s="264"/>
      <c r="AX132" s="264"/>
      <c r="BP132" s="272">
        <f>Inputs!B135</f>
        <v>491</v>
      </c>
      <c r="BQ132" s="272">
        <f>IF(LEFT(Inputs!$C$11,6)="photon",10^Inputs!C135,Inputs!C135)</f>
        <v>4.7539736862478</v>
      </c>
      <c r="BR132" s="272"/>
      <c r="BS132" s="272">
        <f>'Advanced Inputs'!I137</f>
        <v>491</v>
      </c>
      <c r="BT132" s="272">
        <f>IF('Advanced Inputs'!J$19="Photon system",10^'Advanced Inputs'!J137,'Advanced Inputs'!J137)</f>
        <v>0</v>
      </c>
      <c r="BV132" s="272">
        <v>491</v>
      </c>
      <c r="BW132" s="8">
        <v>54.4958</v>
      </c>
      <c r="BX132" s="8">
        <v>108.865</v>
      </c>
      <c r="CC132" s="8">
        <v>1</v>
      </c>
    </row>
    <row r="133" hidden="1" spans="8:81">
      <c r="H133" s="8">
        <v>492</v>
      </c>
      <c r="I133" s="261"/>
      <c r="J133" s="261"/>
      <c r="K133" s="261"/>
      <c r="L133" s="261"/>
      <c r="M133" s="261"/>
      <c r="N133" s="261"/>
      <c r="O133" s="261"/>
      <c r="P133" s="261"/>
      <c r="Q133" s="261"/>
      <c r="R133" s="261"/>
      <c r="S133" s="261">
        <v>12.8928</v>
      </c>
      <c r="T133" s="261"/>
      <c r="V133" s="8">
        <v>492</v>
      </c>
      <c r="W133" s="261"/>
      <c r="X133" s="261"/>
      <c r="Y133" s="261"/>
      <c r="Z133" s="261"/>
      <c r="AA133" s="261"/>
      <c r="AB133" s="261"/>
      <c r="AC133" s="261"/>
      <c r="AD133" s="261"/>
      <c r="AF133" s="8">
        <v>492</v>
      </c>
      <c r="AG133" s="261"/>
      <c r="AH133" s="261"/>
      <c r="AI133" s="261"/>
      <c r="AJ133" s="261"/>
      <c r="AK133" s="261"/>
      <c r="AL133" s="261"/>
      <c r="AM133" s="261"/>
      <c r="AO133" s="12">
        <v>492</v>
      </c>
      <c r="AP133" s="264"/>
      <c r="AQ133" s="264"/>
      <c r="AR133" s="264">
        <v>7.20105747995091</v>
      </c>
      <c r="AS133" s="264"/>
      <c r="AT133" s="264"/>
      <c r="AU133" s="264"/>
      <c r="AV133" s="264"/>
      <c r="AW133" s="264"/>
      <c r="AX133" s="264"/>
      <c r="BP133" s="272">
        <f>Inputs!B136</f>
        <v>492</v>
      </c>
      <c r="BQ133" s="272">
        <f>IF(LEFT(Inputs!$C$11,6)="photon",10^Inputs!C136,Inputs!C136)</f>
        <v>4.93787602774324</v>
      </c>
      <c r="BR133" s="272"/>
      <c r="BS133" s="272">
        <f>'Advanced Inputs'!I138</f>
        <v>492</v>
      </c>
      <c r="BT133" s="272">
        <f>IF('Advanced Inputs'!J$19="Photon system",10^'Advanced Inputs'!J138,'Advanced Inputs'!J138)</f>
        <v>0</v>
      </c>
      <c r="BV133" s="272">
        <v>492</v>
      </c>
      <c r="BW133" s="8">
        <v>55.0813</v>
      </c>
      <c r="BX133" s="8">
        <v>108.92</v>
      </c>
      <c r="CC133" s="8">
        <v>1</v>
      </c>
    </row>
    <row r="134" hidden="1" spans="8:81">
      <c r="H134" s="8">
        <v>493</v>
      </c>
      <c r="I134" s="261"/>
      <c r="J134" s="261"/>
      <c r="K134" s="261"/>
      <c r="L134" s="261"/>
      <c r="M134" s="261"/>
      <c r="N134" s="261"/>
      <c r="O134" s="261"/>
      <c r="P134" s="261"/>
      <c r="Q134" s="261"/>
      <c r="R134" s="261"/>
      <c r="S134" s="261">
        <v>11.6276</v>
      </c>
      <c r="T134" s="261"/>
      <c r="V134" s="8">
        <v>493</v>
      </c>
      <c r="W134" s="261"/>
      <c r="X134" s="261"/>
      <c r="Y134" s="261"/>
      <c r="Z134" s="261"/>
      <c r="AA134" s="261"/>
      <c r="AB134" s="261"/>
      <c r="AC134" s="261"/>
      <c r="AD134" s="261"/>
      <c r="AF134" s="8">
        <v>493</v>
      </c>
      <c r="AG134" s="261"/>
      <c r="AH134" s="261"/>
      <c r="AI134" s="261"/>
      <c r="AJ134" s="261"/>
      <c r="AK134" s="261"/>
      <c r="AL134" s="261"/>
      <c r="AM134" s="261"/>
      <c r="AO134" s="12">
        <v>493</v>
      </c>
      <c r="AP134" s="264"/>
      <c r="AQ134" s="264"/>
      <c r="AR134" s="264">
        <v>7.42553281994756</v>
      </c>
      <c r="AS134" s="264"/>
      <c r="AT134" s="264"/>
      <c r="AU134" s="264"/>
      <c r="AV134" s="264"/>
      <c r="AW134" s="264"/>
      <c r="AX134" s="264"/>
      <c r="BP134" s="272">
        <f>Inputs!B137</f>
        <v>493</v>
      </c>
      <c r="BQ134" s="272">
        <f>IF(LEFT(Inputs!$C$11,6)="photon",10^Inputs!C137,Inputs!C137)</f>
        <v>5.15195433786172</v>
      </c>
      <c r="BR134" s="272"/>
      <c r="BS134" s="272">
        <f>'Advanced Inputs'!I139</f>
        <v>493</v>
      </c>
      <c r="BT134" s="272">
        <f>IF('Advanced Inputs'!J$19="Photon system",10^'Advanced Inputs'!J139,'Advanced Inputs'!J139)</f>
        <v>0</v>
      </c>
      <c r="BV134" s="272">
        <v>493</v>
      </c>
      <c r="BW134" s="8">
        <v>55.6694</v>
      </c>
      <c r="BX134" s="8">
        <v>108.974</v>
      </c>
      <c r="CC134" s="8">
        <v>1</v>
      </c>
    </row>
    <row r="135" hidden="1" spans="8:81">
      <c r="H135" s="8">
        <v>494</v>
      </c>
      <c r="I135" s="261"/>
      <c r="J135" s="261"/>
      <c r="K135" s="261"/>
      <c r="L135" s="261"/>
      <c r="M135" s="261"/>
      <c r="N135" s="261"/>
      <c r="O135" s="261"/>
      <c r="P135" s="261"/>
      <c r="Q135" s="261"/>
      <c r="R135" s="261"/>
      <c r="S135" s="261">
        <v>10.2976</v>
      </c>
      <c r="T135" s="261"/>
      <c r="V135" s="8">
        <v>494</v>
      </c>
      <c r="W135" s="261"/>
      <c r="X135" s="261"/>
      <c r="Y135" s="261"/>
      <c r="Z135" s="261"/>
      <c r="AA135" s="261"/>
      <c r="AB135" s="261"/>
      <c r="AC135" s="261"/>
      <c r="AD135" s="261"/>
      <c r="AF135" s="8">
        <v>494</v>
      </c>
      <c r="AG135" s="261"/>
      <c r="AH135" s="261"/>
      <c r="AI135" s="261"/>
      <c r="AJ135" s="261"/>
      <c r="AK135" s="261"/>
      <c r="AL135" s="261"/>
      <c r="AM135" s="261"/>
      <c r="AO135" s="12">
        <v>494</v>
      </c>
      <c r="AP135" s="264"/>
      <c r="AQ135" s="264"/>
      <c r="AR135" s="264">
        <v>7.6520735023204</v>
      </c>
      <c r="AS135" s="264"/>
      <c r="AT135" s="264"/>
      <c r="AU135" s="264"/>
      <c r="AV135" s="264"/>
      <c r="AW135" s="264"/>
      <c r="AX135" s="264"/>
      <c r="BP135" s="272">
        <f>Inputs!B138</f>
        <v>494</v>
      </c>
      <c r="BQ135" s="272">
        <f>IF(LEFT(Inputs!$C$11,6)="photon",10^Inputs!C138,Inputs!C138)</f>
        <v>5.37703085306423</v>
      </c>
      <c r="BR135" s="272"/>
      <c r="BS135" s="272">
        <f>'Advanced Inputs'!I140</f>
        <v>494</v>
      </c>
      <c r="BT135" s="272">
        <f>IF('Advanced Inputs'!J$19="Photon system",10^'Advanced Inputs'!J140,'Advanced Inputs'!J140)</f>
        <v>0</v>
      </c>
      <c r="BV135" s="272">
        <v>494</v>
      </c>
      <c r="BW135" s="8">
        <v>56.2603</v>
      </c>
      <c r="BX135" s="8">
        <v>109.028</v>
      </c>
      <c r="CC135" s="8">
        <v>1</v>
      </c>
    </row>
    <row r="136" hidden="1" spans="8:81">
      <c r="H136" s="8">
        <v>495</v>
      </c>
      <c r="I136" s="261"/>
      <c r="J136" s="261"/>
      <c r="K136" s="261"/>
      <c r="L136" s="261"/>
      <c r="M136" s="261"/>
      <c r="N136" s="261"/>
      <c r="O136" s="261"/>
      <c r="P136" s="261"/>
      <c r="Q136" s="261"/>
      <c r="R136" s="261"/>
      <c r="S136" s="261">
        <v>8.97</v>
      </c>
      <c r="T136" s="261"/>
      <c r="V136" s="8">
        <v>495</v>
      </c>
      <c r="W136" s="261"/>
      <c r="X136" s="261"/>
      <c r="Y136" s="261"/>
      <c r="Z136" s="261"/>
      <c r="AA136" s="261"/>
      <c r="AB136" s="261"/>
      <c r="AC136" s="261"/>
      <c r="AD136" s="261"/>
      <c r="AF136" s="8">
        <v>495</v>
      </c>
      <c r="AG136" s="261"/>
      <c r="AH136" s="261"/>
      <c r="AI136" s="261"/>
      <c r="AJ136" s="261"/>
      <c r="AK136" s="261"/>
      <c r="AL136" s="261"/>
      <c r="AM136" s="261"/>
      <c r="AO136" s="12">
        <v>495</v>
      </c>
      <c r="AP136" s="264"/>
      <c r="AQ136" s="264"/>
      <c r="AR136" s="264">
        <v>7.87831746259434</v>
      </c>
      <c r="AS136" s="264"/>
      <c r="AT136" s="264"/>
      <c r="AU136" s="264"/>
      <c r="AV136" s="264"/>
      <c r="AW136" s="264"/>
      <c r="AX136" s="264"/>
      <c r="BP136" s="272">
        <f>Inputs!B139</f>
        <v>495</v>
      </c>
      <c r="BQ136" s="272">
        <f>IF(LEFT(Inputs!$C$11,6)="photon",10^Inputs!C139,Inputs!C139)</f>
        <v>5.63486264115569</v>
      </c>
      <c r="BR136" s="272"/>
      <c r="BS136" s="272">
        <f>'Advanced Inputs'!I141</f>
        <v>495</v>
      </c>
      <c r="BT136" s="272">
        <f>IF('Advanced Inputs'!J$19="Photon system",10^'Advanced Inputs'!J141,'Advanced Inputs'!J141)</f>
        <v>0</v>
      </c>
      <c r="BV136" s="272">
        <v>495</v>
      </c>
      <c r="BW136" s="8">
        <v>56.8539</v>
      </c>
      <c r="BX136" s="8">
        <v>109.082</v>
      </c>
      <c r="CC136" s="8">
        <v>1</v>
      </c>
    </row>
    <row r="137" hidden="1" spans="8:81">
      <c r="H137" s="8">
        <v>496</v>
      </c>
      <c r="I137" s="261"/>
      <c r="J137" s="261"/>
      <c r="K137" s="261"/>
      <c r="L137" s="261"/>
      <c r="M137" s="261"/>
      <c r="N137" s="261"/>
      <c r="O137" s="261"/>
      <c r="P137" s="261"/>
      <c r="Q137" s="261"/>
      <c r="R137" s="261"/>
      <c r="S137" s="261">
        <v>7.97696</v>
      </c>
      <c r="T137" s="261"/>
      <c r="V137" s="8">
        <v>496</v>
      </c>
      <c r="W137" s="261"/>
      <c r="X137" s="261"/>
      <c r="Y137" s="261"/>
      <c r="Z137" s="261"/>
      <c r="AA137" s="261"/>
      <c r="AB137" s="261"/>
      <c r="AC137" s="261"/>
      <c r="AD137" s="261"/>
      <c r="AF137" s="8">
        <v>496</v>
      </c>
      <c r="AG137" s="261"/>
      <c r="AH137" s="261"/>
      <c r="AI137" s="261"/>
      <c r="AJ137" s="261"/>
      <c r="AK137" s="261"/>
      <c r="AL137" s="261"/>
      <c r="AM137" s="261"/>
      <c r="AO137" s="12">
        <v>496</v>
      </c>
      <c r="AP137" s="264"/>
      <c r="AQ137" s="264"/>
      <c r="AR137" s="264">
        <v>8.10214206648295</v>
      </c>
      <c r="AS137" s="264"/>
      <c r="AT137" s="264"/>
      <c r="AU137" s="264"/>
      <c r="AV137" s="264"/>
      <c r="AW137" s="264"/>
      <c r="AX137" s="264"/>
      <c r="BP137" s="272">
        <f>Inputs!B140</f>
        <v>496</v>
      </c>
      <c r="BQ137" s="272">
        <f>IF(LEFT(Inputs!$C$11,6)="photon",10^Inputs!C140,Inputs!C140)</f>
        <v>5.89085292340509</v>
      </c>
      <c r="BR137" s="272"/>
      <c r="BS137" s="272">
        <f>'Advanced Inputs'!I142</f>
        <v>496</v>
      </c>
      <c r="BT137" s="272">
        <f>IF('Advanced Inputs'!J$19="Photon system",10^'Advanced Inputs'!J142,'Advanced Inputs'!J142)</f>
        <v>0</v>
      </c>
      <c r="BV137" s="272">
        <v>496</v>
      </c>
      <c r="BW137" s="8">
        <v>57.4501</v>
      </c>
      <c r="BX137" s="8">
        <v>109.137</v>
      </c>
      <c r="CC137" s="8">
        <v>1</v>
      </c>
    </row>
    <row r="138" hidden="1" spans="8:81">
      <c r="H138" s="8">
        <v>497</v>
      </c>
      <c r="I138" s="261"/>
      <c r="J138" s="261"/>
      <c r="K138" s="261"/>
      <c r="L138" s="261"/>
      <c r="M138" s="261"/>
      <c r="N138" s="261"/>
      <c r="O138" s="261"/>
      <c r="P138" s="261"/>
      <c r="Q138" s="261"/>
      <c r="R138" s="261"/>
      <c r="S138" s="261">
        <v>7.05448</v>
      </c>
      <c r="T138" s="261"/>
      <c r="V138" s="8">
        <v>497</v>
      </c>
      <c r="W138" s="261"/>
      <c r="X138" s="261"/>
      <c r="Y138" s="261"/>
      <c r="Z138" s="261"/>
      <c r="AA138" s="261"/>
      <c r="AB138" s="261"/>
      <c r="AC138" s="261"/>
      <c r="AD138" s="261"/>
      <c r="AF138" s="8">
        <v>497</v>
      </c>
      <c r="AG138" s="261"/>
      <c r="AH138" s="261"/>
      <c r="AI138" s="261"/>
      <c r="AJ138" s="261"/>
      <c r="AK138" s="261"/>
      <c r="AL138" s="261"/>
      <c r="AM138" s="261"/>
      <c r="AO138" s="12">
        <v>497</v>
      </c>
      <c r="AP138" s="264"/>
      <c r="AQ138" s="264"/>
      <c r="AR138" s="264">
        <v>8.32173781058384</v>
      </c>
      <c r="AS138" s="264"/>
      <c r="AT138" s="264"/>
      <c r="AU138" s="264"/>
      <c r="AV138" s="264"/>
      <c r="AW138" s="264"/>
      <c r="AX138" s="264"/>
      <c r="BP138" s="272">
        <f>Inputs!B141</f>
        <v>497</v>
      </c>
      <c r="BQ138" s="272">
        <f>IF(LEFT(Inputs!$C$11,6)="photon",10^Inputs!C141,Inputs!C141)</f>
        <v>6.20107586637133</v>
      </c>
      <c r="BR138" s="272"/>
      <c r="BS138" s="272">
        <f>'Advanced Inputs'!I143</f>
        <v>497</v>
      </c>
      <c r="BT138" s="272">
        <f>IF('Advanced Inputs'!J$19="Photon system",10^'Advanced Inputs'!J143,'Advanced Inputs'!J143)</f>
        <v>0</v>
      </c>
      <c r="BV138" s="272">
        <v>497</v>
      </c>
      <c r="BW138" s="8">
        <v>58.0489</v>
      </c>
      <c r="BX138" s="8">
        <v>109.191</v>
      </c>
      <c r="CC138" s="8">
        <v>1</v>
      </c>
    </row>
    <row r="139" hidden="1" spans="8:81">
      <c r="H139" s="8">
        <v>498</v>
      </c>
      <c r="I139" s="261"/>
      <c r="J139" s="261"/>
      <c r="K139" s="261"/>
      <c r="L139" s="261"/>
      <c r="M139" s="261"/>
      <c r="N139" s="261"/>
      <c r="O139" s="261"/>
      <c r="P139" s="261"/>
      <c r="Q139" s="261"/>
      <c r="R139" s="261"/>
      <c r="S139" s="261">
        <v>6.20352</v>
      </c>
      <c r="T139" s="261"/>
      <c r="V139" s="8">
        <v>498</v>
      </c>
      <c r="W139" s="261"/>
      <c r="X139" s="261"/>
      <c r="Y139" s="261"/>
      <c r="Z139" s="261"/>
      <c r="AA139" s="261"/>
      <c r="AB139" s="261"/>
      <c r="AC139" s="261"/>
      <c r="AD139" s="261"/>
      <c r="AF139" s="8">
        <v>498</v>
      </c>
      <c r="AG139" s="261"/>
      <c r="AH139" s="261"/>
      <c r="AI139" s="261"/>
      <c r="AJ139" s="261"/>
      <c r="AK139" s="261"/>
      <c r="AL139" s="261"/>
      <c r="AM139" s="261"/>
      <c r="AO139" s="12">
        <v>498</v>
      </c>
      <c r="AP139" s="264"/>
      <c r="AQ139" s="264"/>
      <c r="AR139" s="264">
        <v>8.53562121081814</v>
      </c>
      <c r="AS139" s="264"/>
      <c r="AT139" s="264"/>
      <c r="AU139" s="264"/>
      <c r="AV139" s="264"/>
      <c r="AW139" s="264"/>
      <c r="AX139" s="264"/>
      <c r="BP139" s="272">
        <f>Inputs!B142</f>
        <v>498</v>
      </c>
      <c r="BQ139" s="272">
        <f>IF(LEFT(Inputs!$C$11,6)="photon",10^Inputs!C142,Inputs!C142)</f>
        <v>6.51155575729748</v>
      </c>
      <c r="BR139" s="272"/>
      <c r="BS139" s="272">
        <f>'Advanced Inputs'!I144</f>
        <v>498</v>
      </c>
      <c r="BT139" s="272">
        <f>IF('Advanced Inputs'!J$19="Photon system",10^'Advanced Inputs'!J144,'Advanced Inputs'!J144)</f>
        <v>0</v>
      </c>
      <c r="BV139" s="272">
        <v>498</v>
      </c>
      <c r="BW139" s="8">
        <v>58.6504</v>
      </c>
      <c r="BX139" s="8">
        <v>109.245</v>
      </c>
      <c r="CC139" s="8">
        <v>1</v>
      </c>
    </row>
    <row r="140" hidden="1" spans="8:81">
      <c r="H140" s="8">
        <v>499</v>
      </c>
      <c r="I140" s="261"/>
      <c r="J140" s="261"/>
      <c r="K140" s="261"/>
      <c r="L140" s="261"/>
      <c r="M140" s="261"/>
      <c r="N140" s="261"/>
      <c r="O140" s="261"/>
      <c r="P140" s="261"/>
      <c r="Q140" s="261"/>
      <c r="R140" s="261"/>
      <c r="S140" s="261">
        <v>5.42504</v>
      </c>
      <c r="T140" s="261"/>
      <c r="V140" s="8">
        <v>499</v>
      </c>
      <c r="W140" s="261"/>
      <c r="X140" s="261"/>
      <c r="Y140" s="261"/>
      <c r="Z140" s="261"/>
      <c r="AA140" s="261"/>
      <c r="AB140" s="261"/>
      <c r="AC140" s="261"/>
      <c r="AD140" s="261"/>
      <c r="AF140" s="8">
        <v>499</v>
      </c>
      <c r="AG140" s="261"/>
      <c r="AH140" s="261"/>
      <c r="AI140" s="261"/>
      <c r="AJ140" s="261"/>
      <c r="AK140" s="261"/>
      <c r="AL140" s="261"/>
      <c r="AM140" s="261"/>
      <c r="AO140" s="12">
        <v>499</v>
      </c>
      <c r="AP140" s="264"/>
      <c r="AQ140" s="264"/>
      <c r="AR140" s="264">
        <v>8.74284284007122</v>
      </c>
      <c r="AS140" s="264"/>
      <c r="AT140" s="264"/>
      <c r="AU140" s="264"/>
      <c r="AV140" s="264"/>
      <c r="AW140" s="264"/>
      <c r="AX140" s="264"/>
      <c r="BP140" s="272">
        <f>Inputs!B143</f>
        <v>499</v>
      </c>
      <c r="BQ140" s="272">
        <f>IF(LEFT(Inputs!$C$11,6)="photon",10^Inputs!C143,Inputs!C143)</f>
        <v>6.86408298214933</v>
      </c>
      <c r="BR140" s="272"/>
      <c r="BS140" s="272">
        <f>'Advanced Inputs'!I145</f>
        <v>499</v>
      </c>
      <c r="BT140" s="272">
        <f>IF('Advanced Inputs'!J$19="Photon system",10^'Advanced Inputs'!J145,'Advanced Inputs'!J145)</f>
        <v>0</v>
      </c>
      <c r="BV140" s="272">
        <v>499</v>
      </c>
      <c r="BW140" s="8">
        <v>59.2545</v>
      </c>
      <c r="BX140" s="8">
        <v>109.3</v>
      </c>
      <c r="CC140" s="8">
        <v>1</v>
      </c>
    </row>
    <row r="141" hidden="1" spans="8:81">
      <c r="H141" s="8">
        <v>500</v>
      </c>
      <c r="I141" s="261"/>
      <c r="J141" s="261"/>
      <c r="K141" s="261"/>
      <c r="L141" s="261"/>
      <c r="M141" s="261"/>
      <c r="N141" s="261"/>
      <c r="O141" s="261"/>
      <c r="P141" s="261"/>
      <c r="Q141" s="261"/>
      <c r="R141" s="261"/>
      <c r="S141" s="261">
        <v>4.72</v>
      </c>
      <c r="T141" s="261"/>
      <c r="V141" s="8">
        <v>500</v>
      </c>
      <c r="W141" s="261"/>
      <c r="X141" s="261"/>
      <c r="Y141" s="261"/>
      <c r="Z141" s="261"/>
      <c r="AA141" s="261"/>
      <c r="AB141" s="261"/>
      <c r="AC141" s="261"/>
      <c r="AD141" s="261"/>
      <c r="AF141" s="8">
        <v>500</v>
      </c>
      <c r="AG141" s="261"/>
      <c r="AH141" s="261"/>
      <c r="AI141" s="261"/>
      <c r="AJ141" s="261"/>
      <c r="AK141" s="261"/>
      <c r="AL141" s="261"/>
      <c r="AM141" s="261"/>
      <c r="AO141" s="12">
        <v>500</v>
      </c>
      <c r="AP141" s="264"/>
      <c r="AQ141" s="264"/>
      <c r="AR141" s="264">
        <v>8.94308302552165</v>
      </c>
      <c r="AS141" s="264"/>
      <c r="AT141" s="264"/>
      <c r="AU141" s="264"/>
      <c r="AV141" s="264"/>
      <c r="AW141" s="264"/>
      <c r="AX141" s="264"/>
      <c r="BP141" s="272">
        <f>Inputs!B144</f>
        <v>500</v>
      </c>
      <c r="BQ141" s="272">
        <f>IF(LEFT(Inputs!$C$11,6)="photon",10^Inputs!C144,Inputs!C144)</f>
        <v>7.23515697545042</v>
      </c>
      <c r="BR141" s="272"/>
      <c r="BS141" s="272">
        <f>'Advanced Inputs'!I146</f>
        <v>500</v>
      </c>
      <c r="BT141" s="272">
        <f>IF('Advanced Inputs'!J$19="Photon system",10^'Advanced Inputs'!J146,'Advanced Inputs'!J146)</f>
        <v>0</v>
      </c>
      <c r="BV141" s="272">
        <v>500</v>
      </c>
      <c r="BW141" s="8">
        <v>59.8611</v>
      </c>
      <c r="BX141" s="8">
        <v>109.354</v>
      </c>
      <c r="CC141" s="8">
        <v>1</v>
      </c>
    </row>
    <row r="142" hidden="1" spans="8:81">
      <c r="H142" s="8">
        <v>501</v>
      </c>
      <c r="I142" s="261"/>
      <c r="J142" s="261"/>
      <c r="K142" s="261"/>
      <c r="L142" s="261"/>
      <c r="M142" s="261"/>
      <c r="N142" s="261"/>
      <c r="O142" s="261"/>
      <c r="P142" s="261"/>
      <c r="Q142" s="261"/>
      <c r="R142" s="261"/>
      <c r="S142" s="261">
        <v>4.10376</v>
      </c>
      <c r="T142" s="261"/>
      <c r="V142" s="8">
        <v>501</v>
      </c>
      <c r="W142" s="261"/>
      <c r="X142" s="261"/>
      <c r="Y142" s="261"/>
      <c r="Z142" s="261"/>
      <c r="AA142" s="261"/>
      <c r="AB142" s="261"/>
      <c r="AC142" s="261"/>
      <c r="AD142" s="261"/>
      <c r="AF142" s="8">
        <v>501</v>
      </c>
      <c r="AG142" s="261"/>
      <c r="AH142" s="261"/>
      <c r="AI142" s="261"/>
      <c r="AJ142" s="261"/>
      <c r="AK142" s="261"/>
      <c r="AL142" s="261"/>
      <c r="AM142" s="261"/>
      <c r="AO142" s="12">
        <v>501</v>
      </c>
      <c r="AP142" s="264"/>
      <c r="AQ142" s="264"/>
      <c r="AR142" s="264">
        <v>9.13620749444979</v>
      </c>
      <c r="AS142" s="264"/>
      <c r="AT142" s="264"/>
      <c r="AU142" s="264"/>
      <c r="AV142" s="264"/>
      <c r="AW142" s="264"/>
      <c r="AX142" s="264"/>
      <c r="BP142" s="272">
        <f>Inputs!B145</f>
        <v>501</v>
      </c>
      <c r="BQ142" s="272">
        <f>IF(LEFT(Inputs!$C$11,6)="photon",10^Inputs!C145,Inputs!C145)</f>
        <v>7.62978736040062</v>
      </c>
      <c r="BR142" s="272"/>
      <c r="BS142" s="272">
        <f>'Advanced Inputs'!I147</f>
        <v>501</v>
      </c>
      <c r="BT142" s="272">
        <f>IF('Advanced Inputs'!J$19="Photon system",10^'Advanced Inputs'!J147,'Advanced Inputs'!J147)</f>
        <v>0</v>
      </c>
      <c r="BV142" s="272">
        <v>501</v>
      </c>
      <c r="BW142" s="8">
        <v>60.4703</v>
      </c>
      <c r="BX142" s="8">
        <v>109.199</v>
      </c>
      <c r="CC142" s="8">
        <v>1</v>
      </c>
    </row>
    <row r="143" hidden="1" spans="8:81">
      <c r="H143" s="8">
        <v>502</v>
      </c>
      <c r="I143" s="261"/>
      <c r="J143" s="261"/>
      <c r="K143" s="261"/>
      <c r="L143" s="261"/>
      <c r="M143" s="261"/>
      <c r="N143" s="261"/>
      <c r="O143" s="261"/>
      <c r="P143" s="261"/>
      <c r="Q143" s="261"/>
      <c r="R143" s="261"/>
      <c r="S143" s="261">
        <v>3.55928</v>
      </c>
      <c r="T143" s="261"/>
      <c r="V143" s="8">
        <v>502</v>
      </c>
      <c r="W143" s="261"/>
      <c r="X143" s="261"/>
      <c r="Y143" s="261"/>
      <c r="Z143" s="261"/>
      <c r="AA143" s="261"/>
      <c r="AB143" s="261"/>
      <c r="AC143" s="261"/>
      <c r="AD143" s="261"/>
      <c r="AF143" s="8">
        <v>502</v>
      </c>
      <c r="AG143" s="261"/>
      <c r="AH143" s="261"/>
      <c r="AI143" s="261"/>
      <c r="AJ143" s="261"/>
      <c r="AK143" s="261"/>
      <c r="AL143" s="261"/>
      <c r="AM143" s="261"/>
      <c r="AO143" s="12">
        <v>502</v>
      </c>
      <c r="AP143" s="264"/>
      <c r="AQ143" s="264"/>
      <c r="AR143" s="264">
        <v>9.32161953183219</v>
      </c>
      <c r="AS143" s="264"/>
      <c r="AT143" s="264"/>
      <c r="AU143" s="264"/>
      <c r="AV143" s="264"/>
      <c r="AW143" s="264"/>
      <c r="AX143" s="264"/>
      <c r="BP143" s="272">
        <f>Inputs!B146</f>
        <v>502</v>
      </c>
      <c r="BQ143" s="272">
        <f>IF(LEFT(Inputs!$C$11,6)="photon",10^Inputs!C146,Inputs!C146)</f>
        <v>8.09661693372806</v>
      </c>
      <c r="BR143" s="272"/>
      <c r="BS143" s="272">
        <f>'Advanced Inputs'!I148</f>
        <v>502</v>
      </c>
      <c r="BT143" s="272">
        <f>IF('Advanced Inputs'!J$19="Photon system",10^'Advanced Inputs'!J148,'Advanced Inputs'!J148)</f>
        <v>0</v>
      </c>
      <c r="BV143" s="272">
        <v>502</v>
      </c>
      <c r="BW143" s="8">
        <v>61.082</v>
      </c>
      <c r="BX143" s="8">
        <v>109.044</v>
      </c>
      <c r="CC143" s="8">
        <v>1</v>
      </c>
    </row>
    <row r="144" hidden="1" spans="8:81">
      <c r="H144" s="8">
        <v>503</v>
      </c>
      <c r="I144" s="261"/>
      <c r="J144" s="261"/>
      <c r="K144" s="261"/>
      <c r="L144" s="261"/>
      <c r="M144" s="261"/>
      <c r="N144" s="261"/>
      <c r="O144" s="261"/>
      <c r="P144" s="261"/>
      <c r="Q144" s="261"/>
      <c r="R144" s="261"/>
      <c r="S144" s="261">
        <v>3.08392</v>
      </c>
      <c r="T144" s="261"/>
      <c r="V144" s="8">
        <v>503</v>
      </c>
      <c r="W144" s="261"/>
      <c r="X144" s="261"/>
      <c r="Y144" s="261"/>
      <c r="Z144" s="261"/>
      <c r="AA144" s="261"/>
      <c r="AB144" s="261"/>
      <c r="AC144" s="261"/>
      <c r="AD144" s="261"/>
      <c r="AF144" s="8">
        <v>503</v>
      </c>
      <c r="AG144" s="261"/>
      <c r="AH144" s="261"/>
      <c r="AI144" s="261"/>
      <c r="AJ144" s="261"/>
      <c r="AK144" s="261"/>
      <c r="AL144" s="261"/>
      <c r="AM144" s="261"/>
      <c r="AO144" s="12">
        <v>503</v>
      </c>
      <c r="AP144" s="264"/>
      <c r="AQ144" s="264"/>
      <c r="AR144" s="264">
        <v>9.4982687249672</v>
      </c>
      <c r="AS144" s="264"/>
      <c r="AT144" s="264"/>
      <c r="AU144" s="264"/>
      <c r="AV144" s="264"/>
      <c r="AW144" s="264"/>
      <c r="AX144" s="264"/>
      <c r="BP144" s="272">
        <f>Inputs!B147</f>
        <v>503</v>
      </c>
      <c r="BQ144" s="272">
        <f>IF(LEFT(Inputs!$C$11,6)="photon",10^Inputs!C147,Inputs!C147)</f>
        <v>8.58485094583638</v>
      </c>
      <c r="BR144" s="272"/>
      <c r="BS144" s="272">
        <f>'Advanced Inputs'!I149</f>
        <v>503</v>
      </c>
      <c r="BT144" s="272">
        <f>IF('Advanced Inputs'!J$19="Photon system",10^'Advanced Inputs'!J149,'Advanced Inputs'!J149)</f>
        <v>0</v>
      </c>
      <c r="BV144" s="272">
        <v>503</v>
      </c>
      <c r="BW144" s="8">
        <v>61.6962</v>
      </c>
      <c r="BX144" s="8">
        <v>108.888</v>
      </c>
      <c r="CC144" s="8">
        <v>1</v>
      </c>
    </row>
    <row r="145" hidden="1" spans="8:81">
      <c r="H145" s="8">
        <v>504</v>
      </c>
      <c r="I145" s="261"/>
      <c r="J145" s="261"/>
      <c r="K145" s="261"/>
      <c r="L145" s="261"/>
      <c r="M145" s="261"/>
      <c r="N145" s="261"/>
      <c r="O145" s="261"/>
      <c r="P145" s="261"/>
      <c r="Q145" s="261"/>
      <c r="R145" s="261"/>
      <c r="S145" s="261">
        <v>2.67504</v>
      </c>
      <c r="T145" s="261"/>
      <c r="V145" s="8">
        <v>504</v>
      </c>
      <c r="W145" s="261"/>
      <c r="X145" s="261"/>
      <c r="Y145" s="261"/>
      <c r="Z145" s="261"/>
      <c r="AA145" s="261"/>
      <c r="AB145" s="261"/>
      <c r="AC145" s="261"/>
      <c r="AD145" s="261"/>
      <c r="AF145" s="8">
        <v>504</v>
      </c>
      <c r="AG145" s="261"/>
      <c r="AH145" s="261"/>
      <c r="AI145" s="261"/>
      <c r="AJ145" s="261"/>
      <c r="AK145" s="261"/>
      <c r="AL145" s="261"/>
      <c r="AM145" s="261"/>
      <c r="AO145" s="12">
        <v>504</v>
      </c>
      <c r="AP145" s="264"/>
      <c r="AQ145" s="264"/>
      <c r="AR145" s="264">
        <v>9.66549571846653</v>
      </c>
      <c r="AS145" s="264"/>
      <c r="AT145" s="264"/>
      <c r="AU145" s="264"/>
      <c r="AV145" s="264"/>
      <c r="AW145" s="264"/>
      <c r="AX145" s="264"/>
      <c r="BP145" s="272">
        <f>Inputs!B148</f>
        <v>504</v>
      </c>
      <c r="BQ145" s="272">
        <f>IF(LEFT(Inputs!$C$11,6)="photon",10^Inputs!C148,Inputs!C148)</f>
        <v>9.06912336318339</v>
      </c>
      <c r="BR145" s="272"/>
      <c r="BS145" s="272">
        <f>'Advanced Inputs'!I150</f>
        <v>504</v>
      </c>
      <c r="BT145" s="272">
        <f>IF('Advanced Inputs'!J$19="Photon system",10^'Advanced Inputs'!J150,'Advanced Inputs'!J150)</f>
        <v>0</v>
      </c>
      <c r="BV145" s="272">
        <v>504</v>
      </c>
      <c r="BW145" s="8">
        <v>62.3128</v>
      </c>
      <c r="BX145" s="8">
        <v>108.733</v>
      </c>
      <c r="CC145" s="8">
        <v>1</v>
      </c>
    </row>
    <row r="146" hidden="1" spans="8:81">
      <c r="H146" s="8">
        <v>505</v>
      </c>
      <c r="I146" s="261"/>
      <c r="J146" s="261"/>
      <c r="K146" s="261"/>
      <c r="L146" s="261"/>
      <c r="M146" s="261"/>
      <c r="N146" s="261"/>
      <c r="O146" s="261"/>
      <c r="P146" s="261"/>
      <c r="Q146" s="261"/>
      <c r="R146" s="261"/>
      <c r="S146" s="261">
        <v>2.33</v>
      </c>
      <c r="T146" s="261"/>
      <c r="V146" s="8">
        <v>505</v>
      </c>
      <c r="W146" s="261"/>
      <c r="X146" s="261"/>
      <c r="Y146" s="261"/>
      <c r="Z146" s="261"/>
      <c r="AA146" s="261"/>
      <c r="AB146" s="261"/>
      <c r="AC146" s="261"/>
      <c r="AD146" s="261"/>
      <c r="AF146" s="8">
        <v>505</v>
      </c>
      <c r="AG146" s="261"/>
      <c r="AH146" s="261"/>
      <c r="AI146" s="261"/>
      <c r="AJ146" s="261"/>
      <c r="AK146" s="261"/>
      <c r="AL146" s="261"/>
      <c r="AM146" s="261"/>
      <c r="AO146" s="12">
        <v>505</v>
      </c>
      <c r="AP146" s="264"/>
      <c r="AQ146" s="264"/>
      <c r="AR146" s="264">
        <v>9.82381256743588</v>
      </c>
      <c r="AS146" s="264"/>
      <c r="AT146" s="264"/>
      <c r="AU146" s="264"/>
      <c r="AV146" s="264"/>
      <c r="AW146" s="264"/>
      <c r="AX146" s="264"/>
      <c r="BP146" s="272">
        <f>Inputs!B149</f>
        <v>505</v>
      </c>
      <c r="BQ146" s="272">
        <f>IF(LEFT(Inputs!$C$11,6)="photon",10^Inputs!C149,Inputs!C149)</f>
        <v>9.56331943789748</v>
      </c>
      <c r="BR146" s="272"/>
      <c r="BS146" s="272">
        <f>'Advanced Inputs'!I151</f>
        <v>505</v>
      </c>
      <c r="BT146" s="272">
        <f>IF('Advanced Inputs'!J$19="Photon system",10^'Advanced Inputs'!J151,'Advanced Inputs'!J151)</f>
        <v>0</v>
      </c>
      <c r="BV146" s="272">
        <v>505</v>
      </c>
      <c r="BW146" s="8">
        <v>62.932</v>
      </c>
      <c r="BX146" s="8">
        <v>108.578</v>
      </c>
      <c r="CC146" s="8">
        <v>1</v>
      </c>
    </row>
    <row r="147" hidden="1" spans="8:81">
      <c r="H147" s="8">
        <v>506</v>
      </c>
      <c r="I147" s="261"/>
      <c r="J147" s="261"/>
      <c r="K147" s="261"/>
      <c r="L147" s="261"/>
      <c r="M147" s="261"/>
      <c r="N147" s="261"/>
      <c r="O147" s="261"/>
      <c r="P147" s="261"/>
      <c r="Q147" s="261"/>
      <c r="R147" s="261"/>
      <c r="S147" s="261">
        <v>2.06888</v>
      </c>
      <c r="T147" s="261"/>
      <c r="V147" s="8">
        <v>506</v>
      </c>
      <c r="W147" s="261"/>
      <c r="X147" s="261"/>
      <c r="Y147" s="261"/>
      <c r="Z147" s="261"/>
      <c r="AA147" s="261"/>
      <c r="AB147" s="261"/>
      <c r="AC147" s="261"/>
      <c r="AD147" s="261"/>
      <c r="AF147" s="8">
        <v>506</v>
      </c>
      <c r="AG147" s="261"/>
      <c r="AH147" s="261"/>
      <c r="AI147" s="261"/>
      <c r="AJ147" s="261"/>
      <c r="AK147" s="261"/>
      <c r="AL147" s="261"/>
      <c r="AM147" s="261"/>
      <c r="AO147" s="12">
        <v>506</v>
      </c>
      <c r="AP147" s="264"/>
      <c r="AQ147" s="264"/>
      <c r="AR147" s="264">
        <v>9.97468711000542</v>
      </c>
      <c r="AS147" s="264"/>
      <c r="AT147" s="264"/>
      <c r="AU147" s="264"/>
      <c r="AV147" s="264"/>
      <c r="AW147" s="264"/>
      <c r="AX147" s="264"/>
      <c r="BP147" s="272">
        <f>Inputs!B150</f>
        <v>506</v>
      </c>
      <c r="BQ147" s="272">
        <f>IF(LEFT(Inputs!$C$11,6)="photon",10^Inputs!C150,Inputs!C150)</f>
        <v>10.0573271333789</v>
      </c>
      <c r="BR147" s="272"/>
      <c r="BS147" s="272">
        <f>'Advanced Inputs'!I152</f>
        <v>506</v>
      </c>
      <c r="BT147" s="272">
        <f>IF('Advanced Inputs'!J$19="Photon system",10^'Advanced Inputs'!J152,'Advanced Inputs'!J152)</f>
        <v>0</v>
      </c>
      <c r="BV147" s="272">
        <v>506</v>
      </c>
      <c r="BW147" s="8">
        <v>63.5535</v>
      </c>
      <c r="BX147" s="8">
        <v>108.423</v>
      </c>
      <c r="CC147" s="8">
        <v>1</v>
      </c>
    </row>
    <row r="148" hidden="1" spans="8:81">
      <c r="H148" s="8">
        <v>507</v>
      </c>
      <c r="I148" s="261"/>
      <c r="J148" s="261"/>
      <c r="K148" s="261"/>
      <c r="L148" s="261"/>
      <c r="M148" s="261"/>
      <c r="N148" s="261"/>
      <c r="O148" s="261"/>
      <c r="P148" s="261"/>
      <c r="Q148" s="261"/>
      <c r="R148" s="261"/>
      <c r="S148" s="261">
        <v>1.86064</v>
      </c>
      <c r="T148" s="261"/>
      <c r="V148" s="8">
        <v>507</v>
      </c>
      <c r="W148" s="261"/>
      <c r="X148" s="261"/>
      <c r="Y148" s="261"/>
      <c r="Z148" s="261"/>
      <c r="AA148" s="261"/>
      <c r="AB148" s="261"/>
      <c r="AC148" s="261"/>
      <c r="AD148" s="261"/>
      <c r="AF148" s="8">
        <v>507</v>
      </c>
      <c r="AG148" s="261"/>
      <c r="AH148" s="261"/>
      <c r="AI148" s="261"/>
      <c r="AJ148" s="261"/>
      <c r="AK148" s="261"/>
      <c r="AL148" s="261"/>
      <c r="AM148" s="261"/>
      <c r="AO148" s="12">
        <v>507</v>
      </c>
      <c r="AP148" s="264"/>
      <c r="AQ148" s="264"/>
      <c r="AR148" s="264">
        <v>10.1194678780846</v>
      </c>
      <c r="AS148" s="264"/>
      <c r="AT148" s="264"/>
      <c r="AU148" s="264"/>
      <c r="AV148" s="264"/>
      <c r="AW148" s="264"/>
      <c r="AX148" s="264"/>
      <c r="BP148" s="272">
        <f>Inputs!B151</f>
        <v>507</v>
      </c>
      <c r="BQ148" s="272">
        <f>IF(LEFT(Inputs!$C$11,6)="photon",10^Inputs!C151,Inputs!C151)</f>
        <v>10.6225534593874</v>
      </c>
      <c r="BR148" s="272"/>
      <c r="BS148" s="272">
        <f>'Advanced Inputs'!I153</f>
        <v>507</v>
      </c>
      <c r="BT148" s="272">
        <f>IF('Advanced Inputs'!J$19="Photon system",10^'Advanced Inputs'!J153,'Advanced Inputs'!J153)</f>
        <v>0</v>
      </c>
      <c r="BV148" s="272">
        <v>507</v>
      </c>
      <c r="BW148" s="8">
        <v>64.1775</v>
      </c>
      <c r="BX148" s="8">
        <v>108.268</v>
      </c>
      <c r="CC148" s="8">
        <v>1</v>
      </c>
    </row>
    <row r="149" hidden="1" spans="8:81">
      <c r="H149" s="8">
        <v>508</v>
      </c>
      <c r="I149" s="261"/>
      <c r="J149" s="261"/>
      <c r="K149" s="261"/>
      <c r="L149" s="261"/>
      <c r="M149" s="261"/>
      <c r="N149" s="261"/>
      <c r="O149" s="261"/>
      <c r="P149" s="261"/>
      <c r="Q149" s="261"/>
      <c r="R149" s="261"/>
      <c r="S149" s="261">
        <v>1.69696</v>
      </c>
      <c r="T149" s="261"/>
      <c r="V149" s="8">
        <v>508</v>
      </c>
      <c r="W149" s="261"/>
      <c r="X149" s="261"/>
      <c r="Y149" s="261"/>
      <c r="Z149" s="261"/>
      <c r="AA149" s="261"/>
      <c r="AB149" s="261"/>
      <c r="AC149" s="261"/>
      <c r="AD149" s="261"/>
      <c r="AF149" s="8">
        <v>508</v>
      </c>
      <c r="AG149" s="261"/>
      <c r="AH149" s="261"/>
      <c r="AI149" s="261"/>
      <c r="AJ149" s="261"/>
      <c r="AK149" s="261"/>
      <c r="AL149" s="261"/>
      <c r="AM149" s="261"/>
      <c r="AO149" s="12">
        <v>508</v>
      </c>
      <c r="AP149" s="264"/>
      <c r="AQ149" s="264"/>
      <c r="AR149" s="264">
        <v>10.2584655248439</v>
      </c>
      <c r="AS149" s="264"/>
      <c r="AT149" s="264"/>
      <c r="AU149" s="264"/>
      <c r="AV149" s="264"/>
      <c r="AW149" s="264"/>
      <c r="AX149" s="264"/>
      <c r="BP149" s="272">
        <f>Inputs!B152</f>
        <v>508</v>
      </c>
      <c r="BQ149" s="272">
        <f>IF(LEFT(Inputs!$C$11,6)="photon",10^Inputs!C152,Inputs!C152)</f>
        <v>11.1617284810575</v>
      </c>
      <c r="BR149" s="272"/>
      <c r="BS149" s="272">
        <f>'Advanced Inputs'!I154</f>
        <v>508</v>
      </c>
      <c r="BT149" s="272">
        <f>IF('Advanced Inputs'!J$19="Photon system",10^'Advanced Inputs'!J154,'Advanced Inputs'!J154)</f>
        <v>0</v>
      </c>
      <c r="BV149" s="272">
        <v>508</v>
      </c>
      <c r="BW149" s="8">
        <v>64.8038</v>
      </c>
      <c r="BX149" s="8">
        <v>108.112</v>
      </c>
      <c r="CC149" s="8">
        <v>1</v>
      </c>
    </row>
    <row r="150" hidden="1" spans="8:81">
      <c r="H150" s="8">
        <v>509</v>
      </c>
      <c r="I150" s="261"/>
      <c r="J150" s="261"/>
      <c r="K150" s="261"/>
      <c r="L150" s="261"/>
      <c r="M150" s="261"/>
      <c r="N150" s="261"/>
      <c r="O150" s="261"/>
      <c r="P150" s="261"/>
      <c r="Q150" s="261"/>
      <c r="R150" s="261"/>
      <c r="S150" s="261">
        <v>1.56952</v>
      </c>
      <c r="T150" s="261"/>
      <c r="V150" s="8">
        <v>509</v>
      </c>
      <c r="W150" s="261"/>
      <c r="X150" s="261"/>
      <c r="Y150" s="261"/>
      <c r="Z150" s="261"/>
      <c r="AA150" s="261"/>
      <c r="AB150" s="261"/>
      <c r="AC150" s="261"/>
      <c r="AD150" s="261"/>
      <c r="AF150" s="8">
        <v>509</v>
      </c>
      <c r="AG150" s="261"/>
      <c r="AH150" s="261"/>
      <c r="AI150" s="261"/>
      <c r="AJ150" s="261"/>
      <c r="AK150" s="261"/>
      <c r="AL150" s="261"/>
      <c r="AM150" s="261"/>
      <c r="AO150" s="12">
        <v>509</v>
      </c>
      <c r="AP150" s="264"/>
      <c r="AQ150" s="264"/>
      <c r="AR150" s="264">
        <v>10.3910241816648</v>
      </c>
      <c r="AS150" s="264"/>
      <c r="AT150" s="264"/>
      <c r="AU150" s="264"/>
      <c r="AV150" s="264"/>
      <c r="AW150" s="264"/>
      <c r="AX150" s="264"/>
      <c r="BP150" s="272">
        <f>Inputs!B153</f>
        <v>509</v>
      </c>
      <c r="BQ150" s="272">
        <f>IF(LEFT(Inputs!$C$11,6)="photon",10^Inputs!C153,Inputs!C153)</f>
        <v>11.7115002186643</v>
      </c>
      <c r="BR150" s="272"/>
      <c r="BS150" s="272">
        <f>'Advanced Inputs'!I155</f>
        <v>509</v>
      </c>
      <c r="BT150" s="272">
        <f>IF('Advanced Inputs'!J$19="Photon system",10^'Advanced Inputs'!J155,'Advanced Inputs'!J155)</f>
        <v>0</v>
      </c>
      <c r="BV150" s="272">
        <v>509</v>
      </c>
      <c r="BW150" s="8">
        <v>65.4325</v>
      </c>
      <c r="BX150" s="8">
        <v>107.957</v>
      </c>
      <c r="CC150" s="8">
        <v>1</v>
      </c>
    </row>
    <row r="151" hidden="1" spans="8:81">
      <c r="H151" s="8">
        <v>510</v>
      </c>
      <c r="I151" s="261"/>
      <c r="J151" s="261"/>
      <c r="K151" s="261"/>
      <c r="L151" s="261"/>
      <c r="M151" s="261"/>
      <c r="N151" s="261"/>
      <c r="O151" s="261"/>
      <c r="P151" s="261"/>
      <c r="Q151" s="261"/>
      <c r="R151" s="261"/>
      <c r="S151" s="261">
        <v>1.47</v>
      </c>
      <c r="T151" s="261"/>
      <c r="V151" s="8">
        <v>510</v>
      </c>
      <c r="W151" s="261"/>
      <c r="X151" s="261"/>
      <c r="Y151" s="261"/>
      <c r="Z151" s="261"/>
      <c r="AA151" s="261"/>
      <c r="AB151" s="261"/>
      <c r="AC151" s="261"/>
      <c r="AD151" s="261"/>
      <c r="AF151" s="8">
        <v>510</v>
      </c>
      <c r="AG151" s="261"/>
      <c r="AH151" s="261"/>
      <c r="AI151" s="261"/>
      <c r="AJ151" s="261"/>
      <c r="AK151" s="261"/>
      <c r="AL151" s="261"/>
      <c r="AM151" s="261"/>
      <c r="AO151" s="12">
        <v>510</v>
      </c>
      <c r="AP151" s="264"/>
      <c r="AQ151" s="264"/>
      <c r="AR151" s="264">
        <v>10.5164910780959</v>
      </c>
      <c r="AS151" s="264"/>
      <c r="AT151" s="264"/>
      <c r="AU151" s="264"/>
      <c r="AV151" s="264"/>
      <c r="AW151" s="264"/>
      <c r="AX151" s="264"/>
      <c r="BP151" s="272">
        <f>Inputs!B154</f>
        <v>510</v>
      </c>
      <c r="BQ151" s="272">
        <f>IF(LEFT(Inputs!$C$11,6)="photon",10^Inputs!C154,Inputs!C154)</f>
        <v>12.2645948923477</v>
      </c>
      <c r="BR151" s="272"/>
      <c r="BS151" s="272">
        <f>'Advanced Inputs'!I156</f>
        <v>510</v>
      </c>
      <c r="BT151" s="272">
        <f>IF('Advanced Inputs'!J$19="Photon system",10^'Advanced Inputs'!J156,'Advanced Inputs'!J156)</f>
        <v>0</v>
      </c>
      <c r="BV151" s="272">
        <v>510</v>
      </c>
      <c r="BW151" s="8">
        <v>66.0635</v>
      </c>
      <c r="BX151" s="8">
        <v>107.802</v>
      </c>
      <c r="CC151" s="8">
        <v>1</v>
      </c>
    </row>
    <row r="152" hidden="1" spans="8:81">
      <c r="H152" s="8">
        <v>511</v>
      </c>
      <c r="I152" s="261"/>
      <c r="J152" s="261"/>
      <c r="K152" s="261"/>
      <c r="L152" s="261"/>
      <c r="M152" s="261"/>
      <c r="N152" s="261"/>
      <c r="O152" s="261"/>
      <c r="P152" s="261"/>
      <c r="Q152" s="261"/>
      <c r="R152" s="261"/>
      <c r="S152" s="261">
        <v>1.36736</v>
      </c>
      <c r="T152" s="261"/>
      <c r="V152" s="8">
        <v>511</v>
      </c>
      <c r="W152" s="261"/>
      <c r="X152" s="261"/>
      <c r="Y152" s="261"/>
      <c r="Z152" s="261"/>
      <c r="AA152" s="261"/>
      <c r="AB152" s="261"/>
      <c r="AC152" s="261"/>
      <c r="AD152" s="261"/>
      <c r="AF152" s="8">
        <v>511</v>
      </c>
      <c r="AG152" s="261"/>
      <c r="AH152" s="261"/>
      <c r="AI152" s="261"/>
      <c r="AJ152" s="261"/>
      <c r="AK152" s="261"/>
      <c r="AL152" s="261"/>
      <c r="AM152" s="261"/>
      <c r="AO152" s="12">
        <v>511</v>
      </c>
      <c r="AP152" s="264"/>
      <c r="AQ152" s="264"/>
      <c r="AR152" s="264">
        <v>10.6351545472875</v>
      </c>
      <c r="AS152" s="264"/>
      <c r="AT152" s="264"/>
      <c r="AU152" s="264"/>
      <c r="AV152" s="264"/>
      <c r="AW152" s="264"/>
      <c r="AX152" s="264"/>
      <c r="BP152" s="272">
        <f>Inputs!B155</f>
        <v>511</v>
      </c>
      <c r="BQ152" s="272">
        <f>IF(LEFT(Inputs!$C$11,6)="photon",10^Inputs!C155,Inputs!C155)</f>
        <v>12.7650756320387</v>
      </c>
      <c r="BR152" s="272"/>
      <c r="BS152" s="272">
        <f>'Advanced Inputs'!I157</f>
        <v>511</v>
      </c>
      <c r="BT152" s="272">
        <f>IF('Advanced Inputs'!J$19="Photon system",10^'Advanced Inputs'!J157,'Advanced Inputs'!J157)</f>
        <v>0</v>
      </c>
      <c r="BV152" s="272">
        <v>511</v>
      </c>
      <c r="BW152" s="8">
        <v>66.6968</v>
      </c>
      <c r="BX152" s="8">
        <v>107.501</v>
      </c>
      <c r="CC152" s="8">
        <v>1</v>
      </c>
    </row>
    <row r="153" hidden="1" spans="8:81">
      <c r="H153" s="8">
        <v>512</v>
      </c>
      <c r="I153" s="261"/>
      <c r="J153" s="261"/>
      <c r="K153" s="261"/>
      <c r="L153" s="261"/>
      <c r="M153" s="261"/>
      <c r="N153" s="261"/>
      <c r="O153" s="261"/>
      <c r="P153" s="261"/>
      <c r="Q153" s="261"/>
      <c r="R153" s="261"/>
      <c r="S153" s="261">
        <v>1.28168</v>
      </c>
      <c r="T153" s="261"/>
      <c r="V153" s="8">
        <v>512</v>
      </c>
      <c r="W153" s="261"/>
      <c r="X153" s="261"/>
      <c r="Y153" s="261"/>
      <c r="Z153" s="261"/>
      <c r="AA153" s="261"/>
      <c r="AB153" s="261"/>
      <c r="AC153" s="261"/>
      <c r="AD153" s="261"/>
      <c r="AF153" s="8">
        <v>512</v>
      </c>
      <c r="AG153" s="261"/>
      <c r="AH153" s="261"/>
      <c r="AI153" s="261"/>
      <c r="AJ153" s="261"/>
      <c r="AK153" s="261"/>
      <c r="AL153" s="261"/>
      <c r="AM153" s="261"/>
      <c r="AO153" s="12">
        <v>512</v>
      </c>
      <c r="AP153" s="264"/>
      <c r="AQ153" s="264"/>
      <c r="AR153" s="264">
        <v>10.7482125319372</v>
      </c>
      <c r="AS153" s="264"/>
      <c r="AT153" s="264"/>
      <c r="AU153" s="264"/>
      <c r="AV153" s="264"/>
      <c r="AW153" s="264"/>
      <c r="AX153" s="264"/>
      <c r="BP153" s="272">
        <f>Inputs!B156</f>
        <v>512</v>
      </c>
      <c r="BQ153" s="272">
        <f>IF(LEFT(Inputs!$C$11,6)="photon",10^Inputs!C156,Inputs!C156)</f>
        <v>13.3204828408773</v>
      </c>
      <c r="BR153" s="272"/>
      <c r="BS153" s="272">
        <f>'Advanced Inputs'!I158</f>
        <v>512</v>
      </c>
      <c r="BT153" s="272">
        <f>IF('Advanced Inputs'!J$19="Photon system",10^'Advanced Inputs'!J158,'Advanced Inputs'!J158)</f>
        <v>0</v>
      </c>
      <c r="BV153" s="272">
        <v>512</v>
      </c>
      <c r="BW153" s="8">
        <v>67.3324</v>
      </c>
      <c r="BX153" s="8">
        <v>107.2</v>
      </c>
      <c r="CC153" s="8">
        <v>1</v>
      </c>
    </row>
    <row r="154" hidden="1" spans="8:81">
      <c r="H154" s="8">
        <v>513</v>
      </c>
      <c r="I154" s="261"/>
      <c r="J154" s="261"/>
      <c r="K154" s="261"/>
      <c r="L154" s="261"/>
      <c r="M154" s="261"/>
      <c r="N154" s="261"/>
      <c r="O154" s="261"/>
      <c r="P154" s="261"/>
      <c r="Q154" s="261"/>
      <c r="R154" s="261"/>
      <c r="S154" s="261">
        <v>1.21032</v>
      </c>
      <c r="T154" s="261"/>
      <c r="V154" s="8">
        <v>513</v>
      </c>
      <c r="W154" s="261"/>
      <c r="X154" s="261"/>
      <c r="Y154" s="261"/>
      <c r="Z154" s="261"/>
      <c r="AA154" s="261"/>
      <c r="AB154" s="261"/>
      <c r="AC154" s="261"/>
      <c r="AD154" s="261"/>
      <c r="AF154" s="8">
        <v>513</v>
      </c>
      <c r="AG154" s="261"/>
      <c r="AH154" s="261"/>
      <c r="AI154" s="261"/>
      <c r="AJ154" s="261"/>
      <c r="AK154" s="261"/>
      <c r="AL154" s="261"/>
      <c r="AM154" s="261"/>
      <c r="AO154" s="12">
        <v>513</v>
      </c>
      <c r="AP154" s="264"/>
      <c r="AQ154" s="264"/>
      <c r="AR154" s="264">
        <v>10.8568185257629</v>
      </c>
      <c r="AS154" s="264"/>
      <c r="AT154" s="264"/>
      <c r="AU154" s="264"/>
      <c r="AV154" s="264"/>
      <c r="AW154" s="264"/>
      <c r="AX154" s="264"/>
      <c r="BP154" s="272">
        <f>Inputs!B157</f>
        <v>513</v>
      </c>
      <c r="BQ154" s="272">
        <f>IF(LEFT(Inputs!$C$11,6)="photon",10^Inputs!C157,Inputs!C157)</f>
        <v>13.8921907974295</v>
      </c>
      <c r="BR154" s="272"/>
      <c r="BS154" s="272">
        <f>'Advanced Inputs'!I159</f>
        <v>513</v>
      </c>
      <c r="BT154" s="272">
        <f>IF('Advanced Inputs'!J$19="Photon system",10^'Advanced Inputs'!J159,'Advanced Inputs'!J159)</f>
        <v>0</v>
      </c>
      <c r="BV154" s="272">
        <v>513</v>
      </c>
      <c r="BW154" s="8">
        <v>67.9702</v>
      </c>
      <c r="BX154" s="8">
        <v>106.898</v>
      </c>
      <c r="CC154" s="8">
        <v>1</v>
      </c>
    </row>
    <row r="155" hidden="1" spans="8:81">
      <c r="H155" s="8">
        <v>514</v>
      </c>
      <c r="I155" s="261"/>
      <c r="J155" s="261"/>
      <c r="K155" s="261"/>
      <c r="L155" s="261"/>
      <c r="M155" s="261"/>
      <c r="N155" s="261"/>
      <c r="O155" s="261"/>
      <c r="P155" s="261"/>
      <c r="Q155" s="261"/>
      <c r="R155" s="261"/>
      <c r="S155" s="261">
        <v>1.15064</v>
      </c>
      <c r="T155" s="261"/>
      <c r="V155" s="8">
        <v>514</v>
      </c>
      <c r="W155" s="261"/>
      <c r="X155" s="261"/>
      <c r="Y155" s="261"/>
      <c r="Z155" s="261"/>
      <c r="AA155" s="261"/>
      <c r="AB155" s="261"/>
      <c r="AC155" s="261"/>
      <c r="AD155" s="261"/>
      <c r="AF155" s="8">
        <v>514</v>
      </c>
      <c r="AG155" s="261"/>
      <c r="AH155" s="261"/>
      <c r="AI155" s="261"/>
      <c r="AJ155" s="261"/>
      <c r="AK155" s="261"/>
      <c r="AL155" s="261"/>
      <c r="AM155" s="261"/>
      <c r="AO155" s="12">
        <v>514</v>
      </c>
      <c r="AP155" s="264"/>
      <c r="AQ155" s="264"/>
      <c r="AR155" s="264">
        <v>10.9612407174303</v>
      </c>
      <c r="AS155" s="264"/>
      <c r="AT155" s="264"/>
      <c r="AU155" s="264"/>
      <c r="AV155" s="264"/>
      <c r="AW155" s="264"/>
      <c r="AX155" s="264"/>
      <c r="BP155" s="272">
        <f>Inputs!B158</f>
        <v>514</v>
      </c>
      <c r="BQ155" s="272">
        <f>IF(LEFT(Inputs!$C$11,6)="photon",10^Inputs!C158,Inputs!C158)</f>
        <v>14.3777950946825</v>
      </c>
      <c r="BR155" s="272"/>
      <c r="BS155" s="272">
        <f>'Advanced Inputs'!I160</f>
        <v>514</v>
      </c>
      <c r="BT155" s="272">
        <f>IF('Advanced Inputs'!J$19="Photon system",10^'Advanced Inputs'!J160,'Advanced Inputs'!J160)</f>
        <v>0</v>
      </c>
      <c r="BV155" s="272">
        <v>514</v>
      </c>
      <c r="BW155" s="8">
        <v>68.6102</v>
      </c>
      <c r="BX155" s="8">
        <v>106.597</v>
      </c>
      <c r="CC155" s="8">
        <v>1</v>
      </c>
    </row>
    <row r="156" hidden="1" spans="8:81">
      <c r="H156" s="8">
        <v>515</v>
      </c>
      <c r="I156" s="261"/>
      <c r="J156" s="261"/>
      <c r="K156" s="261"/>
      <c r="L156" s="261"/>
      <c r="M156" s="261"/>
      <c r="N156" s="261"/>
      <c r="O156" s="261"/>
      <c r="P156" s="261"/>
      <c r="Q156" s="261"/>
      <c r="R156" s="261"/>
      <c r="S156" s="261">
        <v>1.1</v>
      </c>
      <c r="T156" s="261"/>
      <c r="V156" s="8">
        <v>515</v>
      </c>
      <c r="W156" s="261"/>
      <c r="X156" s="261"/>
      <c r="Y156" s="261"/>
      <c r="Z156" s="261"/>
      <c r="AA156" s="261"/>
      <c r="AB156" s="261"/>
      <c r="AC156" s="261"/>
      <c r="AD156" s="261"/>
      <c r="AF156" s="8">
        <v>515</v>
      </c>
      <c r="AG156" s="261"/>
      <c r="AH156" s="261"/>
      <c r="AI156" s="261"/>
      <c r="AJ156" s="261"/>
      <c r="AK156" s="261"/>
      <c r="AL156" s="261"/>
      <c r="AM156" s="261"/>
      <c r="AO156" s="12">
        <v>515</v>
      </c>
      <c r="AP156" s="264"/>
      <c r="AQ156" s="264"/>
      <c r="AR156" s="264">
        <v>11.0609858607638</v>
      </c>
      <c r="AS156" s="264"/>
      <c r="AT156" s="264"/>
      <c r="AU156" s="264"/>
      <c r="AV156" s="264"/>
      <c r="AW156" s="264"/>
      <c r="AX156" s="264"/>
      <c r="BP156" s="272">
        <f>Inputs!B159</f>
        <v>515</v>
      </c>
      <c r="BQ156" s="272">
        <f>IF(LEFT(Inputs!$C$11,6)="photon",10^Inputs!C159,Inputs!C159)</f>
        <v>14.8765280608693</v>
      </c>
      <c r="BR156" s="272"/>
      <c r="BS156" s="272">
        <f>'Advanced Inputs'!I161</f>
        <v>515</v>
      </c>
      <c r="BT156" s="272">
        <f>IF('Advanced Inputs'!J$19="Photon system",10^'Advanced Inputs'!J161,'Advanced Inputs'!J161)</f>
        <v>0</v>
      </c>
      <c r="BV156" s="272">
        <v>515</v>
      </c>
      <c r="BW156" s="8">
        <v>69.2525</v>
      </c>
      <c r="BX156" s="8">
        <v>106.296</v>
      </c>
      <c r="CC156" s="8">
        <v>1</v>
      </c>
    </row>
    <row r="157" hidden="1" spans="8:81">
      <c r="H157" s="8">
        <v>516</v>
      </c>
      <c r="I157" s="261"/>
      <c r="J157" s="261"/>
      <c r="K157" s="261"/>
      <c r="L157" s="261"/>
      <c r="M157" s="261"/>
      <c r="N157" s="261"/>
      <c r="O157" s="261"/>
      <c r="P157" s="261"/>
      <c r="Q157" s="261"/>
      <c r="R157" s="261"/>
      <c r="S157" s="261">
        <v>1.04552</v>
      </c>
      <c r="T157" s="261"/>
      <c r="V157" s="8">
        <v>516</v>
      </c>
      <c r="W157" s="261"/>
      <c r="X157" s="261"/>
      <c r="Y157" s="261"/>
      <c r="Z157" s="261"/>
      <c r="AA157" s="261"/>
      <c r="AB157" s="261"/>
      <c r="AC157" s="261"/>
      <c r="AD157" s="261"/>
      <c r="AF157" s="8">
        <v>516</v>
      </c>
      <c r="AG157" s="261"/>
      <c r="AH157" s="261"/>
      <c r="AI157" s="261"/>
      <c r="AJ157" s="261"/>
      <c r="AK157" s="261"/>
      <c r="AL157" s="261"/>
      <c r="AM157" s="261"/>
      <c r="AO157" s="12">
        <v>516</v>
      </c>
      <c r="AP157" s="264"/>
      <c r="AQ157" s="264"/>
      <c r="AR157" s="264">
        <v>11.1557147594808</v>
      </c>
      <c r="AS157" s="264"/>
      <c r="AT157" s="264"/>
      <c r="AU157" s="264"/>
      <c r="AV157" s="264"/>
      <c r="AW157" s="264"/>
      <c r="AX157" s="264"/>
      <c r="BP157" s="272">
        <f>Inputs!B160</f>
        <v>516</v>
      </c>
      <c r="BQ157" s="272">
        <f>IF(LEFT(Inputs!$C$11,6)="photon",10^Inputs!C160,Inputs!C160)</f>
        <v>15.2940171830991</v>
      </c>
      <c r="BR157" s="272"/>
      <c r="BS157" s="272">
        <f>'Advanced Inputs'!I162</f>
        <v>516</v>
      </c>
      <c r="BT157" s="272">
        <f>IF('Advanced Inputs'!J$19="Photon system",10^'Advanced Inputs'!J162,'Advanced Inputs'!J162)</f>
        <v>0</v>
      </c>
      <c r="BV157" s="272">
        <v>516</v>
      </c>
      <c r="BW157" s="8">
        <v>69.8969</v>
      </c>
      <c r="BX157" s="8">
        <v>105.995</v>
      </c>
      <c r="CC157" s="8">
        <v>1</v>
      </c>
    </row>
    <row r="158" hidden="1" spans="8:81">
      <c r="H158" s="8">
        <v>517</v>
      </c>
      <c r="I158" s="261"/>
      <c r="J158" s="261"/>
      <c r="K158" s="261"/>
      <c r="L158" s="261"/>
      <c r="M158" s="261"/>
      <c r="N158" s="261"/>
      <c r="O158" s="261"/>
      <c r="P158" s="261"/>
      <c r="Q158" s="261"/>
      <c r="R158" s="261"/>
      <c r="S158" s="261">
        <v>0.99736</v>
      </c>
      <c r="T158" s="261"/>
      <c r="V158" s="8">
        <v>517</v>
      </c>
      <c r="W158" s="261"/>
      <c r="X158" s="261"/>
      <c r="Y158" s="261"/>
      <c r="Z158" s="261"/>
      <c r="AA158" s="261"/>
      <c r="AB158" s="261"/>
      <c r="AC158" s="261"/>
      <c r="AD158" s="261"/>
      <c r="AF158" s="8">
        <v>517</v>
      </c>
      <c r="AG158" s="261"/>
      <c r="AH158" s="261"/>
      <c r="AI158" s="261"/>
      <c r="AJ158" s="261"/>
      <c r="AK158" s="261"/>
      <c r="AL158" s="261"/>
      <c r="AM158" s="261"/>
      <c r="AO158" s="12">
        <v>517</v>
      </c>
      <c r="AP158" s="264"/>
      <c r="AQ158" s="264"/>
      <c r="AR158" s="264">
        <v>11.246116080278</v>
      </c>
      <c r="AS158" s="264"/>
      <c r="AT158" s="264"/>
      <c r="AU158" s="264"/>
      <c r="AV158" s="264"/>
      <c r="AW158" s="264"/>
      <c r="AX158" s="264"/>
      <c r="BP158" s="272">
        <f>Inputs!B161</f>
        <v>517</v>
      </c>
      <c r="BQ158" s="272">
        <f>IF(LEFT(Inputs!$C$11,6)="photon",10^Inputs!C161,Inputs!C161)</f>
        <v>15.7339328128988</v>
      </c>
      <c r="BR158" s="272"/>
      <c r="BS158" s="272">
        <f>'Advanced Inputs'!I163</f>
        <v>517</v>
      </c>
      <c r="BT158" s="272">
        <f>IF('Advanced Inputs'!J$19="Photon system",10^'Advanced Inputs'!J163,'Advanced Inputs'!J163)</f>
        <v>0</v>
      </c>
      <c r="BV158" s="272">
        <v>517</v>
      </c>
      <c r="BW158" s="8">
        <v>70.5435</v>
      </c>
      <c r="BX158" s="8">
        <v>105.694</v>
      </c>
      <c r="CC158" s="8">
        <v>1</v>
      </c>
    </row>
    <row r="159" hidden="1" spans="8:81">
      <c r="H159" s="8">
        <v>518</v>
      </c>
      <c r="I159" s="261"/>
      <c r="J159" s="261"/>
      <c r="K159" s="261"/>
      <c r="L159" s="261"/>
      <c r="M159" s="261"/>
      <c r="N159" s="261"/>
      <c r="O159" s="261"/>
      <c r="P159" s="261"/>
      <c r="Q159" s="261"/>
      <c r="R159" s="261"/>
      <c r="S159" s="261">
        <v>0.95544</v>
      </c>
      <c r="T159" s="261"/>
      <c r="V159" s="8">
        <v>518</v>
      </c>
      <c r="W159" s="261"/>
      <c r="X159" s="261"/>
      <c r="Y159" s="261"/>
      <c r="Z159" s="261"/>
      <c r="AA159" s="261"/>
      <c r="AB159" s="261"/>
      <c r="AC159" s="261"/>
      <c r="AD159" s="261"/>
      <c r="AF159" s="8">
        <v>518</v>
      </c>
      <c r="AG159" s="261"/>
      <c r="AH159" s="261"/>
      <c r="AI159" s="261"/>
      <c r="AJ159" s="261"/>
      <c r="AK159" s="261"/>
      <c r="AL159" s="261"/>
      <c r="AM159" s="261"/>
      <c r="AO159" s="12">
        <v>518</v>
      </c>
      <c r="AP159" s="264"/>
      <c r="AQ159" s="264"/>
      <c r="AR159" s="264">
        <v>11.3339671872706</v>
      </c>
      <c r="AS159" s="264"/>
      <c r="AT159" s="264"/>
      <c r="AU159" s="264"/>
      <c r="AV159" s="264"/>
      <c r="AW159" s="264"/>
      <c r="AX159" s="264"/>
      <c r="BP159" s="272">
        <f>Inputs!B162</f>
        <v>518</v>
      </c>
      <c r="BQ159" s="272">
        <f>IF(LEFT(Inputs!$C$11,6)="photon",10^Inputs!C162,Inputs!C162)</f>
        <v>16.0881197045686</v>
      </c>
      <c r="BR159" s="272"/>
      <c r="BS159" s="272">
        <f>'Advanced Inputs'!I164</f>
        <v>518</v>
      </c>
      <c r="BT159" s="272">
        <f>IF('Advanced Inputs'!J$19="Photon system",10^'Advanced Inputs'!J164,'Advanced Inputs'!J164)</f>
        <v>0</v>
      </c>
      <c r="BV159" s="272">
        <v>518</v>
      </c>
      <c r="BW159" s="8">
        <v>71.1922</v>
      </c>
      <c r="BX159" s="8">
        <v>105.392</v>
      </c>
      <c r="CC159" s="8">
        <v>1</v>
      </c>
    </row>
    <row r="160" hidden="1" spans="8:81">
      <c r="H160" s="8">
        <v>519</v>
      </c>
      <c r="I160" s="261"/>
      <c r="J160" s="261"/>
      <c r="K160" s="261"/>
      <c r="L160" s="261"/>
      <c r="M160" s="261"/>
      <c r="N160" s="261"/>
      <c r="O160" s="261"/>
      <c r="P160" s="261"/>
      <c r="Q160" s="261"/>
      <c r="R160" s="261"/>
      <c r="S160" s="261">
        <v>0.91968</v>
      </c>
      <c r="T160" s="261"/>
      <c r="V160" s="8">
        <v>519</v>
      </c>
      <c r="W160" s="261"/>
      <c r="X160" s="261"/>
      <c r="Y160" s="261"/>
      <c r="Z160" s="261"/>
      <c r="AA160" s="261"/>
      <c r="AB160" s="261"/>
      <c r="AC160" s="261"/>
      <c r="AD160" s="261"/>
      <c r="AF160" s="8">
        <v>519</v>
      </c>
      <c r="AG160" s="261"/>
      <c r="AH160" s="261"/>
      <c r="AI160" s="261"/>
      <c r="AJ160" s="261"/>
      <c r="AK160" s="261"/>
      <c r="AL160" s="261"/>
      <c r="AM160" s="261"/>
      <c r="AO160" s="12">
        <v>519</v>
      </c>
      <c r="AP160" s="264"/>
      <c r="AQ160" s="264"/>
      <c r="AR160" s="264">
        <v>11.4211779330362</v>
      </c>
      <c r="AS160" s="264"/>
      <c r="AT160" s="264"/>
      <c r="AU160" s="264"/>
      <c r="AV160" s="264"/>
      <c r="AW160" s="264"/>
      <c r="AX160" s="264"/>
      <c r="BP160" s="272">
        <f>Inputs!B163</f>
        <v>519</v>
      </c>
      <c r="BQ160" s="272">
        <f>IF(LEFT(Inputs!$C$11,6)="photon",10^Inputs!C163,Inputs!C163)</f>
        <v>16.3773847649142</v>
      </c>
      <c r="BR160" s="272"/>
      <c r="BS160" s="272">
        <f>'Advanced Inputs'!I165</f>
        <v>519</v>
      </c>
      <c r="BT160" s="272">
        <f>IF('Advanced Inputs'!J$19="Photon system",10^'Advanced Inputs'!J165,'Advanced Inputs'!J165)</f>
        <v>0</v>
      </c>
      <c r="BV160" s="272">
        <v>519</v>
      </c>
      <c r="BW160" s="8">
        <v>71.843</v>
      </c>
      <c r="BX160" s="8">
        <v>105.091</v>
      </c>
      <c r="CC160" s="8">
        <v>1</v>
      </c>
    </row>
    <row r="161" hidden="1" spans="8:81">
      <c r="H161" s="8">
        <v>520</v>
      </c>
      <c r="I161" s="261"/>
      <c r="J161" s="261"/>
      <c r="K161" s="261"/>
      <c r="L161" s="261"/>
      <c r="M161" s="261"/>
      <c r="N161" s="261"/>
      <c r="O161" s="261"/>
      <c r="P161" s="261"/>
      <c r="Q161" s="261"/>
      <c r="R161" s="261"/>
      <c r="S161" s="261">
        <v>0.890000000000013</v>
      </c>
      <c r="T161" s="261"/>
      <c r="V161" s="8">
        <v>520</v>
      </c>
      <c r="W161" s="261"/>
      <c r="X161" s="261"/>
      <c r="Y161" s="261"/>
      <c r="Z161" s="261"/>
      <c r="AA161" s="261"/>
      <c r="AB161" s="261"/>
      <c r="AC161" s="261"/>
      <c r="AD161" s="261"/>
      <c r="AF161" s="8">
        <v>520</v>
      </c>
      <c r="AG161" s="261"/>
      <c r="AH161" s="261"/>
      <c r="AI161" s="261"/>
      <c r="AJ161" s="261"/>
      <c r="AK161" s="261"/>
      <c r="AL161" s="261"/>
      <c r="AM161" s="261"/>
      <c r="AO161" s="12">
        <v>520</v>
      </c>
      <c r="AP161" s="264"/>
      <c r="AQ161" s="264"/>
      <c r="AR161" s="264">
        <v>11.5085273808522</v>
      </c>
      <c r="AS161" s="264"/>
      <c r="AT161" s="264"/>
      <c r="AU161" s="264"/>
      <c r="AV161" s="264"/>
      <c r="AW161" s="264"/>
      <c r="AX161" s="264"/>
      <c r="BP161" s="272">
        <f>Inputs!B164</f>
        <v>520</v>
      </c>
      <c r="BQ161" s="272">
        <f>IF(LEFT(Inputs!$C$11,6)="photon",10^Inputs!C164,Inputs!C164)</f>
        <v>16.6629861508874</v>
      </c>
      <c r="BR161" s="272"/>
      <c r="BS161" s="272">
        <f>'Advanced Inputs'!I166</f>
        <v>520</v>
      </c>
      <c r="BT161" s="272">
        <f>IF('Advanced Inputs'!J$19="Photon system",10^'Advanced Inputs'!J166,'Advanced Inputs'!J166)</f>
        <v>0</v>
      </c>
      <c r="BV161" s="272">
        <v>520</v>
      </c>
      <c r="BW161" s="8">
        <v>72.4959</v>
      </c>
      <c r="BX161" s="8">
        <v>104.79</v>
      </c>
      <c r="CC161" s="8">
        <v>1</v>
      </c>
    </row>
    <row r="162" hidden="1" spans="8:81">
      <c r="H162" s="8">
        <v>521</v>
      </c>
      <c r="I162" s="261"/>
      <c r="J162" s="261"/>
      <c r="K162" s="261"/>
      <c r="L162" s="261"/>
      <c r="M162" s="261"/>
      <c r="N162" s="261"/>
      <c r="O162" s="261"/>
      <c r="P162" s="261"/>
      <c r="Q162" s="261"/>
      <c r="R162" s="261"/>
      <c r="S162" s="261">
        <v>0.857680000000268</v>
      </c>
      <c r="T162" s="261"/>
      <c r="V162" s="8">
        <v>521</v>
      </c>
      <c r="W162" s="261"/>
      <c r="X162" s="261"/>
      <c r="Y162" s="261"/>
      <c r="Z162" s="261"/>
      <c r="AA162" s="261"/>
      <c r="AB162" s="261"/>
      <c r="AC162" s="261"/>
      <c r="AD162" s="261"/>
      <c r="AF162" s="8">
        <v>521</v>
      </c>
      <c r="AG162" s="261"/>
      <c r="AH162" s="261"/>
      <c r="AI162" s="261"/>
      <c r="AJ162" s="261"/>
      <c r="AK162" s="261"/>
      <c r="AL162" s="261"/>
      <c r="AM162" s="261"/>
      <c r="AO162" s="12">
        <v>521</v>
      </c>
      <c r="AP162" s="264"/>
      <c r="AQ162" s="264"/>
      <c r="AR162" s="264">
        <v>11.5953266881131</v>
      </c>
      <c r="AS162" s="264"/>
      <c r="AT162" s="264"/>
      <c r="AU162" s="264"/>
      <c r="AV162" s="264"/>
      <c r="AW162" s="264"/>
      <c r="AX162" s="264"/>
      <c r="BP162" s="272">
        <f>Inputs!B165</f>
        <v>521</v>
      </c>
      <c r="BQ162" s="272">
        <f>IF(LEFT(Inputs!$C$11,6)="photon",10^Inputs!C165,Inputs!C165)</f>
        <v>16.8198233407592</v>
      </c>
      <c r="BR162" s="272"/>
      <c r="BS162" s="272">
        <f>'Advanced Inputs'!I167</f>
        <v>521</v>
      </c>
      <c r="BT162" s="272">
        <f>IF('Advanced Inputs'!J$19="Photon system",10^'Advanced Inputs'!J167,'Advanced Inputs'!J167)</f>
        <v>0</v>
      </c>
      <c r="BV162" s="272">
        <v>521</v>
      </c>
      <c r="BW162" s="8">
        <v>73.1508</v>
      </c>
      <c r="BX162" s="8">
        <v>105.08</v>
      </c>
      <c r="CC162" s="8">
        <v>1</v>
      </c>
    </row>
    <row r="163" hidden="1" spans="8:81">
      <c r="H163" s="8">
        <v>522</v>
      </c>
      <c r="I163" s="261"/>
      <c r="J163" s="261"/>
      <c r="K163" s="261"/>
      <c r="L163" s="261"/>
      <c r="M163" s="261"/>
      <c r="N163" s="261"/>
      <c r="O163" s="261"/>
      <c r="P163" s="261"/>
      <c r="Q163" s="261"/>
      <c r="R163" s="261"/>
      <c r="S163" s="261">
        <v>0.833440000004785</v>
      </c>
      <c r="T163" s="261"/>
      <c r="V163" s="8">
        <v>522</v>
      </c>
      <c r="W163" s="261"/>
      <c r="X163" s="261"/>
      <c r="Y163" s="261"/>
      <c r="Z163" s="261"/>
      <c r="AA163" s="261"/>
      <c r="AB163" s="261"/>
      <c r="AC163" s="261"/>
      <c r="AD163" s="261"/>
      <c r="AF163" s="8">
        <v>522</v>
      </c>
      <c r="AG163" s="261"/>
      <c r="AH163" s="261"/>
      <c r="AI163" s="261"/>
      <c r="AJ163" s="261"/>
      <c r="AK163" s="261"/>
      <c r="AL163" s="261"/>
      <c r="AM163" s="261"/>
      <c r="AO163" s="12">
        <v>522</v>
      </c>
      <c r="AP163" s="264"/>
      <c r="AQ163" s="264"/>
      <c r="AR163" s="264">
        <v>11.6804891472913</v>
      </c>
      <c r="AS163" s="264"/>
      <c r="AT163" s="264"/>
      <c r="AU163" s="264"/>
      <c r="AV163" s="264"/>
      <c r="AW163" s="264"/>
      <c r="AX163" s="264"/>
      <c r="BP163" s="272">
        <f>Inputs!B166</f>
        <v>522</v>
      </c>
      <c r="BQ163" s="272">
        <f>IF(LEFT(Inputs!$C$11,6)="photon",10^Inputs!C166,Inputs!C166)</f>
        <v>16.9075394311666</v>
      </c>
      <c r="BR163" s="272"/>
      <c r="BS163" s="272">
        <f>'Advanced Inputs'!I168</f>
        <v>522</v>
      </c>
      <c r="BT163" s="272">
        <f>IF('Advanced Inputs'!J$19="Photon system",10^'Advanced Inputs'!J168,'Advanced Inputs'!J168)</f>
        <v>0</v>
      </c>
      <c r="BV163" s="272">
        <v>522</v>
      </c>
      <c r="BW163" s="8">
        <v>73.8077</v>
      </c>
      <c r="BX163" s="8">
        <v>105.37</v>
      </c>
      <c r="CC163" s="8">
        <v>1</v>
      </c>
    </row>
    <row r="164" hidden="1" spans="8:81">
      <c r="H164" s="8">
        <v>523</v>
      </c>
      <c r="I164" s="261"/>
      <c r="J164" s="261"/>
      <c r="K164" s="261"/>
      <c r="L164" s="261"/>
      <c r="M164" s="261"/>
      <c r="N164" s="261"/>
      <c r="O164" s="261"/>
      <c r="P164" s="261"/>
      <c r="Q164" s="261"/>
      <c r="R164" s="261"/>
      <c r="S164" s="261">
        <v>0.819360000075042</v>
      </c>
      <c r="T164" s="261"/>
      <c r="V164" s="8">
        <v>523</v>
      </c>
      <c r="W164" s="261"/>
      <c r="X164" s="261"/>
      <c r="Y164" s="261"/>
      <c r="Z164" s="261"/>
      <c r="AA164" s="261"/>
      <c r="AB164" s="261"/>
      <c r="AC164" s="261"/>
      <c r="AD164" s="261"/>
      <c r="AF164" s="8">
        <v>523</v>
      </c>
      <c r="AG164" s="261"/>
      <c r="AH164" s="261"/>
      <c r="AI164" s="261"/>
      <c r="AJ164" s="261"/>
      <c r="AK164" s="261"/>
      <c r="AL164" s="261"/>
      <c r="AM164" s="261"/>
      <c r="AO164" s="12">
        <v>523</v>
      </c>
      <c r="AP164" s="264"/>
      <c r="AQ164" s="264"/>
      <c r="AR164" s="264">
        <v>11.7640146071548</v>
      </c>
      <c r="AS164" s="264"/>
      <c r="AT164" s="264"/>
      <c r="AU164" s="264"/>
      <c r="AV164" s="264"/>
      <c r="AW164" s="264"/>
      <c r="AX164" s="264"/>
      <c r="BP164" s="272">
        <f>Inputs!B167</f>
        <v>523</v>
      </c>
      <c r="BQ164" s="272">
        <f>IF(LEFT(Inputs!$C$11,6)="photon",10^Inputs!C167,Inputs!C167)</f>
        <v>16.9899652885703</v>
      </c>
      <c r="BR164" s="272"/>
      <c r="BS164" s="272">
        <f>'Advanced Inputs'!I169</f>
        <v>523</v>
      </c>
      <c r="BT164" s="272">
        <f>IF('Advanced Inputs'!J$19="Photon system",10^'Advanced Inputs'!J169,'Advanced Inputs'!J169)</f>
        <v>0</v>
      </c>
      <c r="BV164" s="272">
        <v>523</v>
      </c>
      <c r="BW164" s="8">
        <v>74.4666</v>
      </c>
      <c r="BX164" s="8">
        <v>105.66</v>
      </c>
      <c r="CC164" s="8">
        <v>1</v>
      </c>
    </row>
    <row r="165" hidden="1" spans="8:81">
      <c r="H165" s="8">
        <v>524</v>
      </c>
      <c r="I165" s="261"/>
      <c r="J165" s="261"/>
      <c r="K165" s="261"/>
      <c r="L165" s="261"/>
      <c r="M165" s="261"/>
      <c r="N165" s="261"/>
      <c r="O165" s="261"/>
      <c r="P165" s="261"/>
      <c r="Q165" s="261"/>
      <c r="R165" s="261"/>
      <c r="S165" s="261">
        <v>0.817520001032419</v>
      </c>
      <c r="T165" s="261"/>
      <c r="V165" s="8">
        <v>524</v>
      </c>
      <c r="W165" s="261"/>
      <c r="X165" s="261"/>
      <c r="Y165" s="261"/>
      <c r="Z165" s="261"/>
      <c r="AA165" s="261"/>
      <c r="AB165" s="261"/>
      <c r="AC165" s="261"/>
      <c r="AD165" s="261"/>
      <c r="AF165" s="8">
        <v>524</v>
      </c>
      <c r="AG165" s="261"/>
      <c r="AH165" s="261"/>
      <c r="AI165" s="261"/>
      <c r="AJ165" s="261"/>
      <c r="AK165" s="261"/>
      <c r="AL165" s="261"/>
      <c r="AM165" s="261"/>
      <c r="AO165" s="12">
        <v>524</v>
      </c>
      <c r="AP165" s="264"/>
      <c r="AQ165" s="264"/>
      <c r="AR165" s="264">
        <v>11.8473570806369</v>
      </c>
      <c r="AS165" s="264"/>
      <c r="AT165" s="264"/>
      <c r="AU165" s="264"/>
      <c r="AV165" s="264"/>
      <c r="AW165" s="264"/>
      <c r="AX165" s="264"/>
      <c r="BP165" s="272">
        <f>Inputs!B168</f>
        <v>524</v>
      </c>
      <c r="BQ165" s="272">
        <f>IF(LEFT(Inputs!$C$11,6)="photon",10^Inputs!C168,Inputs!C168)</f>
        <v>16.9542953706186</v>
      </c>
      <c r="BR165" s="272"/>
      <c r="BS165" s="272">
        <f>'Advanced Inputs'!I170</f>
        <v>524</v>
      </c>
      <c r="BT165" s="272">
        <f>IF('Advanced Inputs'!J$19="Photon system",10^'Advanced Inputs'!J170,'Advanced Inputs'!J170)</f>
        <v>0</v>
      </c>
      <c r="BV165" s="272">
        <v>524</v>
      </c>
      <c r="BW165" s="8">
        <v>75.1275</v>
      </c>
      <c r="BX165" s="8">
        <v>105.95</v>
      </c>
      <c r="CC165" s="8">
        <v>1</v>
      </c>
    </row>
    <row r="166" hidden="1" spans="8:81">
      <c r="H166" s="8">
        <v>525</v>
      </c>
      <c r="I166" s="261"/>
      <c r="J166" s="261"/>
      <c r="K166" s="261"/>
      <c r="L166" s="261"/>
      <c r="M166" s="261"/>
      <c r="N166" s="261"/>
      <c r="O166" s="261"/>
      <c r="P166" s="261"/>
      <c r="Q166" s="261"/>
      <c r="R166" s="261"/>
      <c r="S166" s="261">
        <v>0.830000012461229</v>
      </c>
      <c r="T166" s="261"/>
      <c r="V166" s="8">
        <v>525</v>
      </c>
      <c r="W166" s="261"/>
      <c r="X166" s="261"/>
      <c r="Y166" s="261"/>
      <c r="Z166" s="261"/>
      <c r="AA166" s="261"/>
      <c r="AB166" s="261"/>
      <c r="AC166" s="261"/>
      <c r="AD166" s="261"/>
      <c r="AF166" s="8">
        <v>525</v>
      </c>
      <c r="AG166" s="261"/>
      <c r="AH166" s="261"/>
      <c r="AI166" s="261"/>
      <c r="AJ166" s="261"/>
      <c r="AK166" s="261"/>
      <c r="AL166" s="261"/>
      <c r="AM166" s="261"/>
      <c r="AO166" s="12">
        <v>525</v>
      </c>
      <c r="AP166" s="264"/>
      <c r="AQ166" s="264"/>
      <c r="AR166" s="264">
        <v>11.9322490498658</v>
      </c>
      <c r="AS166" s="264"/>
      <c r="AT166" s="264"/>
      <c r="AU166" s="264"/>
      <c r="AV166" s="264"/>
      <c r="AW166" s="264"/>
      <c r="AX166" s="264"/>
      <c r="BP166" s="272">
        <f>Inputs!B169</f>
        <v>525</v>
      </c>
      <c r="BQ166" s="272">
        <f>IF(LEFT(Inputs!$C$11,6)="photon",10^Inputs!C169,Inputs!C169)</f>
        <v>16.8957805642625</v>
      </c>
      <c r="BR166" s="272"/>
      <c r="BS166" s="272">
        <f>'Advanced Inputs'!I171</f>
        <v>525</v>
      </c>
      <c r="BT166" s="272">
        <f>IF('Advanced Inputs'!J$19="Photon system",10^'Advanced Inputs'!J171,'Advanced Inputs'!J171)</f>
        <v>0</v>
      </c>
      <c r="BV166" s="272">
        <v>525</v>
      </c>
      <c r="BW166" s="8">
        <v>75.7903</v>
      </c>
      <c r="BX166" s="8">
        <v>106.239</v>
      </c>
      <c r="CC166" s="8">
        <v>1</v>
      </c>
    </row>
    <row r="167" hidden="1" spans="8:81">
      <c r="H167" s="8">
        <v>526</v>
      </c>
      <c r="I167" s="261"/>
      <c r="J167" s="261"/>
      <c r="K167" s="261"/>
      <c r="L167" s="261"/>
      <c r="M167" s="261"/>
      <c r="N167" s="261"/>
      <c r="O167" s="261"/>
      <c r="P167" s="261"/>
      <c r="Q167" s="261"/>
      <c r="R167" s="261"/>
      <c r="S167" s="261">
        <v>0.85377853196124</v>
      </c>
      <c r="T167" s="261"/>
      <c r="V167" s="8">
        <v>526</v>
      </c>
      <c r="W167" s="261"/>
      <c r="X167" s="261"/>
      <c r="Y167" s="261"/>
      <c r="Z167" s="261"/>
      <c r="AA167" s="261"/>
      <c r="AB167" s="261"/>
      <c r="AC167" s="261"/>
      <c r="AD167" s="261"/>
      <c r="AF167" s="8">
        <v>526</v>
      </c>
      <c r="AG167" s="261"/>
      <c r="AH167" s="261"/>
      <c r="AI167" s="261"/>
      <c r="AJ167" s="261"/>
      <c r="AK167" s="261"/>
      <c r="AL167" s="261"/>
      <c r="AM167" s="261"/>
      <c r="AO167" s="12">
        <v>526</v>
      </c>
      <c r="AP167" s="264"/>
      <c r="AQ167" s="264"/>
      <c r="AR167" s="264">
        <v>12.0191885108388</v>
      </c>
      <c r="AS167" s="264"/>
      <c r="AT167" s="264"/>
      <c r="AU167" s="264"/>
      <c r="AV167" s="264"/>
      <c r="AW167" s="264"/>
      <c r="AX167" s="264"/>
      <c r="BP167" s="272">
        <f>Inputs!B170</f>
        <v>526</v>
      </c>
      <c r="BQ167" s="272">
        <f>IF(LEFT(Inputs!$C$11,6)="photon",10^Inputs!C170,Inputs!C170)</f>
        <v>16.8773640282288</v>
      </c>
      <c r="BR167" s="272"/>
      <c r="BS167" s="272">
        <f>'Advanced Inputs'!I172</f>
        <v>526</v>
      </c>
      <c r="BT167" s="272">
        <f>IF('Advanced Inputs'!J$19="Photon system",10^'Advanced Inputs'!J172,'Advanced Inputs'!J172)</f>
        <v>0</v>
      </c>
      <c r="BV167" s="272">
        <v>526</v>
      </c>
      <c r="BW167" s="8">
        <v>76.4551</v>
      </c>
      <c r="BX167" s="8">
        <v>106.529</v>
      </c>
      <c r="CC167" s="8">
        <v>1</v>
      </c>
    </row>
    <row r="168" hidden="1" spans="8:81">
      <c r="H168" s="8">
        <v>527</v>
      </c>
      <c r="I168" s="261"/>
      <c r="J168" s="261"/>
      <c r="K168" s="261"/>
      <c r="L168" s="261"/>
      <c r="M168" s="261"/>
      <c r="N168" s="261"/>
      <c r="O168" s="261"/>
      <c r="P168" s="261"/>
      <c r="Q168" s="261"/>
      <c r="R168" s="261"/>
      <c r="S168" s="261">
        <v>0.897313426134277</v>
      </c>
      <c r="T168" s="261"/>
      <c r="V168" s="8">
        <v>527</v>
      </c>
      <c r="W168" s="261"/>
      <c r="X168" s="261"/>
      <c r="Y168" s="261"/>
      <c r="Z168" s="261"/>
      <c r="AA168" s="261"/>
      <c r="AB168" s="261"/>
      <c r="AC168" s="261"/>
      <c r="AD168" s="261"/>
      <c r="AF168" s="8">
        <v>527</v>
      </c>
      <c r="AG168" s="261"/>
      <c r="AH168" s="261"/>
      <c r="AI168" s="261"/>
      <c r="AJ168" s="261"/>
      <c r="AK168" s="261"/>
      <c r="AL168" s="261"/>
      <c r="AM168" s="261"/>
      <c r="AO168" s="12">
        <v>527</v>
      </c>
      <c r="AP168" s="264"/>
      <c r="AQ168" s="264"/>
      <c r="AR168" s="264">
        <v>12.1071785997465</v>
      </c>
      <c r="AS168" s="264"/>
      <c r="AT168" s="264"/>
      <c r="AU168" s="264"/>
      <c r="AV168" s="264"/>
      <c r="AW168" s="264"/>
      <c r="AX168" s="264"/>
      <c r="BP168" s="272">
        <f>Inputs!B171</f>
        <v>527</v>
      </c>
      <c r="BQ168" s="272">
        <f>IF(LEFT(Inputs!$C$11,6)="photon",10^Inputs!C171,Inputs!C171)</f>
        <v>16.747439676177</v>
      </c>
      <c r="BR168" s="272"/>
      <c r="BS168" s="272">
        <f>'Advanced Inputs'!I173</f>
        <v>527</v>
      </c>
      <c r="BT168" s="272">
        <f>IF('Advanced Inputs'!J$19="Photon system",10^'Advanced Inputs'!J173,'Advanced Inputs'!J173)</f>
        <v>0</v>
      </c>
      <c r="BV168" s="272">
        <v>527</v>
      </c>
      <c r="BW168" s="8">
        <v>77.1217</v>
      </c>
      <c r="BX168" s="8">
        <v>106.819</v>
      </c>
      <c r="CC168" s="8">
        <v>1</v>
      </c>
    </row>
    <row r="169" hidden="1" spans="8:81">
      <c r="H169" s="8">
        <v>528</v>
      </c>
      <c r="I169" s="261"/>
      <c r="J169" s="261"/>
      <c r="K169" s="261"/>
      <c r="L169" s="261"/>
      <c r="M169" s="261"/>
      <c r="N169" s="261"/>
      <c r="O169" s="261"/>
      <c r="P169" s="261"/>
      <c r="Q169" s="261"/>
      <c r="R169" s="261"/>
      <c r="S169" s="261">
        <v>0.963966796803633</v>
      </c>
      <c r="T169" s="261"/>
      <c r="V169" s="8">
        <v>528</v>
      </c>
      <c r="W169" s="261"/>
      <c r="X169" s="261"/>
      <c r="Y169" s="261"/>
      <c r="Z169" s="261"/>
      <c r="AA169" s="261"/>
      <c r="AB169" s="261"/>
      <c r="AC169" s="261"/>
      <c r="AD169" s="261"/>
      <c r="AF169" s="8">
        <v>528</v>
      </c>
      <c r="AG169" s="261"/>
      <c r="AH169" s="261"/>
      <c r="AI169" s="261"/>
      <c r="AJ169" s="261"/>
      <c r="AK169" s="261"/>
      <c r="AL169" s="261"/>
      <c r="AM169" s="261"/>
      <c r="AO169" s="12">
        <v>528</v>
      </c>
      <c r="AP169" s="264"/>
      <c r="AQ169" s="264"/>
      <c r="AR169" s="264">
        <v>12.1949555634792</v>
      </c>
      <c r="AS169" s="264"/>
      <c r="AT169" s="264"/>
      <c r="AU169" s="264"/>
      <c r="AV169" s="264"/>
      <c r="AW169" s="264"/>
      <c r="AX169" s="264"/>
      <c r="BP169" s="272">
        <f>Inputs!B172</f>
        <v>528</v>
      </c>
      <c r="BQ169" s="272">
        <f>IF(LEFT(Inputs!$C$11,6)="photon",10^Inputs!C172,Inputs!C172)</f>
        <v>16.5874742063677</v>
      </c>
      <c r="BR169" s="272"/>
      <c r="BS169" s="272">
        <f>'Advanced Inputs'!I174</f>
        <v>528</v>
      </c>
      <c r="BT169" s="272">
        <f>IF('Advanced Inputs'!J$19="Photon system",10^'Advanced Inputs'!J174,'Advanced Inputs'!J174)</f>
        <v>0</v>
      </c>
      <c r="BV169" s="272">
        <v>528</v>
      </c>
      <c r="BW169" s="8">
        <v>77.7902</v>
      </c>
      <c r="BX169" s="8">
        <v>107.109</v>
      </c>
      <c r="CC169" s="8">
        <v>1</v>
      </c>
    </row>
    <row r="170" hidden="1" spans="8:81">
      <c r="H170" s="8">
        <v>529</v>
      </c>
      <c r="I170" s="261"/>
      <c r="J170" s="261"/>
      <c r="K170" s="261"/>
      <c r="L170" s="261"/>
      <c r="M170" s="261"/>
      <c r="N170" s="261"/>
      <c r="O170" s="261"/>
      <c r="P170" s="261"/>
      <c r="Q170" s="261"/>
      <c r="R170" s="261"/>
      <c r="S170" s="261">
        <v>1.05713912215583</v>
      </c>
      <c r="T170" s="261"/>
      <c r="V170" s="8">
        <v>529</v>
      </c>
      <c r="W170" s="261"/>
      <c r="X170" s="261"/>
      <c r="Y170" s="261"/>
      <c r="Z170" s="261"/>
      <c r="AA170" s="261"/>
      <c r="AB170" s="261"/>
      <c r="AC170" s="261"/>
      <c r="AD170" s="261"/>
      <c r="AF170" s="8">
        <v>529</v>
      </c>
      <c r="AG170" s="261"/>
      <c r="AH170" s="261"/>
      <c r="AI170" s="261"/>
      <c r="AJ170" s="261"/>
      <c r="AK170" s="261"/>
      <c r="AL170" s="261"/>
      <c r="AM170" s="261"/>
      <c r="AO170" s="12">
        <v>529</v>
      </c>
      <c r="AP170" s="264"/>
      <c r="AQ170" s="264"/>
      <c r="AR170" s="264">
        <v>12.2823452177204</v>
      </c>
      <c r="AS170" s="264"/>
      <c r="AT170" s="264"/>
      <c r="AU170" s="264"/>
      <c r="AV170" s="264"/>
      <c r="AW170" s="264"/>
      <c r="AX170" s="264"/>
      <c r="BP170" s="272">
        <f>Inputs!B173</f>
        <v>529</v>
      </c>
      <c r="BQ170" s="272">
        <f>IF(LEFT(Inputs!$C$11,6)="photon",10^Inputs!C173,Inputs!C173)</f>
        <v>16.4208446797811</v>
      </c>
      <c r="BR170" s="272"/>
      <c r="BS170" s="272">
        <f>'Advanced Inputs'!I175</f>
        <v>529</v>
      </c>
      <c r="BT170" s="272">
        <f>IF('Advanced Inputs'!J$19="Photon system",10^'Advanced Inputs'!J175,'Advanced Inputs'!J175)</f>
        <v>0</v>
      </c>
      <c r="BV170" s="272">
        <v>529</v>
      </c>
      <c r="BW170" s="8">
        <v>78.4605</v>
      </c>
      <c r="BX170" s="8">
        <v>107.399</v>
      </c>
      <c r="CC170" s="8">
        <v>1</v>
      </c>
    </row>
    <row r="171" hidden="1" spans="8:81">
      <c r="H171" s="8">
        <v>530</v>
      </c>
      <c r="I171" s="261"/>
      <c r="J171" s="261"/>
      <c r="K171" s="261"/>
      <c r="L171" s="261"/>
      <c r="M171" s="261"/>
      <c r="N171" s="261"/>
      <c r="O171" s="261"/>
      <c r="P171" s="261"/>
      <c r="Q171" s="261"/>
      <c r="R171" s="261"/>
      <c r="S171" s="261">
        <v>1.18044905601298</v>
      </c>
      <c r="T171" s="261"/>
      <c r="V171" s="8">
        <v>530</v>
      </c>
      <c r="W171" s="261"/>
      <c r="X171" s="261"/>
      <c r="Y171" s="261"/>
      <c r="Z171" s="261"/>
      <c r="AA171" s="261"/>
      <c r="AB171" s="261"/>
      <c r="AC171" s="261"/>
      <c r="AD171" s="261"/>
      <c r="AF171" s="8">
        <v>530</v>
      </c>
      <c r="AG171" s="261"/>
      <c r="AH171" s="261"/>
      <c r="AI171" s="261"/>
      <c r="AJ171" s="261"/>
      <c r="AK171" s="261"/>
      <c r="AL171" s="261"/>
      <c r="AM171" s="261"/>
      <c r="AO171" s="12">
        <v>530</v>
      </c>
      <c r="AP171" s="264"/>
      <c r="AQ171" s="264"/>
      <c r="AR171" s="264">
        <v>12.3703516723299</v>
      </c>
      <c r="AS171" s="264"/>
      <c r="AT171" s="264"/>
      <c r="AU171" s="264"/>
      <c r="AV171" s="264"/>
      <c r="AW171" s="264"/>
      <c r="AX171" s="264"/>
      <c r="BP171" s="272">
        <f>Inputs!B174</f>
        <v>530</v>
      </c>
      <c r="BQ171" s="272">
        <f>IF(LEFT(Inputs!$C$11,6)="photon",10^Inputs!C174,Inputs!C174)</f>
        <v>16.165739738956</v>
      </c>
      <c r="BR171" s="272"/>
      <c r="BS171" s="272">
        <f>'Advanced Inputs'!I176</f>
        <v>530</v>
      </c>
      <c r="BT171" s="272">
        <f>IF('Advanced Inputs'!J$19="Photon system",10^'Advanced Inputs'!J176,'Advanced Inputs'!J176)</f>
        <v>0</v>
      </c>
      <c r="BV171" s="272">
        <v>530</v>
      </c>
      <c r="BW171" s="8">
        <v>79.1326</v>
      </c>
      <c r="BX171" s="8">
        <v>107.689</v>
      </c>
      <c r="CC171" s="8">
        <v>1</v>
      </c>
    </row>
    <row r="172" hidden="1" spans="8:81">
      <c r="H172" s="8">
        <v>531</v>
      </c>
      <c r="I172" s="261"/>
      <c r="J172" s="261"/>
      <c r="K172" s="261"/>
      <c r="L172" s="261"/>
      <c r="M172" s="261"/>
      <c r="N172" s="261"/>
      <c r="O172" s="261"/>
      <c r="P172" s="261"/>
      <c r="Q172" s="261"/>
      <c r="R172" s="261"/>
      <c r="S172" s="261">
        <v>1.37304476814955</v>
      </c>
      <c r="T172" s="261"/>
      <c r="V172" s="8">
        <v>531</v>
      </c>
      <c r="W172" s="261"/>
      <c r="X172" s="261"/>
      <c r="Y172" s="261"/>
      <c r="Z172" s="261"/>
      <c r="AA172" s="261"/>
      <c r="AB172" s="261"/>
      <c r="AC172" s="261"/>
      <c r="AD172" s="261"/>
      <c r="AF172" s="8">
        <v>531</v>
      </c>
      <c r="AG172" s="261"/>
      <c r="AH172" s="261"/>
      <c r="AI172" s="261"/>
      <c r="AJ172" s="261"/>
      <c r="AK172" s="261"/>
      <c r="AL172" s="261"/>
      <c r="AM172" s="261"/>
      <c r="AO172" s="12">
        <v>531</v>
      </c>
      <c r="AP172" s="264"/>
      <c r="AQ172" s="264"/>
      <c r="AR172" s="264">
        <v>12.4600711636966</v>
      </c>
      <c r="AS172" s="264"/>
      <c r="AT172" s="264"/>
      <c r="AU172" s="264"/>
      <c r="AV172" s="264"/>
      <c r="AW172" s="264"/>
      <c r="AX172" s="264"/>
      <c r="BP172" s="272">
        <f>Inputs!B175</f>
        <v>531</v>
      </c>
      <c r="BQ172" s="272">
        <f>IF(LEFT(Inputs!$C$11,6)="photon",10^Inputs!C175,Inputs!C175)</f>
        <v>15.9799923825239</v>
      </c>
      <c r="BR172" s="272"/>
      <c r="BS172" s="272">
        <f>'Advanced Inputs'!I177</f>
        <v>531</v>
      </c>
      <c r="BT172" s="272">
        <f>IF('Advanced Inputs'!J$19="Photon system",10^'Advanced Inputs'!J177,'Advanced Inputs'!J177)</f>
        <v>0</v>
      </c>
      <c r="BV172" s="272">
        <v>531</v>
      </c>
      <c r="BW172" s="8">
        <v>79.8065</v>
      </c>
      <c r="BX172" s="8">
        <v>107.361</v>
      </c>
      <c r="CC172" s="8">
        <v>1</v>
      </c>
    </row>
    <row r="173" hidden="1" spans="8:81">
      <c r="H173" s="8">
        <v>532</v>
      </c>
      <c r="I173" s="261"/>
      <c r="J173" s="261"/>
      <c r="K173" s="261"/>
      <c r="L173" s="261"/>
      <c r="M173" s="261"/>
      <c r="N173" s="261"/>
      <c r="O173" s="261"/>
      <c r="P173" s="261"/>
      <c r="Q173" s="261"/>
      <c r="R173" s="261"/>
      <c r="S173" s="261">
        <v>1.60102410101072</v>
      </c>
      <c r="T173" s="261"/>
      <c r="V173" s="8">
        <v>532</v>
      </c>
      <c r="W173" s="261"/>
      <c r="X173" s="261"/>
      <c r="Y173" s="261"/>
      <c r="Z173" s="261"/>
      <c r="AA173" s="261"/>
      <c r="AB173" s="261"/>
      <c r="AC173" s="261"/>
      <c r="AD173" s="261"/>
      <c r="AF173" s="8">
        <v>532</v>
      </c>
      <c r="AG173" s="261"/>
      <c r="AH173" s="261"/>
      <c r="AI173" s="261"/>
      <c r="AJ173" s="261"/>
      <c r="AK173" s="261"/>
      <c r="AL173" s="261"/>
      <c r="AM173" s="261"/>
      <c r="AO173" s="12">
        <v>532</v>
      </c>
      <c r="AP173" s="264"/>
      <c r="AQ173" s="264"/>
      <c r="AR173" s="264">
        <v>12.5517454186488</v>
      </c>
      <c r="AS173" s="264"/>
      <c r="AT173" s="264"/>
      <c r="AU173" s="264"/>
      <c r="AV173" s="264"/>
      <c r="AW173" s="264"/>
      <c r="AX173" s="264"/>
      <c r="BP173" s="272">
        <f>Inputs!B176</f>
        <v>532</v>
      </c>
      <c r="BQ173" s="272">
        <f>IF(LEFT(Inputs!$C$11,6)="photon",10^Inputs!C176,Inputs!C176)</f>
        <v>15.7396574092444</v>
      </c>
      <c r="BR173" s="272"/>
      <c r="BS173" s="272">
        <f>'Advanced Inputs'!I178</f>
        <v>532</v>
      </c>
      <c r="BT173" s="272">
        <f>IF('Advanced Inputs'!J$19="Photon system",10^'Advanced Inputs'!J178,'Advanced Inputs'!J178)</f>
        <v>0</v>
      </c>
      <c r="BV173" s="272">
        <v>532</v>
      </c>
      <c r="BW173" s="8">
        <v>80.4821</v>
      </c>
      <c r="BX173" s="8">
        <v>107.032</v>
      </c>
      <c r="CC173" s="8">
        <v>1</v>
      </c>
    </row>
    <row r="174" hidden="1" spans="8:81">
      <c r="H174" s="8">
        <v>533</v>
      </c>
      <c r="I174" s="261"/>
      <c r="J174" s="261"/>
      <c r="K174" s="261"/>
      <c r="L174" s="261"/>
      <c r="M174" s="261"/>
      <c r="N174" s="261"/>
      <c r="O174" s="261"/>
      <c r="P174" s="261"/>
      <c r="Q174" s="261"/>
      <c r="R174" s="261"/>
      <c r="S174" s="261">
        <v>1.88099446296878</v>
      </c>
      <c r="T174" s="261"/>
      <c r="V174" s="8">
        <v>533</v>
      </c>
      <c r="W174" s="261"/>
      <c r="X174" s="261"/>
      <c r="Y174" s="261"/>
      <c r="Z174" s="261"/>
      <c r="AA174" s="261"/>
      <c r="AB174" s="261"/>
      <c r="AC174" s="261"/>
      <c r="AD174" s="261"/>
      <c r="AF174" s="8">
        <v>533</v>
      </c>
      <c r="AG174" s="261"/>
      <c r="AH174" s="261"/>
      <c r="AI174" s="261"/>
      <c r="AJ174" s="261"/>
      <c r="AK174" s="261"/>
      <c r="AL174" s="261"/>
      <c r="AM174" s="261"/>
      <c r="AO174" s="12">
        <v>533</v>
      </c>
      <c r="AP174" s="264"/>
      <c r="AQ174" s="264"/>
      <c r="AR174" s="264">
        <v>12.6448166626463</v>
      </c>
      <c r="AS174" s="264"/>
      <c r="AT174" s="264"/>
      <c r="AU174" s="264"/>
      <c r="AV174" s="264"/>
      <c r="AW174" s="264"/>
      <c r="AX174" s="264"/>
      <c r="BP174" s="272">
        <f>Inputs!B177</f>
        <v>533</v>
      </c>
      <c r="BQ174" s="272">
        <f>IF(LEFT(Inputs!$C$11,6)="photon",10^Inputs!C177,Inputs!C177)</f>
        <v>15.4961471155216</v>
      </c>
      <c r="BR174" s="272"/>
      <c r="BS174" s="272">
        <f>'Advanced Inputs'!I179</f>
        <v>533</v>
      </c>
      <c r="BT174" s="272">
        <f>IF('Advanced Inputs'!J$19="Photon system",10^'Advanced Inputs'!J179,'Advanced Inputs'!J179)</f>
        <v>0</v>
      </c>
      <c r="BV174" s="272">
        <v>533</v>
      </c>
      <c r="BW174" s="8">
        <v>81.1595</v>
      </c>
      <c r="BX174" s="8">
        <v>106.704</v>
      </c>
      <c r="CC174" s="8">
        <v>1</v>
      </c>
    </row>
    <row r="175" hidden="1" spans="8:81">
      <c r="H175" s="8">
        <v>534</v>
      </c>
      <c r="I175" s="261"/>
      <c r="J175" s="261"/>
      <c r="K175" s="261"/>
      <c r="L175" s="261"/>
      <c r="M175" s="261"/>
      <c r="N175" s="261"/>
      <c r="O175" s="261"/>
      <c r="P175" s="261"/>
      <c r="Q175" s="261"/>
      <c r="R175" s="261"/>
      <c r="S175" s="261">
        <v>2.27797877205447</v>
      </c>
      <c r="T175" s="261"/>
      <c r="V175" s="8">
        <v>534</v>
      </c>
      <c r="W175" s="261"/>
      <c r="X175" s="261"/>
      <c r="Y175" s="261"/>
      <c r="Z175" s="261"/>
      <c r="AA175" s="261"/>
      <c r="AB175" s="261"/>
      <c r="AC175" s="261"/>
      <c r="AD175" s="261"/>
      <c r="AF175" s="8">
        <v>534</v>
      </c>
      <c r="AG175" s="261"/>
      <c r="AH175" s="261"/>
      <c r="AI175" s="261"/>
      <c r="AJ175" s="261"/>
      <c r="AK175" s="261"/>
      <c r="AL175" s="261"/>
      <c r="AM175" s="261"/>
      <c r="AO175" s="12">
        <v>534</v>
      </c>
      <c r="AP175" s="264"/>
      <c r="AQ175" s="264"/>
      <c r="AR175" s="264">
        <v>12.7385209613609</v>
      </c>
      <c r="AS175" s="264"/>
      <c r="AT175" s="264"/>
      <c r="AU175" s="264"/>
      <c r="AV175" s="264"/>
      <c r="AW175" s="264"/>
      <c r="AX175" s="264"/>
      <c r="BP175" s="272">
        <f>Inputs!B178</f>
        <v>534</v>
      </c>
      <c r="BQ175" s="272">
        <f>IF(LEFT(Inputs!$C$11,6)="photon",10^Inputs!C178,Inputs!C178)</f>
        <v>15.1882630123864</v>
      </c>
      <c r="BR175" s="272"/>
      <c r="BS175" s="272">
        <f>'Advanced Inputs'!I180</f>
        <v>534</v>
      </c>
      <c r="BT175" s="272">
        <f>IF('Advanced Inputs'!J$19="Photon system",10^'Advanced Inputs'!J180,'Advanced Inputs'!J180)</f>
        <v>0</v>
      </c>
      <c r="BV175" s="272">
        <v>534</v>
      </c>
      <c r="BW175" s="8">
        <v>81.8386</v>
      </c>
      <c r="BX175" s="8">
        <v>106.375</v>
      </c>
      <c r="CC175" s="8">
        <v>1</v>
      </c>
    </row>
    <row r="176" hidden="1" spans="8:81">
      <c r="H176" s="8">
        <v>535</v>
      </c>
      <c r="I176" s="261"/>
      <c r="J176" s="261"/>
      <c r="K176" s="261"/>
      <c r="L176" s="261"/>
      <c r="M176" s="261"/>
      <c r="N176" s="261"/>
      <c r="O176" s="261"/>
      <c r="P176" s="261"/>
      <c r="Q176" s="261"/>
      <c r="R176" s="261"/>
      <c r="S176" s="261">
        <v>2.97828349081412</v>
      </c>
      <c r="T176" s="261"/>
      <c r="V176" s="8">
        <v>535</v>
      </c>
      <c r="W176" s="261"/>
      <c r="X176" s="261"/>
      <c r="Y176" s="261"/>
      <c r="Z176" s="261"/>
      <c r="AA176" s="261"/>
      <c r="AB176" s="261"/>
      <c r="AC176" s="261"/>
      <c r="AD176" s="261"/>
      <c r="AF176" s="8">
        <v>535</v>
      </c>
      <c r="AG176" s="261"/>
      <c r="AH176" s="261"/>
      <c r="AI176" s="261"/>
      <c r="AJ176" s="261"/>
      <c r="AK176" s="261"/>
      <c r="AL176" s="261"/>
      <c r="AM176" s="261"/>
      <c r="AO176" s="12">
        <v>535</v>
      </c>
      <c r="AP176" s="264"/>
      <c r="AQ176" s="264"/>
      <c r="AR176" s="264">
        <v>12.8322979702221</v>
      </c>
      <c r="AS176" s="264"/>
      <c r="AT176" s="264"/>
      <c r="AU176" s="264"/>
      <c r="AV176" s="264"/>
      <c r="AW176" s="264"/>
      <c r="AX176" s="264"/>
      <c r="BP176" s="272">
        <f>Inputs!B179</f>
        <v>535</v>
      </c>
      <c r="BQ176" s="272">
        <f>IF(LEFT(Inputs!$C$11,6)="photon",10^Inputs!C179,Inputs!C179)</f>
        <v>14.9423795593571</v>
      </c>
      <c r="BR176" s="272"/>
      <c r="BS176" s="272">
        <f>'Advanced Inputs'!I181</f>
        <v>535</v>
      </c>
      <c r="BT176" s="272">
        <f>IF('Advanced Inputs'!J$19="Photon system",10^'Advanced Inputs'!J181,'Advanced Inputs'!J181)</f>
        <v>0</v>
      </c>
      <c r="BV176" s="272">
        <v>535</v>
      </c>
      <c r="BW176" s="8">
        <v>82.5193</v>
      </c>
      <c r="BX176" s="8">
        <v>106.047</v>
      </c>
      <c r="CC176" s="8">
        <v>1</v>
      </c>
    </row>
    <row r="177" hidden="1" spans="8:81">
      <c r="H177" s="8">
        <v>536</v>
      </c>
      <c r="I177" s="261"/>
      <c r="J177" s="261"/>
      <c r="K177" s="261"/>
      <c r="L177" s="261"/>
      <c r="M177" s="261"/>
      <c r="N177" s="261"/>
      <c r="O177" s="261"/>
      <c r="P177" s="261"/>
      <c r="Q177" s="261"/>
      <c r="R177" s="261"/>
      <c r="S177" s="261">
        <v>4.41796993710415</v>
      </c>
      <c r="T177" s="261"/>
      <c r="V177" s="8">
        <v>536</v>
      </c>
      <c r="W177" s="261"/>
      <c r="X177" s="261"/>
      <c r="Y177" s="261"/>
      <c r="Z177" s="261"/>
      <c r="AA177" s="261"/>
      <c r="AB177" s="261"/>
      <c r="AC177" s="261"/>
      <c r="AD177" s="261"/>
      <c r="AF177" s="8">
        <v>536</v>
      </c>
      <c r="AG177" s="261"/>
      <c r="AH177" s="261"/>
      <c r="AI177" s="261"/>
      <c r="AJ177" s="261"/>
      <c r="AK177" s="261"/>
      <c r="AL177" s="261"/>
      <c r="AM177" s="261"/>
      <c r="AO177" s="12">
        <v>536</v>
      </c>
      <c r="AP177" s="264"/>
      <c r="AQ177" s="264"/>
      <c r="AR177" s="264">
        <v>12.9260805245403</v>
      </c>
      <c r="AS177" s="264"/>
      <c r="AT177" s="264"/>
      <c r="AU177" s="264"/>
      <c r="AV177" s="264"/>
      <c r="AW177" s="264"/>
      <c r="AX177" s="264"/>
      <c r="BP177" s="272">
        <f>Inputs!B180</f>
        <v>536</v>
      </c>
      <c r="BQ177" s="272">
        <f>IF(LEFT(Inputs!$C$11,6)="photon",10^Inputs!C180,Inputs!C180)</f>
        <v>14.6824532478647</v>
      </c>
      <c r="BR177" s="272"/>
      <c r="BS177" s="272">
        <f>'Advanced Inputs'!I182</f>
        <v>536</v>
      </c>
      <c r="BT177" s="272">
        <f>IF('Advanced Inputs'!J$19="Photon system",10^'Advanced Inputs'!J182,'Advanced Inputs'!J182)</f>
        <v>0</v>
      </c>
      <c r="BV177" s="272">
        <v>536</v>
      </c>
      <c r="BW177" s="8">
        <v>83.2017</v>
      </c>
      <c r="BX177" s="8">
        <v>105.719</v>
      </c>
      <c r="CC177" s="8">
        <v>1</v>
      </c>
    </row>
    <row r="178" hidden="1" spans="8:81">
      <c r="H178" s="8">
        <v>537</v>
      </c>
      <c r="I178" s="261"/>
      <c r="J178" s="261"/>
      <c r="K178" s="261"/>
      <c r="L178" s="261"/>
      <c r="M178" s="261"/>
      <c r="N178" s="261"/>
      <c r="O178" s="261"/>
      <c r="P178" s="261"/>
      <c r="Q178" s="261"/>
      <c r="R178" s="261"/>
      <c r="S178" s="261">
        <v>7.40104180624633</v>
      </c>
      <c r="T178" s="261"/>
      <c r="V178" s="8">
        <v>537</v>
      </c>
      <c r="W178" s="261"/>
      <c r="X178" s="261"/>
      <c r="Y178" s="261"/>
      <c r="Z178" s="261"/>
      <c r="AA178" s="261"/>
      <c r="AB178" s="261"/>
      <c r="AC178" s="261"/>
      <c r="AD178" s="261"/>
      <c r="AF178" s="8">
        <v>537</v>
      </c>
      <c r="AG178" s="261"/>
      <c r="AH178" s="261"/>
      <c r="AI178" s="261"/>
      <c r="AJ178" s="261"/>
      <c r="AK178" s="261"/>
      <c r="AL178" s="261"/>
      <c r="AM178" s="261"/>
      <c r="AO178" s="12">
        <v>537</v>
      </c>
      <c r="AP178" s="264"/>
      <c r="AQ178" s="264"/>
      <c r="AR178" s="264">
        <v>13.0205363490998</v>
      </c>
      <c r="AS178" s="264"/>
      <c r="AT178" s="264"/>
      <c r="AU178" s="264"/>
      <c r="AV178" s="264"/>
      <c r="AW178" s="264"/>
      <c r="AX178" s="264"/>
      <c r="BP178" s="272">
        <f>Inputs!B181</f>
        <v>537</v>
      </c>
      <c r="BQ178" s="272">
        <f>IF(LEFT(Inputs!$C$11,6)="photon",10^Inputs!C181,Inputs!C181)</f>
        <v>14.4073270175237</v>
      </c>
      <c r="BR178" s="272"/>
      <c r="BS178" s="272">
        <f>'Advanced Inputs'!I183</f>
        <v>537</v>
      </c>
      <c r="BT178" s="272">
        <f>IF('Advanced Inputs'!J$19="Photon system",10^'Advanced Inputs'!J183,'Advanced Inputs'!J183)</f>
        <v>0</v>
      </c>
      <c r="BV178" s="272">
        <v>537</v>
      </c>
      <c r="BW178" s="8">
        <v>83.8856</v>
      </c>
      <c r="BX178" s="8">
        <v>105.39</v>
      </c>
      <c r="CC178" s="8">
        <v>1</v>
      </c>
    </row>
    <row r="179" hidden="1" spans="8:81">
      <c r="H179" s="8">
        <v>538</v>
      </c>
      <c r="I179" s="261"/>
      <c r="J179" s="261"/>
      <c r="K179" s="261"/>
      <c r="L179" s="261"/>
      <c r="M179" s="261"/>
      <c r="N179" s="261"/>
      <c r="O179" s="261"/>
      <c r="P179" s="261"/>
      <c r="Q179" s="261"/>
      <c r="R179" s="261"/>
      <c r="S179" s="261">
        <v>13.1055699433445</v>
      </c>
      <c r="T179" s="261"/>
      <c r="V179" s="8">
        <v>538</v>
      </c>
      <c r="W179" s="261"/>
      <c r="X179" s="261"/>
      <c r="Y179" s="261"/>
      <c r="Z179" s="261"/>
      <c r="AA179" s="261"/>
      <c r="AB179" s="261"/>
      <c r="AC179" s="261"/>
      <c r="AD179" s="261"/>
      <c r="AF179" s="8">
        <v>538</v>
      </c>
      <c r="AG179" s="261"/>
      <c r="AH179" s="261"/>
      <c r="AI179" s="261"/>
      <c r="AJ179" s="261"/>
      <c r="AK179" s="261"/>
      <c r="AL179" s="261"/>
      <c r="AM179" s="261"/>
      <c r="AO179" s="12">
        <v>538</v>
      </c>
      <c r="AP179" s="264"/>
      <c r="AQ179" s="264"/>
      <c r="AR179" s="264">
        <v>13.1166779340257</v>
      </c>
      <c r="AS179" s="264"/>
      <c r="AT179" s="264"/>
      <c r="AU179" s="264"/>
      <c r="AV179" s="264"/>
      <c r="AW179" s="264"/>
      <c r="AX179" s="264"/>
      <c r="BP179" s="272">
        <f>Inputs!B182</f>
        <v>538</v>
      </c>
      <c r="BQ179" s="272">
        <f>IF(LEFT(Inputs!$C$11,6)="photon",10^Inputs!C182,Inputs!C182)</f>
        <v>14.1778046301307</v>
      </c>
      <c r="BR179" s="272"/>
      <c r="BS179" s="272">
        <f>'Advanced Inputs'!I184</f>
        <v>538</v>
      </c>
      <c r="BT179" s="272">
        <f>IF('Advanced Inputs'!J$19="Photon system",10^'Advanced Inputs'!J184,'Advanced Inputs'!J184)</f>
        <v>0</v>
      </c>
      <c r="BV179" s="272">
        <v>538</v>
      </c>
      <c r="BW179" s="8">
        <v>84.5712</v>
      </c>
      <c r="BX179" s="8">
        <v>105.062</v>
      </c>
      <c r="CC179" s="8">
        <v>1</v>
      </c>
    </row>
    <row r="180" hidden="1" spans="8:81">
      <c r="H180" s="8">
        <v>539</v>
      </c>
      <c r="I180" s="261"/>
      <c r="J180" s="261"/>
      <c r="K180" s="261"/>
      <c r="L180" s="261"/>
      <c r="M180" s="261"/>
      <c r="N180" s="261"/>
      <c r="O180" s="261"/>
      <c r="P180" s="261"/>
      <c r="Q180" s="261"/>
      <c r="R180" s="261"/>
      <c r="S180" s="261">
        <v>22.7028345122025</v>
      </c>
      <c r="T180" s="261"/>
      <c r="V180" s="8">
        <v>539</v>
      </c>
      <c r="W180" s="261"/>
      <c r="X180" s="261"/>
      <c r="Y180" s="261"/>
      <c r="Z180" s="261"/>
      <c r="AA180" s="261"/>
      <c r="AB180" s="261"/>
      <c r="AC180" s="261"/>
      <c r="AD180" s="261"/>
      <c r="AF180" s="8">
        <v>539</v>
      </c>
      <c r="AG180" s="261"/>
      <c r="AH180" s="261"/>
      <c r="AI180" s="261"/>
      <c r="AJ180" s="261"/>
      <c r="AK180" s="261"/>
      <c r="AL180" s="261"/>
      <c r="AM180" s="261"/>
      <c r="AO180" s="12">
        <v>539</v>
      </c>
      <c r="AP180" s="264"/>
      <c r="AQ180" s="264"/>
      <c r="AR180" s="264">
        <v>13.2147903447977</v>
      </c>
      <c r="AS180" s="264"/>
      <c r="AT180" s="264"/>
      <c r="AU180" s="264"/>
      <c r="AV180" s="264"/>
      <c r="AW180" s="264"/>
      <c r="AX180" s="264"/>
      <c r="BP180" s="272">
        <f>Inputs!B183</f>
        <v>539</v>
      </c>
      <c r="BQ180" s="272">
        <f>IF(LEFT(Inputs!$C$11,6)="photon",10^Inputs!C183,Inputs!C183)</f>
        <v>13.9416519846046</v>
      </c>
      <c r="BR180" s="272"/>
      <c r="BS180" s="272">
        <f>'Advanced Inputs'!I185</f>
        <v>539</v>
      </c>
      <c r="BT180" s="272">
        <f>IF('Advanced Inputs'!J$19="Photon system",10^'Advanced Inputs'!J185,'Advanced Inputs'!J185)</f>
        <v>0</v>
      </c>
      <c r="BV180" s="272">
        <v>539</v>
      </c>
      <c r="BW180" s="8">
        <v>85.2584</v>
      </c>
      <c r="BX180" s="8">
        <v>104.733</v>
      </c>
      <c r="CC180" s="8">
        <v>1</v>
      </c>
    </row>
    <row r="181" hidden="1" spans="8:81">
      <c r="H181" s="8">
        <v>540</v>
      </c>
      <c r="I181" s="261"/>
      <c r="J181" s="261"/>
      <c r="K181" s="261"/>
      <c r="L181" s="261"/>
      <c r="M181" s="261"/>
      <c r="N181" s="261"/>
      <c r="O181" s="261"/>
      <c r="P181" s="261"/>
      <c r="Q181" s="261"/>
      <c r="R181" s="261"/>
      <c r="S181" s="261">
        <v>36.5140604513591</v>
      </c>
      <c r="T181" s="261"/>
      <c r="V181" s="8">
        <v>540</v>
      </c>
      <c r="W181" s="261"/>
      <c r="X181" s="261"/>
      <c r="Y181" s="261"/>
      <c r="Z181" s="261"/>
      <c r="AA181" s="261"/>
      <c r="AB181" s="261"/>
      <c r="AC181" s="261"/>
      <c r="AD181" s="261"/>
      <c r="AF181" s="8">
        <v>540</v>
      </c>
      <c r="AG181" s="261"/>
      <c r="AH181" s="261"/>
      <c r="AI181" s="261"/>
      <c r="AJ181" s="261"/>
      <c r="AK181" s="261"/>
      <c r="AL181" s="261"/>
      <c r="AM181" s="261"/>
      <c r="AO181" s="12">
        <v>540</v>
      </c>
      <c r="AP181" s="264"/>
      <c r="AQ181" s="264"/>
      <c r="AR181" s="264">
        <v>13.31384319567</v>
      </c>
      <c r="AS181" s="264"/>
      <c r="AT181" s="264"/>
      <c r="AU181" s="264"/>
      <c r="AV181" s="264"/>
      <c r="AW181" s="264"/>
      <c r="AX181" s="264"/>
      <c r="BP181" s="272">
        <f>Inputs!B184</f>
        <v>540</v>
      </c>
      <c r="BQ181" s="272">
        <f>IF(LEFT(Inputs!$C$11,6)="photon",10^Inputs!C184,Inputs!C184)</f>
        <v>13.7342320006437</v>
      </c>
      <c r="BR181" s="272"/>
      <c r="BS181" s="272">
        <f>'Advanced Inputs'!I186</f>
        <v>540</v>
      </c>
      <c r="BT181" s="272">
        <f>IF('Advanced Inputs'!J$19="Photon system",10^'Advanced Inputs'!J186,'Advanced Inputs'!J186)</f>
        <v>0</v>
      </c>
      <c r="BV181" s="272">
        <v>540</v>
      </c>
      <c r="BW181" s="8">
        <v>85.947</v>
      </c>
      <c r="BX181" s="8">
        <v>104.405</v>
      </c>
      <c r="CC181" s="8">
        <v>1</v>
      </c>
    </row>
    <row r="182" hidden="1" spans="8:81">
      <c r="H182" s="8">
        <v>541</v>
      </c>
      <c r="I182" s="261"/>
      <c r="J182" s="261"/>
      <c r="K182" s="261"/>
      <c r="L182" s="261"/>
      <c r="M182" s="261"/>
      <c r="N182" s="261"/>
      <c r="O182" s="261"/>
      <c r="P182" s="261"/>
      <c r="Q182" s="261"/>
      <c r="R182" s="261"/>
      <c r="S182" s="261">
        <v>53.0208020910741</v>
      </c>
      <c r="T182" s="261"/>
      <c r="V182" s="8">
        <v>541</v>
      </c>
      <c r="W182" s="261"/>
      <c r="X182" s="261"/>
      <c r="Y182" s="261"/>
      <c r="Z182" s="261"/>
      <c r="AA182" s="261"/>
      <c r="AB182" s="261"/>
      <c r="AC182" s="261"/>
      <c r="AD182" s="261"/>
      <c r="AF182" s="8">
        <v>541</v>
      </c>
      <c r="AG182" s="261"/>
      <c r="AH182" s="261"/>
      <c r="AI182" s="261"/>
      <c r="AJ182" s="261"/>
      <c r="AK182" s="261"/>
      <c r="AL182" s="261"/>
      <c r="AM182" s="261"/>
      <c r="AO182" s="12">
        <v>541</v>
      </c>
      <c r="AP182" s="264"/>
      <c r="AQ182" s="264"/>
      <c r="AR182" s="264">
        <v>13.4122181809142</v>
      </c>
      <c r="AS182" s="264"/>
      <c r="AT182" s="264"/>
      <c r="AU182" s="264"/>
      <c r="AV182" s="264"/>
      <c r="AW182" s="264"/>
      <c r="AX182" s="264"/>
      <c r="BP182" s="272">
        <f>Inputs!B185</f>
        <v>541</v>
      </c>
      <c r="BQ182" s="272">
        <f>IF(LEFT(Inputs!$C$11,6)="photon",10^Inputs!C185,Inputs!C185)</f>
        <v>13.5224540604334</v>
      </c>
      <c r="BR182" s="272"/>
      <c r="BS182" s="272">
        <f>'Advanced Inputs'!I187</f>
        <v>541</v>
      </c>
      <c r="BT182" s="272">
        <f>IF('Advanced Inputs'!J$19="Photon system",10^'Advanced Inputs'!J187,'Advanced Inputs'!J187)</f>
        <v>0</v>
      </c>
      <c r="BV182" s="272">
        <v>541</v>
      </c>
      <c r="BW182" s="8">
        <v>86.6372</v>
      </c>
      <c r="BX182" s="8">
        <v>104.369</v>
      </c>
      <c r="CC182" s="8">
        <v>1</v>
      </c>
    </row>
    <row r="183" hidden="1" spans="8:81">
      <c r="H183" s="8">
        <v>542</v>
      </c>
      <c r="I183" s="261"/>
      <c r="J183" s="261"/>
      <c r="K183" s="261"/>
      <c r="L183" s="261"/>
      <c r="M183" s="261"/>
      <c r="N183" s="261"/>
      <c r="O183" s="261"/>
      <c r="P183" s="261"/>
      <c r="Q183" s="261"/>
      <c r="R183" s="261"/>
      <c r="S183" s="261">
        <v>68.6414006049749</v>
      </c>
      <c r="T183" s="261"/>
      <c r="V183" s="8">
        <v>542</v>
      </c>
      <c r="W183" s="261"/>
      <c r="X183" s="261"/>
      <c r="Y183" s="261"/>
      <c r="Z183" s="261"/>
      <c r="AA183" s="261"/>
      <c r="AB183" s="261"/>
      <c r="AC183" s="261"/>
      <c r="AD183" s="261"/>
      <c r="AF183" s="8">
        <v>542</v>
      </c>
      <c r="AG183" s="261"/>
      <c r="AH183" s="261"/>
      <c r="AI183" s="261"/>
      <c r="AJ183" s="261"/>
      <c r="AK183" s="261"/>
      <c r="AL183" s="261"/>
      <c r="AM183" s="261"/>
      <c r="AO183" s="12">
        <v>542</v>
      </c>
      <c r="AP183" s="264"/>
      <c r="AQ183" s="264"/>
      <c r="AR183" s="264">
        <v>13.5089973888519</v>
      </c>
      <c r="AS183" s="264"/>
      <c r="AT183" s="264"/>
      <c r="AU183" s="264"/>
      <c r="AV183" s="264"/>
      <c r="AW183" s="264"/>
      <c r="AX183" s="264"/>
      <c r="BP183" s="272">
        <f>Inputs!B186</f>
        <v>542</v>
      </c>
      <c r="BQ183" s="272">
        <f>IF(LEFT(Inputs!$C$11,6)="photon",10^Inputs!C186,Inputs!C186)</f>
        <v>13.3251333705177</v>
      </c>
      <c r="BR183" s="272"/>
      <c r="BS183" s="272">
        <f>'Advanced Inputs'!I188</f>
        <v>542</v>
      </c>
      <c r="BT183" s="272">
        <f>IF('Advanced Inputs'!J$19="Photon system",10^'Advanced Inputs'!J188,'Advanced Inputs'!J188)</f>
        <v>0</v>
      </c>
      <c r="BV183" s="272">
        <v>542</v>
      </c>
      <c r="BW183" s="8">
        <v>87.3288</v>
      </c>
      <c r="BX183" s="8">
        <v>104.333</v>
      </c>
      <c r="CC183" s="8">
        <v>1</v>
      </c>
    </row>
    <row r="184" hidden="1" spans="8:81">
      <c r="H184" s="8">
        <v>543</v>
      </c>
      <c r="I184" s="261"/>
      <c r="J184" s="261"/>
      <c r="K184" s="261"/>
      <c r="L184" s="261"/>
      <c r="M184" s="261"/>
      <c r="N184" s="261"/>
      <c r="O184" s="261"/>
      <c r="P184" s="261"/>
      <c r="Q184" s="261"/>
      <c r="R184" s="261"/>
      <c r="S184" s="261">
        <v>78.781987069853</v>
      </c>
      <c r="T184" s="261"/>
      <c r="V184" s="8">
        <v>543</v>
      </c>
      <c r="W184" s="261"/>
      <c r="X184" s="261"/>
      <c r="Y184" s="261"/>
      <c r="Z184" s="261"/>
      <c r="AA184" s="261"/>
      <c r="AB184" s="261"/>
      <c r="AC184" s="261"/>
      <c r="AD184" s="261"/>
      <c r="AF184" s="8">
        <v>543</v>
      </c>
      <c r="AG184" s="261"/>
      <c r="AH184" s="261"/>
      <c r="AI184" s="261"/>
      <c r="AJ184" s="261"/>
      <c r="AK184" s="261"/>
      <c r="AL184" s="261"/>
      <c r="AM184" s="261"/>
      <c r="AO184" s="12">
        <v>543</v>
      </c>
      <c r="AP184" s="264"/>
      <c r="AQ184" s="264"/>
      <c r="AR184" s="264">
        <v>13.6044906717503</v>
      </c>
      <c r="AS184" s="264"/>
      <c r="AT184" s="264"/>
      <c r="AU184" s="264"/>
      <c r="AV184" s="264"/>
      <c r="AW184" s="264"/>
      <c r="AX184" s="264"/>
      <c r="BP184" s="272">
        <f>Inputs!B187</f>
        <v>543</v>
      </c>
      <c r="BQ184" s="272">
        <f>IF(LEFT(Inputs!$C$11,6)="photon",10^Inputs!C187,Inputs!C187)</f>
        <v>13.1210174182503</v>
      </c>
      <c r="BR184" s="272"/>
      <c r="BS184" s="272">
        <f>'Advanced Inputs'!I189</f>
        <v>543</v>
      </c>
      <c r="BT184" s="272">
        <f>IF('Advanced Inputs'!J$19="Photon system",10^'Advanced Inputs'!J189,'Advanced Inputs'!J189)</f>
        <v>0</v>
      </c>
      <c r="BV184" s="272">
        <v>543</v>
      </c>
      <c r="BW184" s="8">
        <v>88.0219</v>
      </c>
      <c r="BX184" s="8">
        <v>104.297</v>
      </c>
      <c r="CC184" s="8">
        <v>1</v>
      </c>
    </row>
    <row r="185" hidden="1" spans="8:81">
      <c r="H185" s="8">
        <v>544</v>
      </c>
      <c r="I185" s="261"/>
      <c r="J185" s="261"/>
      <c r="K185" s="261"/>
      <c r="L185" s="261"/>
      <c r="M185" s="261"/>
      <c r="N185" s="261"/>
      <c r="O185" s="261"/>
      <c r="P185" s="261"/>
      <c r="Q185" s="261"/>
      <c r="R185" s="261"/>
      <c r="S185" s="261">
        <v>80.1303318804058</v>
      </c>
      <c r="T185" s="261"/>
      <c r="V185" s="8">
        <v>544</v>
      </c>
      <c r="W185" s="261"/>
      <c r="X185" s="261"/>
      <c r="Y185" s="261"/>
      <c r="Z185" s="261"/>
      <c r="AA185" s="261"/>
      <c r="AB185" s="261"/>
      <c r="AC185" s="261"/>
      <c r="AD185" s="261"/>
      <c r="AF185" s="8">
        <v>544</v>
      </c>
      <c r="AG185" s="261"/>
      <c r="AH185" s="261"/>
      <c r="AI185" s="261"/>
      <c r="AJ185" s="261"/>
      <c r="AK185" s="261"/>
      <c r="AL185" s="261"/>
      <c r="AM185" s="261"/>
      <c r="AO185" s="12">
        <v>544</v>
      </c>
      <c r="AP185" s="264"/>
      <c r="AQ185" s="264"/>
      <c r="AR185" s="264">
        <v>13.6996252220357</v>
      </c>
      <c r="AS185" s="264"/>
      <c r="AT185" s="264"/>
      <c r="AU185" s="264"/>
      <c r="AV185" s="264"/>
      <c r="AW185" s="264"/>
      <c r="AX185" s="264"/>
      <c r="BP185" s="272">
        <f>Inputs!B188</f>
        <v>544</v>
      </c>
      <c r="BQ185" s="272">
        <f>IF(LEFT(Inputs!$C$11,6)="photon",10^Inputs!C188,Inputs!C188)</f>
        <v>12.9421111596411</v>
      </c>
      <c r="BR185" s="272"/>
      <c r="BS185" s="272">
        <f>'Advanced Inputs'!I190</f>
        <v>544</v>
      </c>
      <c r="BT185" s="272">
        <f>IF('Advanced Inputs'!J$19="Photon system",10^'Advanced Inputs'!J190,'Advanced Inputs'!J190)</f>
        <v>0</v>
      </c>
      <c r="BV185" s="272">
        <v>544</v>
      </c>
      <c r="BW185" s="8">
        <v>88.7165</v>
      </c>
      <c r="BX185" s="8">
        <v>104.261</v>
      </c>
      <c r="CC185" s="8">
        <v>1</v>
      </c>
    </row>
    <row r="186" hidden="1" spans="8:81">
      <c r="H186" s="8">
        <v>545</v>
      </c>
      <c r="I186" s="261"/>
      <c r="J186" s="261"/>
      <c r="K186" s="261"/>
      <c r="L186" s="261"/>
      <c r="M186" s="261"/>
      <c r="N186" s="261"/>
      <c r="O186" s="261"/>
      <c r="P186" s="261"/>
      <c r="Q186" s="261"/>
      <c r="R186" s="261"/>
      <c r="S186" s="261">
        <v>72.7247709869731</v>
      </c>
      <c r="T186" s="261"/>
      <c r="V186" s="8">
        <v>545</v>
      </c>
      <c r="W186" s="261"/>
      <c r="X186" s="261"/>
      <c r="Y186" s="261"/>
      <c r="Z186" s="261"/>
      <c r="AA186" s="261"/>
      <c r="AB186" s="261"/>
      <c r="AC186" s="261"/>
      <c r="AD186" s="261"/>
      <c r="AF186" s="8">
        <v>545</v>
      </c>
      <c r="AG186" s="261"/>
      <c r="AH186" s="261"/>
      <c r="AI186" s="261"/>
      <c r="AJ186" s="261"/>
      <c r="AK186" s="261"/>
      <c r="AL186" s="261"/>
      <c r="AM186" s="261"/>
      <c r="AO186" s="12">
        <v>545</v>
      </c>
      <c r="AP186" s="264"/>
      <c r="AQ186" s="264"/>
      <c r="AR186" s="264">
        <v>13.7948914768851</v>
      </c>
      <c r="AS186" s="264"/>
      <c r="AT186" s="264"/>
      <c r="AU186" s="264"/>
      <c r="AV186" s="264"/>
      <c r="AW186" s="264"/>
      <c r="AX186" s="264"/>
      <c r="BP186" s="272">
        <f>Inputs!B189</f>
        <v>545</v>
      </c>
      <c r="BQ186" s="272">
        <f>IF(LEFT(Inputs!$C$11,6)="photon",10^Inputs!C189,Inputs!C189)</f>
        <v>12.7799981670772</v>
      </c>
      <c r="BR186" s="272"/>
      <c r="BS186" s="272">
        <f>'Advanced Inputs'!I191</f>
        <v>545</v>
      </c>
      <c r="BT186" s="272">
        <f>IF('Advanced Inputs'!J$19="Photon system",10^'Advanced Inputs'!J191,'Advanced Inputs'!J191)</f>
        <v>0</v>
      </c>
      <c r="BV186" s="272">
        <v>545</v>
      </c>
      <c r="BW186" s="8">
        <v>89.4124</v>
      </c>
      <c r="BX186" s="8">
        <v>104.225</v>
      </c>
      <c r="CC186" s="8">
        <v>1</v>
      </c>
    </row>
    <row r="187" hidden="1" spans="8:81">
      <c r="H187" s="8">
        <v>546</v>
      </c>
      <c r="I187" s="261"/>
      <c r="J187" s="261"/>
      <c r="K187" s="261"/>
      <c r="L187" s="261"/>
      <c r="M187" s="261"/>
      <c r="N187" s="261"/>
      <c r="O187" s="261"/>
      <c r="P187" s="261"/>
      <c r="Q187" s="261"/>
      <c r="R187" s="261"/>
      <c r="S187" s="261">
        <v>109.317185832113</v>
      </c>
      <c r="T187" s="261"/>
      <c r="V187" s="8">
        <v>546</v>
      </c>
      <c r="W187" s="261"/>
      <c r="X187" s="261"/>
      <c r="Y187" s="261"/>
      <c r="Z187" s="261"/>
      <c r="AA187" s="261"/>
      <c r="AB187" s="261"/>
      <c r="AC187" s="261"/>
      <c r="AD187" s="261"/>
      <c r="AF187" s="8">
        <v>546</v>
      </c>
      <c r="AG187" s="261"/>
      <c r="AH187" s="261"/>
      <c r="AI187" s="261"/>
      <c r="AJ187" s="261"/>
      <c r="AK187" s="261"/>
      <c r="AL187" s="261"/>
      <c r="AM187" s="261"/>
      <c r="AO187" s="12">
        <v>546</v>
      </c>
      <c r="AP187" s="264"/>
      <c r="AQ187" s="264"/>
      <c r="AR187" s="264">
        <v>13.8898202375597</v>
      </c>
      <c r="AS187" s="264"/>
      <c r="AT187" s="264"/>
      <c r="AU187" s="264"/>
      <c r="AV187" s="264"/>
      <c r="AW187" s="264"/>
      <c r="AX187" s="264"/>
      <c r="BP187" s="272">
        <f>Inputs!B190</f>
        <v>546</v>
      </c>
      <c r="BQ187" s="272">
        <f>IF(LEFT(Inputs!$C$11,6)="photon",10^Inputs!C190,Inputs!C190)</f>
        <v>12.6266229544108</v>
      </c>
      <c r="BR187" s="272"/>
      <c r="BS187" s="272">
        <f>'Advanced Inputs'!I192</f>
        <v>546</v>
      </c>
      <c r="BT187" s="272">
        <f>IF('Advanced Inputs'!J$19="Photon system",10^'Advanced Inputs'!J192,'Advanced Inputs'!J192)</f>
        <v>0</v>
      </c>
      <c r="BV187" s="272">
        <v>546</v>
      </c>
      <c r="BW187" s="8">
        <v>90.1097</v>
      </c>
      <c r="BX187" s="8">
        <v>104.19</v>
      </c>
      <c r="CC187" s="8">
        <v>1</v>
      </c>
    </row>
    <row r="188" hidden="1" spans="8:81">
      <c r="H188" s="8">
        <v>547</v>
      </c>
      <c r="I188" s="261"/>
      <c r="J188" s="261"/>
      <c r="K188" s="261"/>
      <c r="L188" s="261"/>
      <c r="M188" s="261"/>
      <c r="N188" s="261"/>
      <c r="O188" s="261"/>
      <c r="P188" s="261"/>
      <c r="Q188" s="261"/>
      <c r="R188" s="261"/>
      <c r="S188" s="261">
        <v>52.0914238623063</v>
      </c>
      <c r="T188" s="261"/>
      <c r="V188" s="8">
        <v>547</v>
      </c>
      <c r="W188" s="261"/>
      <c r="X188" s="261"/>
      <c r="Y188" s="261"/>
      <c r="Z188" s="261"/>
      <c r="AA188" s="261"/>
      <c r="AB188" s="261"/>
      <c r="AC188" s="261"/>
      <c r="AD188" s="261"/>
      <c r="AF188" s="8">
        <v>547</v>
      </c>
      <c r="AG188" s="261"/>
      <c r="AH188" s="261"/>
      <c r="AI188" s="261"/>
      <c r="AJ188" s="261"/>
      <c r="AK188" s="261"/>
      <c r="AL188" s="261"/>
      <c r="AM188" s="261"/>
      <c r="AO188" s="12">
        <v>547</v>
      </c>
      <c r="AP188" s="264"/>
      <c r="AQ188" s="264"/>
      <c r="AR188" s="264">
        <v>13.9834613217552</v>
      </c>
      <c r="AS188" s="264"/>
      <c r="AT188" s="264"/>
      <c r="AU188" s="264"/>
      <c r="AV188" s="264"/>
      <c r="AW188" s="264"/>
      <c r="AX188" s="264"/>
      <c r="BP188" s="272">
        <f>Inputs!B191</f>
        <v>547</v>
      </c>
      <c r="BQ188" s="272">
        <f>IF(LEFT(Inputs!$C$11,6)="photon",10^Inputs!C191,Inputs!C191)</f>
        <v>12.4821932950678</v>
      </c>
      <c r="BR188" s="272"/>
      <c r="BS188" s="272">
        <f>'Advanced Inputs'!I193</f>
        <v>547</v>
      </c>
      <c r="BT188" s="272">
        <f>IF('Advanced Inputs'!J$19="Photon system",10^'Advanced Inputs'!J193,'Advanced Inputs'!J193)</f>
        <v>0</v>
      </c>
      <c r="BV188" s="272">
        <v>547</v>
      </c>
      <c r="BW188" s="8">
        <v>90.8083</v>
      </c>
      <c r="BX188" s="8">
        <v>104.154</v>
      </c>
      <c r="CC188" s="8">
        <v>1</v>
      </c>
    </row>
    <row r="189" hidden="1" spans="8:81">
      <c r="H189" s="8">
        <v>548</v>
      </c>
      <c r="I189" s="261"/>
      <c r="J189" s="261"/>
      <c r="K189" s="261"/>
      <c r="L189" s="261"/>
      <c r="M189" s="261"/>
      <c r="N189" s="261"/>
      <c r="O189" s="261"/>
      <c r="P189" s="261"/>
      <c r="Q189" s="261"/>
      <c r="R189" s="261"/>
      <c r="S189" s="261">
        <v>39.5108862304214</v>
      </c>
      <c r="T189" s="261"/>
      <c r="V189" s="8">
        <v>548</v>
      </c>
      <c r="W189" s="261"/>
      <c r="X189" s="261"/>
      <c r="Y189" s="261"/>
      <c r="Z189" s="261"/>
      <c r="AA189" s="261"/>
      <c r="AB189" s="261"/>
      <c r="AC189" s="261"/>
      <c r="AD189" s="261"/>
      <c r="AF189" s="8">
        <v>548</v>
      </c>
      <c r="AG189" s="261"/>
      <c r="AH189" s="261"/>
      <c r="AI189" s="261"/>
      <c r="AJ189" s="261"/>
      <c r="AK189" s="261"/>
      <c r="AL189" s="261"/>
      <c r="AM189" s="261"/>
      <c r="AO189" s="12">
        <v>548</v>
      </c>
      <c r="AP189" s="264"/>
      <c r="AQ189" s="264"/>
      <c r="AR189" s="264">
        <v>14.0753530945217</v>
      </c>
      <c r="AS189" s="264"/>
      <c r="AT189" s="264"/>
      <c r="AU189" s="264"/>
      <c r="AV189" s="264"/>
      <c r="AW189" s="264"/>
      <c r="AX189" s="264"/>
      <c r="BP189" s="272">
        <f>Inputs!B192</f>
        <v>548</v>
      </c>
      <c r="BQ189" s="272">
        <f>IF(LEFT(Inputs!$C$11,6)="photon",10^Inputs!C192,Inputs!C192)</f>
        <v>12.3517749657684</v>
      </c>
      <c r="BR189" s="272"/>
      <c r="BS189" s="272">
        <f>'Advanced Inputs'!I194</f>
        <v>548</v>
      </c>
      <c r="BT189" s="272">
        <f>IF('Advanced Inputs'!J$19="Photon system",10^'Advanced Inputs'!J194,'Advanced Inputs'!J194)</f>
        <v>0</v>
      </c>
      <c r="BV189" s="272">
        <v>548</v>
      </c>
      <c r="BW189" s="8">
        <v>91.5082</v>
      </c>
      <c r="BX189" s="8">
        <v>104.118</v>
      </c>
      <c r="CC189" s="8">
        <v>1</v>
      </c>
    </row>
    <row r="190" hidden="1" spans="8:81">
      <c r="H190" s="8">
        <v>549</v>
      </c>
      <c r="I190" s="261"/>
      <c r="J190" s="261"/>
      <c r="K190" s="261"/>
      <c r="L190" s="261"/>
      <c r="M190" s="261"/>
      <c r="N190" s="261"/>
      <c r="O190" s="261"/>
      <c r="P190" s="261"/>
      <c r="Q190" s="261"/>
      <c r="R190" s="261"/>
      <c r="S190" s="261">
        <v>34.8499042310652</v>
      </c>
      <c r="T190" s="261"/>
      <c r="V190" s="8">
        <v>549</v>
      </c>
      <c r="W190" s="261"/>
      <c r="X190" s="261"/>
      <c r="Y190" s="261"/>
      <c r="Z190" s="261"/>
      <c r="AA190" s="261"/>
      <c r="AB190" s="261"/>
      <c r="AC190" s="261"/>
      <c r="AD190" s="261"/>
      <c r="AF190" s="8">
        <v>549</v>
      </c>
      <c r="AG190" s="261"/>
      <c r="AH190" s="261"/>
      <c r="AI190" s="261"/>
      <c r="AJ190" s="261"/>
      <c r="AK190" s="261"/>
      <c r="AL190" s="261"/>
      <c r="AM190" s="261"/>
      <c r="AO190" s="12">
        <v>549</v>
      </c>
      <c r="AP190" s="264"/>
      <c r="AQ190" s="264"/>
      <c r="AR190" s="264">
        <v>14.165861522597</v>
      </c>
      <c r="AS190" s="264"/>
      <c r="AT190" s="264"/>
      <c r="AU190" s="264"/>
      <c r="AV190" s="264"/>
      <c r="AW190" s="264"/>
      <c r="AX190" s="264"/>
      <c r="BP190" s="272">
        <f>Inputs!B193</f>
        <v>549</v>
      </c>
      <c r="BQ190" s="272">
        <f>IF(LEFT(Inputs!$C$11,6)="photon",10^Inputs!C193,Inputs!C193)</f>
        <v>12.2199107295059</v>
      </c>
      <c r="BR190" s="272"/>
      <c r="BS190" s="272">
        <f>'Advanced Inputs'!I195</f>
        <v>549</v>
      </c>
      <c r="BT190" s="272">
        <f>IF('Advanced Inputs'!J$19="Photon system",10^'Advanced Inputs'!J195,'Advanced Inputs'!J195)</f>
        <v>0</v>
      </c>
      <c r="BV190" s="272">
        <v>549</v>
      </c>
      <c r="BW190" s="8">
        <v>92.2095</v>
      </c>
      <c r="BX190" s="8">
        <v>104.082</v>
      </c>
      <c r="CC190" s="8">
        <v>1</v>
      </c>
    </row>
    <row r="191" hidden="1" spans="8:81">
      <c r="H191" s="8">
        <v>550</v>
      </c>
      <c r="I191" s="261"/>
      <c r="J191" s="261"/>
      <c r="K191" s="261"/>
      <c r="L191" s="261"/>
      <c r="M191" s="261"/>
      <c r="N191" s="261"/>
      <c r="O191" s="261"/>
      <c r="P191" s="261"/>
      <c r="Q191" s="261"/>
      <c r="R191" s="261"/>
      <c r="S191" s="261">
        <v>30.9909245831528</v>
      </c>
      <c r="T191" s="261"/>
      <c r="V191" s="8">
        <v>550</v>
      </c>
      <c r="W191" s="261"/>
      <c r="X191" s="261"/>
      <c r="Y191" s="261"/>
      <c r="Z191" s="261"/>
      <c r="AA191" s="261"/>
      <c r="AB191" s="261"/>
      <c r="AC191" s="261"/>
      <c r="AD191" s="261"/>
      <c r="AF191" s="8">
        <v>550</v>
      </c>
      <c r="AG191" s="261"/>
      <c r="AH191" s="261"/>
      <c r="AI191" s="261"/>
      <c r="AJ191" s="261"/>
      <c r="AK191" s="261"/>
      <c r="AL191" s="261"/>
      <c r="AM191" s="261"/>
      <c r="AO191" s="12">
        <v>550</v>
      </c>
      <c r="AP191" s="264"/>
      <c r="AQ191" s="264"/>
      <c r="AR191" s="264">
        <v>14.2554757578425</v>
      </c>
      <c r="AS191" s="264"/>
      <c r="AT191" s="264"/>
      <c r="AU191" s="264"/>
      <c r="AV191" s="264"/>
      <c r="AW191" s="264"/>
      <c r="AX191" s="264"/>
      <c r="BP191" s="272">
        <f>Inputs!B194</f>
        <v>550</v>
      </c>
      <c r="BQ191" s="272">
        <f>IF(LEFT(Inputs!$C$11,6)="photon",10^Inputs!C194,Inputs!C194)</f>
        <v>12.0864761937134</v>
      </c>
      <c r="BR191" s="272"/>
      <c r="BS191" s="272">
        <f>'Advanced Inputs'!I196</f>
        <v>550</v>
      </c>
      <c r="BT191" s="272">
        <f>IF('Advanced Inputs'!J$19="Photon system",10^'Advanced Inputs'!J196,'Advanced Inputs'!J196)</f>
        <v>0</v>
      </c>
      <c r="BV191" s="272">
        <v>550</v>
      </c>
      <c r="BW191" s="8">
        <v>92.912</v>
      </c>
      <c r="BX191" s="8">
        <v>104.046</v>
      </c>
      <c r="CC191" s="8">
        <v>1</v>
      </c>
    </row>
    <row r="192" hidden="1" spans="8:81">
      <c r="H192" s="8">
        <v>551</v>
      </c>
      <c r="I192" s="261"/>
      <c r="J192" s="261"/>
      <c r="K192" s="261"/>
      <c r="L192" s="261"/>
      <c r="M192" s="261"/>
      <c r="N192" s="261"/>
      <c r="O192" s="261"/>
      <c r="P192" s="261"/>
      <c r="Q192" s="261"/>
      <c r="R192" s="261"/>
      <c r="S192" s="261">
        <v>25.4300742992077</v>
      </c>
      <c r="T192" s="261"/>
      <c r="V192" s="8">
        <v>551</v>
      </c>
      <c r="W192" s="261"/>
      <c r="X192" s="261"/>
      <c r="Y192" s="261"/>
      <c r="Z192" s="261"/>
      <c r="AA192" s="261"/>
      <c r="AB192" s="261"/>
      <c r="AC192" s="261"/>
      <c r="AD192" s="261"/>
      <c r="AF192" s="8">
        <v>551</v>
      </c>
      <c r="AG192" s="261"/>
      <c r="AH192" s="261"/>
      <c r="AI192" s="261"/>
      <c r="AJ192" s="261"/>
      <c r="AK192" s="261"/>
      <c r="AL192" s="261"/>
      <c r="AM192" s="261"/>
      <c r="AO192" s="12">
        <v>551</v>
      </c>
      <c r="AP192" s="264"/>
      <c r="AQ192" s="264"/>
      <c r="AR192" s="264">
        <v>14.3440519328791</v>
      </c>
      <c r="AS192" s="264"/>
      <c r="AT192" s="264"/>
      <c r="AU192" s="264"/>
      <c r="AV192" s="264"/>
      <c r="AW192" s="264"/>
      <c r="AX192" s="264"/>
      <c r="BP192" s="272">
        <f>Inputs!B195</f>
        <v>551</v>
      </c>
      <c r="BQ192" s="272">
        <f>IF(LEFT(Inputs!$C$11,6)="photon",10^Inputs!C195,Inputs!C195)</f>
        <v>11.9845248244675</v>
      </c>
      <c r="BR192" s="272"/>
      <c r="BS192" s="272">
        <f>'Advanced Inputs'!I197</f>
        <v>551</v>
      </c>
      <c r="BT192" s="272">
        <f>IF('Advanced Inputs'!J$19="Photon system",10^'Advanced Inputs'!J197,'Advanced Inputs'!J197)</f>
        <v>0</v>
      </c>
      <c r="BV192" s="272">
        <v>551</v>
      </c>
      <c r="BW192" s="8">
        <v>93.6157</v>
      </c>
      <c r="BX192" s="8">
        <v>103.641</v>
      </c>
      <c r="CC192" s="8">
        <v>1</v>
      </c>
    </row>
    <row r="193" hidden="1" spans="8:81">
      <c r="H193" s="8">
        <v>552</v>
      </c>
      <c r="I193" s="261"/>
      <c r="J193" s="261"/>
      <c r="K193" s="261"/>
      <c r="L193" s="261"/>
      <c r="M193" s="261"/>
      <c r="N193" s="261"/>
      <c r="O193" s="261"/>
      <c r="P193" s="261"/>
      <c r="Q193" s="261"/>
      <c r="R193" s="261"/>
      <c r="S193" s="261">
        <v>18.3586937352219</v>
      </c>
      <c r="T193" s="261"/>
      <c r="V193" s="8">
        <v>552</v>
      </c>
      <c r="W193" s="261"/>
      <c r="X193" s="261"/>
      <c r="Y193" s="261"/>
      <c r="Z193" s="261"/>
      <c r="AA193" s="261"/>
      <c r="AB193" s="261"/>
      <c r="AC193" s="261"/>
      <c r="AD193" s="261"/>
      <c r="AF193" s="8">
        <v>552</v>
      </c>
      <c r="AG193" s="261"/>
      <c r="AH193" s="261"/>
      <c r="AI193" s="261"/>
      <c r="AJ193" s="261"/>
      <c r="AK193" s="261"/>
      <c r="AL193" s="261"/>
      <c r="AM193" s="261"/>
      <c r="AO193" s="12">
        <v>552</v>
      </c>
      <c r="AP193" s="264"/>
      <c r="AQ193" s="264"/>
      <c r="AR193" s="264">
        <v>14.4310905767761</v>
      </c>
      <c r="AS193" s="264"/>
      <c r="AT193" s="264"/>
      <c r="AU193" s="264"/>
      <c r="AV193" s="264"/>
      <c r="AW193" s="264"/>
      <c r="AX193" s="264"/>
      <c r="BP193" s="272">
        <f>Inputs!B196</f>
        <v>552</v>
      </c>
      <c r="BQ193" s="272">
        <f>IF(LEFT(Inputs!$C$11,6)="photon",10^Inputs!C196,Inputs!C196)</f>
        <v>11.9082514181579</v>
      </c>
      <c r="BR193" s="272"/>
      <c r="BS193" s="272">
        <f>'Advanced Inputs'!I198</f>
        <v>552</v>
      </c>
      <c r="BT193" s="272">
        <f>IF('Advanced Inputs'!J$19="Photon system",10^'Advanced Inputs'!J198,'Advanced Inputs'!J198)</f>
        <v>0</v>
      </c>
      <c r="BV193" s="272">
        <v>552</v>
      </c>
      <c r="BW193" s="8">
        <v>94.3206</v>
      </c>
      <c r="BX193" s="8">
        <v>103.237</v>
      </c>
      <c r="CC193" s="8">
        <v>1</v>
      </c>
    </row>
    <row r="194" hidden="1" spans="8:81">
      <c r="H194" s="8">
        <v>553</v>
      </c>
      <c r="I194" s="261"/>
      <c r="J194" s="261"/>
      <c r="K194" s="261"/>
      <c r="L194" s="261"/>
      <c r="M194" s="261"/>
      <c r="N194" s="261"/>
      <c r="O194" s="261"/>
      <c r="P194" s="261"/>
      <c r="Q194" s="261"/>
      <c r="R194" s="261"/>
      <c r="S194" s="261">
        <v>11.8058474145895</v>
      </c>
      <c r="T194" s="261"/>
      <c r="V194" s="8">
        <v>553</v>
      </c>
      <c r="W194" s="261"/>
      <c r="X194" s="261"/>
      <c r="Y194" s="261"/>
      <c r="Z194" s="261"/>
      <c r="AA194" s="261"/>
      <c r="AB194" s="261"/>
      <c r="AC194" s="261"/>
      <c r="AD194" s="261"/>
      <c r="AF194" s="8">
        <v>553</v>
      </c>
      <c r="AG194" s="261"/>
      <c r="AH194" s="261"/>
      <c r="AI194" s="261"/>
      <c r="AJ194" s="261"/>
      <c r="AK194" s="261"/>
      <c r="AL194" s="261"/>
      <c r="AM194" s="261"/>
      <c r="AO194" s="12">
        <v>553</v>
      </c>
      <c r="AP194" s="264"/>
      <c r="AQ194" s="264"/>
      <c r="AR194" s="264">
        <v>14.5165409504866</v>
      </c>
      <c r="AS194" s="264"/>
      <c r="AT194" s="264"/>
      <c r="AU194" s="264"/>
      <c r="AV194" s="264"/>
      <c r="AW194" s="264"/>
      <c r="AX194" s="264"/>
      <c r="BP194" s="272">
        <f>Inputs!B197</f>
        <v>553</v>
      </c>
      <c r="BQ194" s="272">
        <f>IF(LEFT(Inputs!$C$11,6)="photon",10^Inputs!C197,Inputs!C197)</f>
        <v>11.8182383697451</v>
      </c>
      <c r="BR194" s="272"/>
      <c r="BS194" s="272">
        <f>'Advanced Inputs'!I199</f>
        <v>553</v>
      </c>
      <c r="BT194" s="272">
        <f>IF('Advanced Inputs'!J$19="Photon system",10^'Advanced Inputs'!J199,'Advanced Inputs'!J199)</f>
        <v>0</v>
      </c>
      <c r="BV194" s="272">
        <v>553</v>
      </c>
      <c r="BW194" s="8">
        <v>95.0267</v>
      </c>
      <c r="BX194" s="8">
        <v>102.832</v>
      </c>
      <c r="CC194" s="8">
        <v>1</v>
      </c>
    </row>
    <row r="195" hidden="1" spans="8:81">
      <c r="H195" s="8">
        <v>554</v>
      </c>
      <c r="I195" s="261"/>
      <c r="J195" s="261"/>
      <c r="K195" s="261"/>
      <c r="L195" s="261"/>
      <c r="M195" s="261"/>
      <c r="N195" s="261"/>
      <c r="O195" s="261"/>
      <c r="P195" s="261"/>
      <c r="Q195" s="261"/>
      <c r="R195" s="261"/>
      <c r="S195" s="261">
        <v>7.31793384605685</v>
      </c>
      <c r="T195" s="261"/>
      <c r="V195" s="8">
        <v>554</v>
      </c>
      <c r="W195" s="261"/>
      <c r="X195" s="261"/>
      <c r="Y195" s="261"/>
      <c r="Z195" s="261"/>
      <c r="AA195" s="261"/>
      <c r="AB195" s="261"/>
      <c r="AC195" s="261"/>
      <c r="AD195" s="261"/>
      <c r="AF195" s="8">
        <v>554</v>
      </c>
      <c r="AG195" s="261"/>
      <c r="AH195" s="261"/>
      <c r="AI195" s="261"/>
      <c r="AJ195" s="261"/>
      <c r="AK195" s="261"/>
      <c r="AL195" s="261"/>
      <c r="AM195" s="261"/>
      <c r="AO195" s="12">
        <v>554</v>
      </c>
      <c r="AP195" s="264"/>
      <c r="AQ195" s="264"/>
      <c r="AR195" s="264">
        <v>14.6007815212607</v>
      </c>
      <c r="AS195" s="264"/>
      <c r="AT195" s="264"/>
      <c r="AU195" s="264"/>
      <c r="AV195" s="264"/>
      <c r="AW195" s="264"/>
      <c r="AX195" s="264"/>
      <c r="BP195" s="272">
        <f>Inputs!B198</f>
        <v>554</v>
      </c>
      <c r="BQ195" s="272">
        <f>IF(LEFT(Inputs!$C$11,6)="photon",10^Inputs!C198,Inputs!C198)</f>
        <v>11.7452369850813</v>
      </c>
      <c r="BR195" s="272"/>
      <c r="BS195" s="272">
        <f>'Advanced Inputs'!I200</f>
        <v>554</v>
      </c>
      <c r="BT195" s="272">
        <f>IF('Advanced Inputs'!J$19="Photon system",10^'Advanced Inputs'!J200,'Advanced Inputs'!J200)</f>
        <v>0</v>
      </c>
      <c r="BV195" s="272">
        <v>554</v>
      </c>
      <c r="BW195" s="8">
        <v>95.7339</v>
      </c>
      <c r="BX195" s="8">
        <v>102.428</v>
      </c>
      <c r="CC195" s="8">
        <v>1</v>
      </c>
    </row>
    <row r="196" hidden="1" spans="8:81">
      <c r="H196" s="8">
        <v>555</v>
      </c>
      <c r="I196" s="261"/>
      <c r="J196" s="261"/>
      <c r="K196" s="261"/>
      <c r="L196" s="261"/>
      <c r="M196" s="261"/>
      <c r="N196" s="261"/>
      <c r="O196" s="261"/>
      <c r="P196" s="261"/>
      <c r="Q196" s="261"/>
      <c r="R196" s="261"/>
      <c r="S196" s="261">
        <v>4.95628227556233</v>
      </c>
      <c r="T196" s="261"/>
      <c r="V196" s="8">
        <v>555</v>
      </c>
      <c r="W196" s="261"/>
      <c r="X196" s="261"/>
      <c r="Y196" s="261"/>
      <c r="Z196" s="261"/>
      <c r="AA196" s="261"/>
      <c r="AB196" s="261"/>
      <c r="AC196" s="261"/>
      <c r="AD196" s="261"/>
      <c r="AF196" s="8">
        <v>555</v>
      </c>
      <c r="AG196" s="261"/>
      <c r="AH196" s="261"/>
      <c r="AI196" s="261"/>
      <c r="AJ196" s="261"/>
      <c r="AK196" s="261"/>
      <c r="AL196" s="261"/>
      <c r="AM196" s="261"/>
      <c r="AO196" s="12">
        <v>555</v>
      </c>
      <c r="AP196" s="264"/>
      <c r="AQ196" s="264"/>
      <c r="AR196" s="264">
        <v>14.6838527387643</v>
      </c>
      <c r="AS196" s="264"/>
      <c r="AT196" s="264"/>
      <c r="AU196" s="264"/>
      <c r="AV196" s="264"/>
      <c r="AW196" s="264"/>
      <c r="AX196" s="264"/>
      <c r="BP196" s="272">
        <f>Inputs!B199</f>
        <v>555</v>
      </c>
      <c r="BQ196" s="272">
        <f>IF(LEFT(Inputs!$C$11,6)="photon",10^Inputs!C199,Inputs!C199)</f>
        <v>11.6672242860202</v>
      </c>
      <c r="BR196" s="272"/>
      <c r="BS196" s="272">
        <f>'Advanced Inputs'!I201</f>
        <v>555</v>
      </c>
      <c r="BT196" s="272">
        <f>IF('Advanced Inputs'!J$19="Photon system",10^'Advanced Inputs'!J201,'Advanced Inputs'!J201)</f>
        <v>0</v>
      </c>
      <c r="BV196" s="272">
        <v>555</v>
      </c>
      <c r="BW196" s="8">
        <v>96.4423</v>
      </c>
      <c r="BX196" s="8">
        <v>102.023</v>
      </c>
      <c r="CC196" s="8">
        <v>1</v>
      </c>
    </row>
    <row r="197" hidden="1" spans="8:81">
      <c r="H197" s="8">
        <v>556</v>
      </c>
      <c r="I197" s="261"/>
      <c r="J197" s="261"/>
      <c r="K197" s="261"/>
      <c r="L197" s="261"/>
      <c r="M197" s="261"/>
      <c r="N197" s="261"/>
      <c r="O197" s="261"/>
      <c r="P197" s="261"/>
      <c r="Q197" s="261"/>
      <c r="R197" s="261"/>
      <c r="S197" s="261">
        <v>3.92459429650071</v>
      </c>
      <c r="T197" s="261"/>
      <c r="V197" s="8">
        <v>556</v>
      </c>
      <c r="W197" s="261"/>
      <c r="X197" s="261"/>
      <c r="Y197" s="261"/>
      <c r="Z197" s="261"/>
      <c r="AA197" s="261"/>
      <c r="AB197" s="261"/>
      <c r="AC197" s="261"/>
      <c r="AD197" s="261"/>
      <c r="AF197" s="8">
        <v>556</v>
      </c>
      <c r="AG197" s="261"/>
      <c r="AH197" s="261"/>
      <c r="AI197" s="261"/>
      <c r="AJ197" s="261"/>
      <c r="AK197" s="261"/>
      <c r="AL197" s="261"/>
      <c r="AM197" s="261"/>
      <c r="AO197" s="12">
        <v>556</v>
      </c>
      <c r="AP197" s="264"/>
      <c r="AQ197" s="264"/>
      <c r="AR197" s="264">
        <v>14.7653624501512</v>
      </c>
      <c r="AS197" s="264"/>
      <c r="AT197" s="264"/>
      <c r="AU197" s="264"/>
      <c r="AV197" s="264"/>
      <c r="AW197" s="264"/>
      <c r="AX197" s="264"/>
      <c r="BP197" s="272">
        <f>Inputs!B200</f>
        <v>556</v>
      </c>
      <c r="BQ197" s="272">
        <f>IF(LEFT(Inputs!$C$11,6)="photon",10^Inputs!C200,Inputs!C200)</f>
        <v>11.6000460947928</v>
      </c>
      <c r="BR197" s="272"/>
      <c r="BS197" s="272">
        <f>'Advanced Inputs'!I202</f>
        <v>556</v>
      </c>
      <c r="BT197" s="272">
        <f>IF('Advanced Inputs'!J$19="Photon system",10^'Advanced Inputs'!J202,'Advanced Inputs'!J202)</f>
        <v>0</v>
      </c>
      <c r="BV197" s="272">
        <v>556</v>
      </c>
      <c r="BW197" s="8">
        <v>97.1518</v>
      </c>
      <c r="BX197" s="8">
        <v>101.618</v>
      </c>
      <c r="CC197" s="8">
        <v>1</v>
      </c>
    </row>
    <row r="198" hidden="1" spans="8:81">
      <c r="H198" s="8">
        <v>557</v>
      </c>
      <c r="I198" s="261"/>
      <c r="J198" s="261"/>
      <c r="K198" s="261"/>
      <c r="L198" s="261"/>
      <c r="M198" s="261"/>
      <c r="N198" s="261"/>
      <c r="O198" s="261"/>
      <c r="P198" s="261"/>
      <c r="Q198" s="261"/>
      <c r="R198" s="261"/>
      <c r="S198" s="261">
        <v>3.48359923719517</v>
      </c>
      <c r="T198" s="261"/>
      <c r="V198" s="8">
        <v>557</v>
      </c>
      <c r="W198" s="261"/>
      <c r="X198" s="261"/>
      <c r="Y198" s="261"/>
      <c r="Z198" s="261"/>
      <c r="AA198" s="261"/>
      <c r="AB198" s="261"/>
      <c r="AC198" s="261"/>
      <c r="AD198" s="261"/>
      <c r="AF198" s="8">
        <v>557</v>
      </c>
      <c r="AG198" s="261"/>
      <c r="AH198" s="261"/>
      <c r="AI198" s="261"/>
      <c r="AJ198" s="261"/>
      <c r="AK198" s="261"/>
      <c r="AL198" s="261"/>
      <c r="AM198" s="261"/>
      <c r="AO198" s="12">
        <v>557</v>
      </c>
      <c r="AP198" s="264"/>
      <c r="AQ198" s="264"/>
      <c r="AR198" s="264">
        <v>14.8452835082382</v>
      </c>
      <c r="AS198" s="264"/>
      <c r="AT198" s="264"/>
      <c r="AU198" s="264"/>
      <c r="AV198" s="264"/>
      <c r="AW198" s="264"/>
      <c r="AX198" s="264"/>
      <c r="BP198" s="272">
        <f>Inputs!B201</f>
        <v>557</v>
      </c>
      <c r="BQ198" s="272">
        <f>IF(LEFT(Inputs!$C$11,6)="photon",10^Inputs!C201,Inputs!C201)</f>
        <v>11.5331981695316</v>
      </c>
      <c r="BR198" s="272"/>
      <c r="BS198" s="272">
        <f>'Advanced Inputs'!I203</f>
        <v>557</v>
      </c>
      <c r="BT198" s="272">
        <f>IF('Advanced Inputs'!J$19="Photon system",10^'Advanced Inputs'!J203,'Advanced Inputs'!J203)</f>
        <v>0</v>
      </c>
      <c r="BV198" s="272">
        <v>557</v>
      </c>
      <c r="BW198" s="8">
        <v>97.8623</v>
      </c>
      <c r="BX198" s="8">
        <v>101.214</v>
      </c>
      <c r="CC198" s="8">
        <v>1</v>
      </c>
    </row>
    <row r="199" hidden="1" spans="8:81">
      <c r="H199" s="8">
        <v>558</v>
      </c>
      <c r="I199" s="261"/>
      <c r="J199" s="261"/>
      <c r="K199" s="261"/>
      <c r="L199" s="261"/>
      <c r="M199" s="261"/>
      <c r="N199" s="261"/>
      <c r="O199" s="261"/>
      <c r="P199" s="261"/>
      <c r="Q199" s="261"/>
      <c r="R199" s="261"/>
      <c r="S199" s="261">
        <v>3.23281567536936</v>
      </c>
      <c r="T199" s="261"/>
      <c r="V199" s="8">
        <v>558</v>
      </c>
      <c r="W199" s="261"/>
      <c r="X199" s="261"/>
      <c r="Y199" s="261"/>
      <c r="Z199" s="261"/>
      <c r="AA199" s="261"/>
      <c r="AB199" s="261"/>
      <c r="AC199" s="261"/>
      <c r="AD199" s="261"/>
      <c r="AF199" s="8">
        <v>558</v>
      </c>
      <c r="AG199" s="261"/>
      <c r="AH199" s="261"/>
      <c r="AI199" s="261"/>
      <c r="AJ199" s="261"/>
      <c r="AK199" s="261"/>
      <c r="AL199" s="261"/>
      <c r="AM199" s="261"/>
      <c r="AO199" s="12">
        <v>558</v>
      </c>
      <c r="AP199" s="264"/>
      <c r="AQ199" s="264"/>
      <c r="AR199" s="264">
        <v>14.9241359398927</v>
      </c>
      <c r="AS199" s="264"/>
      <c r="AT199" s="264"/>
      <c r="AU199" s="264"/>
      <c r="AV199" s="264"/>
      <c r="AW199" s="264"/>
      <c r="AX199" s="264"/>
      <c r="BP199" s="272">
        <f>Inputs!B202</f>
        <v>558</v>
      </c>
      <c r="BQ199" s="272">
        <f>IF(LEFT(Inputs!$C$11,6)="photon",10^Inputs!C202,Inputs!C202)</f>
        <v>11.5022639247965</v>
      </c>
      <c r="BR199" s="272"/>
      <c r="BS199" s="272">
        <f>'Advanced Inputs'!I204</f>
        <v>558</v>
      </c>
      <c r="BT199" s="272">
        <f>IF('Advanced Inputs'!J$19="Photon system",10^'Advanced Inputs'!J204,'Advanced Inputs'!J204)</f>
        <v>0</v>
      </c>
      <c r="BV199" s="272">
        <v>558</v>
      </c>
      <c r="BW199" s="8">
        <v>98.5739</v>
      </c>
      <c r="BX199" s="8">
        <v>100.809</v>
      </c>
      <c r="CC199" s="8">
        <v>1</v>
      </c>
    </row>
    <row r="200" hidden="1" spans="8:81">
      <c r="H200" s="8">
        <v>559</v>
      </c>
      <c r="I200" s="261"/>
      <c r="J200" s="261"/>
      <c r="K200" s="261"/>
      <c r="L200" s="261"/>
      <c r="M200" s="261"/>
      <c r="N200" s="261"/>
      <c r="O200" s="261"/>
      <c r="P200" s="261"/>
      <c r="Q200" s="261"/>
      <c r="R200" s="261"/>
      <c r="S200" s="261">
        <v>3.02716263908236</v>
      </c>
      <c r="T200" s="261"/>
      <c r="V200" s="8">
        <v>559</v>
      </c>
      <c r="W200" s="261"/>
      <c r="X200" s="261"/>
      <c r="Y200" s="261"/>
      <c r="Z200" s="261"/>
      <c r="AA200" s="261"/>
      <c r="AB200" s="261"/>
      <c r="AC200" s="261"/>
      <c r="AD200" s="261"/>
      <c r="AF200" s="8">
        <v>559</v>
      </c>
      <c r="AG200" s="261"/>
      <c r="AH200" s="261"/>
      <c r="AI200" s="261"/>
      <c r="AJ200" s="261"/>
      <c r="AK200" s="261"/>
      <c r="AL200" s="261"/>
      <c r="AM200" s="261"/>
      <c r="AO200" s="12">
        <v>559</v>
      </c>
      <c r="AP200" s="264"/>
      <c r="AQ200" s="264"/>
      <c r="AR200" s="264">
        <v>15.0019860649941</v>
      </c>
      <c r="AS200" s="264"/>
      <c r="AT200" s="264"/>
      <c r="AU200" s="264"/>
      <c r="AV200" s="264"/>
      <c r="AW200" s="264"/>
      <c r="AX200" s="264"/>
      <c r="BP200" s="272">
        <f>Inputs!B203</f>
        <v>559</v>
      </c>
      <c r="BQ200" s="272">
        <f>IF(LEFT(Inputs!$C$11,6)="photon",10^Inputs!C203,Inputs!C203)</f>
        <v>11.4289937723572</v>
      </c>
      <c r="BR200" s="272"/>
      <c r="BS200" s="272">
        <f>'Advanced Inputs'!I205</f>
        <v>559</v>
      </c>
      <c r="BT200" s="272">
        <f>IF('Advanced Inputs'!J$19="Photon system",10^'Advanced Inputs'!J205,'Advanced Inputs'!J205)</f>
        <v>0</v>
      </c>
      <c r="BV200" s="272">
        <v>559</v>
      </c>
      <c r="BW200" s="8">
        <v>99.2864</v>
      </c>
      <c r="BX200" s="8">
        <v>100.405</v>
      </c>
      <c r="CC200" s="8">
        <v>1</v>
      </c>
    </row>
    <row r="201" hidden="1" spans="8:81">
      <c r="H201" s="8">
        <v>560</v>
      </c>
      <c r="I201" s="261"/>
      <c r="J201" s="261"/>
      <c r="K201" s="261"/>
      <c r="L201" s="261"/>
      <c r="M201" s="261"/>
      <c r="N201" s="261"/>
      <c r="O201" s="261"/>
      <c r="P201" s="261"/>
      <c r="Q201" s="261"/>
      <c r="R201" s="261"/>
      <c r="S201" s="261">
        <v>2.83019473512542</v>
      </c>
      <c r="T201" s="261"/>
      <c r="V201" s="8">
        <v>560</v>
      </c>
      <c r="W201" s="261"/>
      <c r="X201" s="261"/>
      <c r="Y201" s="261"/>
      <c r="Z201" s="261"/>
      <c r="AA201" s="261"/>
      <c r="AB201" s="261"/>
      <c r="AC201" s="261"/>
      <c r="AD201" s="261"/>
      <c r="AF201" s="8">
        <v>560</v>
      </c>
      <c r="AG201" s="261"/>
      <c r="AH201" s="261"/>
      <c r="AI201" s="261"/>
      <c r="AJ201" s="261"/>
      <c r="AK201" s="261"/>
      <c r="AL201" s="261"/>
      <c r="AM201" s="261"/>
      <c r="AO201" s="12">
        <v>560</v>
      </c>
      <c r="AP201" s="264"/>
      <c r="AQ201" s="264"/>
      <c r="AR201" s="264">
        <v>15.0778388685142</v>
      </c>
      <c r="AS201" s="264"/>
      <c r="AT201" s="264"/>
      <c r="AU201" s="264"/>
      <c r="AV201" s="264"/>
      <c r="AW201" s="264"/>
      <c r="AX201" s="264"/>
      <c r="BP201" s="272">
        <f>Inputs!B204</f>
        <v>560</v>
      </c>
      <c r="BQ201" s="272">
        <f>IF(LEFT(Inputs!$C$11,6)="photon",10^Inputs!C204,Inputs!C204)</f>
        <v>11.4168561107643</v>
      </c>
      <c r="BR201" s="272"/>
      <c r="BS201" s="272">
        <f>'Advanced Inputs'!I206</f>
        <v>560</v>
      </c>
      <c r="BT201" s="272">
        <f>IF('Advanced Inputs'!J$19="Photon system",10^'Advanced Inputs'!J206,'Advanced Inputs'!J206)</f>
        <v>0</v>
      </c>
      <c r="BV201" s="272">
        <v>560</v>
      </c>
      <c r="BW201" s="8">
        <v>100</v>
      </c>
      <c r="BX201" s="8">
        <v>100</v>
      </c>
      <c r="CC201" s="8">
        <v>1</v>
      </c>
    </row>
    <row r="202" hidden="1" spans="8:81">
      <c r="H202" s="8">
        <v>561</v>
      </c>
      <c r="I202" s="261"/>
      <c r="J202" s="261"/>
      <c r="K202" s="261"/>
      <c r="L202" s="261"/>
      <c r="M202" s="261"/>
      <c r="N202" s="261"/>
      <c r="O202" s="261"/>
      <c r="P202" s="261"/>
      <c r="Q202" s="261"/>
      <c r="R202" s="261"/>
      <c r="S202" s="261">
        <v>2.63430038144609</v>
      </c>
      <c r="T202" s="261"/>
      <c r="V202" s="8">
        <v>561</v>
      </c>
      <c r="W202" s="261"/>
      <c r="X202" s="261"/>
      <c r="Y202" s="261"/>
      <c r="Z202" s="261"/>
      <c r="AA202" s="261"/>
      <c r="AB202" s="261"/>
      <c r="AC202" s="261"/>
      <c r="AD202" s="261"/>
      <c r="AF202" s="8">
        <v>561</v>
      </c>
      <c r="AG202" s="261"/>
      <c r="AH202" s="261"/>
      <c r="AI202" s="261"/>
      <c r="AJ202" s="261"/>
      <c r="AK202" s="261"/>
      <c r="AL202" s="261"/>
      <c r="AM202" s="261"/>
      <c r="AO202" s="12">
        <v>561</v>
      </c>
      <c r="AP202" s="264"/>
      <c r="AQ202" s="264"/>
      <c r="AR202" s="264">
        <v>15.1505915511633</v>
      </c>
      <c r="AS202" s="264"/>
      <c r="AT202" s="264"/>
      <c r="AU202" s="264"/>
      <c r="AV202" s="264"/>
      <c r="AW202" s="264"/>
      <c r="AX202" s="264"/>
      <c r="BP202" s="272">
        <f>Inputs!B205</f>
        <v>561</v>
      </c>
      <c r="BQ202" s="272">
        <f>IF(LEFT(Inputs!$C$11,6)="photon",10^Inputs!C205,Inputs!C205)</f>
        <v>11.4158236887765</v>
      </c>
      <c r="BR202" s="272"/>
      <c r="BS202" s="272">
        <f>'Advanced Inputs'!I207</f>
        <v>561</v>
      </c>
      <c r="BT202" s="272">
        <f>IF('Advanced Inputs'!J$19="Photon system",10^'Advanced Inputs'!J207,'Advanced Inputs'!J207)</f>
        <v>0</v>
      </c>
      <c r="BV202" s="272">
        <v>561</v>
      </c>
      <c r="BW202" s="8">
        <v>100.715</v>
      </c>
      <c r="BX202" s="8">
        <v>99.6334</v>
      </c>
      <c r="CC202" s="8">
        <v>1</v>
      </c>
    </row>
    <row r="203" hidden="1" spans="8:81">
      <c r="H203" s="8">
        <v>562</v>
      </c>
      <c r="I203" s="261"/>
      <c r="J203" s="261"/>
      <c r="K203" s="261"/>
      <c r="L203" s="261"/>
      <c r="M203" s="261"/>
      <c r="N203" s="261"/>
      <c r="O203" s="261"/>
      <c r="P203" s="261"/>
      <c r="Q203" s="261"/>
      <c r="R203" s="261"/>
      <c r="S203" s="261">
        <v>2.44531240251281</v>
      </c>
      <c r="T203" s="261"/>
      <c r="V203" s="8">
        <v>562</v>
      </c>
      <c r="W203" s="261"/>
      <c r="X203" s="261"/>
      <c r="Y203" s="261"/>
      <c r="Z203" s="261"/>
      <c r="AA203" s="261"/>
      <c r="AB203" s="261"/>
      <c r="AC203" s="261"/>
      <c r="AD203" s="261"/>
      <c r="AF203" s="8">
        <v>562</v>
      </c>
      <c r="AG203" s="261"/>
      <c r="AH203" s="261"/>
      <c r="AI203" s="261"/>
      <c r="AJ203" s="261"/>
      <c r="AK203" s="261"/>
      <c r="AL203" s="261"/>
      <c r="AM203" s="261"/>
      <c r="AO203" s="12">
        <v>562</v>
      </c>
      <c r="AP203" s="264"/>
      <c r="AQ203" s="264"/>
      <c r="AR203" s="264">
        <v>15.22032152639</v>
      </c>
      <c r="AS203" s="264"/>
      <c r="AT203" s="264"/>
      <c r="AU203" s="264"/>
      <c r="AV203" s="264"/>
      <c r="AW203" s="264"/>
      <c r="AX203" s="264"/>
      <c r="BP203" s="272">
        <f>Inputs!B206</f>
        <v>562</v>
      </c>
      <c r="BQ203" s="272">
        <f>IF(LEFT(Inputs!$C$11,6)="photon",10^Inputs!C206,Inputs!C206)</f>
        <v>11.4302421805984</v>
      </c>
      <c r="BR203" s="272"/>
      <c r="BS203" s="272">
        <f>'Advanced Inputs'!I208</f>
        <v>562</v>
      </c>
      <c r="BT203" s="272">
        <f>IF('Advanced Inputs'!J$19="Photon system",10^'Advanced Inputs'!J208,'Advanced Inputs'!J208)</f>
        <v>0</v>
      </c>
      <c r="BV203" s="272">
        <v>562</v>
      </c>
      <c r="BW203" s="8">
        <v>101.43</v>
      </c>
      <c r="BX203" s="8">
        <v>99.2668</v>
      </c>
      <c r="CC203" s="8">
        <v>1</v>
      </c>
    </row>
    <row r="204" hidden="1" spans="8:81">
      <c r="H204" s="8">
        <v>563</v>
      </c>
      <c r="I204" s="261"/>
      <c r="J204" s="261"/>
      <c r="K204" s="261"/>
      <c r="L204" s="261"/>
      <c r="M204" s="261"/>
      <c r="N204" s="261"/>
      <c r="O204" s="261"/>
      <c r="P204" s="261"/>
      <c r="Q204" s="261"/>
      <c r="R204" s="261"/>
      <c r="S204" s="261">
        <v>2.26719739179563</v>
      </c>
      <c r="T204" s="261"/>
      <c r="V204" s="8">
        <v>563</v>
      </c>
      <c r="W204" s="261"/>
      <c r="X204" s="261"/>
      <c r="Y204" s="261"/>
      <c r="Z204" s="261"/>
      <c r="AA204" s="261"/>
      <c r="AB204" s="261"/>
      <c r="AC204" s="261"/>
      <c r="AD204" s="261"/>
      <c r="AF204" s="8">
        <v>563</v>
      </c>
      <c r="AG204" s="261"/>
      <c r="AH204" s="261"/>
      <c r="AI204" s="261"/>
      <c r="AJ204" s="261"/>
      <c r="AK204" s="261"/>
      <c r="AL204" s="261"/>
      <c r="AM204" s="261"/>
      <c r="AO204" s="12">
        <v>563</v>
      </c>
      <c r="AP204" s="264"/>
      <c r="AQ204" s="264"/>
      <c r="AR204" s="264">
        <v>15.2881925328971</v>
      </c>
      <c r="AS204" s="264"/>
      <c r="AT204" s="264"/>
      <c r="AU204" s="264"/>
      <c r="AV204" s="264"/>
      <c r="AW204" s="264"/>
      <c r="AX204" s="264"/>
      <c r="BP204" s="272">
        <f>Inputs!B207</f>
        <v>563</v>
      </c>
      <c r="BQ204" s="272">
        <f>IF(LEFT(Inputs!$C$11,6)="photon",10^Inputs!C207,Inputs!C207)</f>
        <v>11.4273589607069</v>
      </c>
      <c r="BR204" s="272"/>
      <c r="BS204" s="272">
        <f>'Advanced Inputs'!I209</f>
        <v>563</v>
      </c>
      <c r="BT204" s="272">
        <f>IF('Advanced Inputs'!J$19="Photon system",10^'Advanced Inputs'!J209,'Advanced Inputs'!J209)</f>
        <v>0</v>
      </c>
      <c r="BV204" s="272">
        <v>563</v>
      </c>
      <c r="BW204" s="8">
        <v>102.146</v>
      </c>
      <c r="BX204" s="8">
        <v>98.9003</v>
      </c>
      <c r="CC204" s="8">
        <v>1</v>
      </c>
    </row>
    <row r="205" hidden="1" spans="8:81">
      <c r="H205" s="8">
        <v>564</v>
      </c>
      <c r="I205" s="261"/>
      <c r="J205" s="261"/>
      <c r="K205" s="261"/>
      <c r="L205" s="261"/>
      <c r="M205" s="261"/>
      <c r="N205" s="261"/>
      <c r="O205" s="261"/>
      <c r="P205" s="261"/>
      <c r="Q205" s="261"/>
      <c r="R205" s="261"/>
      <c r="S205" s="261">
        <v>2.10405561855492</v>
      </c>
      <c r="T205" s="261"/>
      <c r="V205" s="8">
        <v>564</v>
      </c>
      <c r="W205" s="261"/>
      <c r="X205" s="261"/>
      <c r="Y205" s="261"/>
      <c r="Z205" s="261"/>
      <c r="AA205" s="261"/>
      <c r="AB205" s="261"/>
      <c r="AC205" s="261"/>
      <c r="AD205" s="261"/>
      <c r="AF205" s="8">
        <v>564</v>
      </c>
      <c r="AG205" s="261"/>
      <c r="AH205" s="261"/>
      <c r="AI205" s="261"/>
      <c r="AJ205" s="261"/>
      <c r="AK205" s="261"/>
      <c r="AL205" s="261"/>
      <c r="AM205" s="261"/>
      <c r="AO205" s="12">
        <v>564</v>
      </c>
      <c r="AP205" s="264"/>
      <c r="AQ205" s="264"/>
      <c r="AR205" s="264">
        <v>15.3552381419478</v>
      </c>
      <c r="AS205" s="264"/>
      <c r="AT205" s="264"/>
      <c r="AU205" s="264"/>
      <c r="AV205" s="264"/>
      <c r="AW205" s="264"/>
      <c r="AX205" s="264"/>
      <c r="BP205" s="272">
        <f>Inputs!B208</f>
        <v>564</v>
      </c>
      <c r="BQ205" s="272">
        <f>IF(LEFT(Inputs!$C$11,6)="photon",10^Inputs!C208,Inputs!C208)</f>
        <v>11.4665990604114</v>
      </c>
      <c r="BR205" s="272"/>
      <c r="BS205" s="272">
        <f>'Advanced Inputs'!I210</f>
        <v>564</v>
      </c>
      <c r="BT205" s="272">
        <f>IF('Advanced Inputs'!J$19="Photon system",10^'Advanced Inputs'!J210,'Advanced Inputs'!J210)</f>
        <v>0</v>
      </c>
      <c r="BV205" s="272">
        <v>564</v>
      </c>
      <c r="BW205" s="8">
        <v>102.864</v>
      </c>
      <c r="BX205" s="8">
        <v>98.5337</v>
      </c>
      <c r="CC205" s="8">
        <v>1</v>
      </c>
    </row>
    <row r="206" hidden="1" spans="8:81">
      <c r="H206" s="8">
        <v>565</v>
      </c>
      <c r="I206" s="261"/>
      <c r="J206" s="261"/>
      <c r="K206" s="261"/>
      <c r="L206" s="261"/>
      <c r="M206" s="261"/>
      <c r="N206" s="261"/>
      <c r="O206" s="261"/>
      <c r="P206" s="261"/>
      <c r="Q206" s="261"/>
      <c r="R206" s="261"/>
      <c r="S206" s="261">
        <v>1.96000000009957</v>
      </c>
      <c r="T206" s="261"/>
      <c r="V206" s="8">
        <v>565</v>
      </c>
      <c r="W206" s="261"/>
      <c r="X206" s="261"/>
      <c r="Y206" s="261"/>
      <c r="Z206" s="261"/>
      <c r="AA206" s="261"/>
      <c r="AB206" s="261"/>
      <c r="AC206" s="261"/>
      <c r="AD206" s="261"/>
      <c r="AF206" s="8">
        <v>565</v>
      </c>
      <c r="AG206" s="261"/>
      <c r="AH206" s="261"/>
      <c r="AI206" s="261"/>
      <c r="AJ206" s="261"/>
      <c r="AK206" s="261"/>
      <c r="AL206" s="261"/>
      <c r="AM206" s="261"/>
      <c r="AO206" s="12">
        <v>565</v>
      </c>
      <c r="AP206" s="264"/>
      <c r="AQ206" s="264"/>
      <c r="AR206" s="264">
        <v>15.421503302301</v>
      </c>
      <c r="AS206" s="264"/>
      <c r="AT206" s="264"/>
      <c r="AU206" s="264"/>
      <c r="AV206" s="264"/>
      <c r="AW206" s="264"/>
      <c r="AX206" s="264"/>
      <c r="BP206" s="272">
        <f>Inputs!B209</f>
        <v>565</v>
      </c>
      <c r="BQ206" s="272">
        <f>IF(LEFT(Inputs!$C$11,6)="photon",10^Inputs!C209,Inputs!C209)</f>
        <v>11.4845386828442</v>
      </c>
      <c r="BR206" s="272"/>
      <c r="BS206" s="272">
        <f>'Advanced Inputs'!I211</f>
        <v>565</v>
      </c>
      <c r="BT206" s="272">
        <f>IF('Advanced Inputs'!J$19="Photon system",10^'Advanced Inputs'!J211,'Advanced Inputs'!J211)</f>
        <v>0</v>
      </c>
      <c r="BV206" s="272">
        <v>565</v>
      </c>
      <c r="BW206" s="8">
        <v>103.582</v>
      </c>
      <c r="BX206" s="8">
        <v>98.1671</v>
      </c>
      <c r="CC206" s="8">
        <v>1</v>
      </c>
    </row>
    <row r="207" hidden="1" spans="8:81">
      <c r="H207" s="8">
        <v>566</v>
      </c>
      <c r="I207" s="261"/>
      <c r="J207" s="261"/>
      <c r="K207" s="261"/>
      <c r="L207" s="261"/>
      <c r="M207" s="261"/>
      <c r="N207" s="261"/>
      <c r="O207" s="261"/>
      <c r="P207" s="261"/>
      <c r="Q207" s="261"/>
      <c r="R207" s="261"/>
      <c r="S207" s="261">
        <v>1.83354062500293</v>
      </c>
      <c r="T207" s="261"/>
      <c r="V207" s="8">
        <v>566</v>
      </c>
      <c r="W207" s="261"/>
      <c r="X207" s="261"/>
      <c r="Y207" s="261"/>
      <c r="Z207" s="261"/>
      <c r="AA207" s="261"/>
      <c r="AB207" s="261"/>
      <c r="AC207" s="261"/>
      <c r="AD207" s="261"/>
      <c r="AF207" s="8">
        <v>566</v>
      </c>
      <c r="AG207" s="261"/>
      <c r="AH207" s="261"/>
      <c r="AI207" s="261"/>
      <c r="AJ207" s="261"/>
      <c r="AK207" s="261"/>
      <c r="AL207" s="261"/>
      <c r="AM207" s="261"/>
      <c r="AO207" s="12">
        <v>566</v>
      </c>
      <c r="AP207" s="264"/>
      <c r="AQ207" s="264"/>
      <c r="AR207" s="264">
        <v>15.4861554827783</v>
      </c>
      <c r="AS207" s="264"/>
      <c r="AT207" s="264"/>
      <c r="AU207" s="264"/>
      <c r="AV207" s="264"/>
      <c r="AW207" s="264"/>
      <c r="AX207" s="264"/>
      <c r="BP207" s="272">
        <f>Inputs!B210</f>
        <v>566</v>
      </c>
      <c r="BQ207" s="272">
        <f>IF(LEFT(Inputs!$C$11,6)="photon",10^Inputs!C210,Inputs!C210)</f>
        <v>11.4960407996086</v>
      </c>
      <c r="BR207" s="272"/>
      <c r="BS207" s="272">
        <f>'Advanced Inputs'!I212</f>
        <v>566</v>
      </c>
      <c r="BT207" s="272">
        <f>IF('Advanced Inputs'!J$19="Photon system",10^'Advanced Inputs'!J212,'Advanced Inputs'!J212)</f>
        <v>0</v>
      </c>
      <c r="BV207" s="272">
        <v>566</v>
      </c>
      <c r="BW207" s="8">
        <v>104.301</v>
      </c>
      <c r="BX207" s="8">
        <v>97.8005</v>
      </c>
      <c r="CC207" s="8">
        <v>1</v>
      </c>
    </row>
    <row r="208" hidden="1" spans="8:81">
      <c r="H208" s="8">
        <v>567</v>
      </c>
      <c r="I208" s="261"/>
      <c r="J208" s="261"/>
      <c r="K208" s="261"/>
      <c r="L208" s="261"/>
      <c r="M208" s="261"/>
      <c r="N208" s="261"/>
      <c r="O208" s="261"/>
      <c r="P208" s="261"/>
      <c r="Q208" s="261"/>
      <c r="R208" s="261"/>
      <c r="S208" s="261">
        <v>1.73579609375008</v>
      </c>
      <c r="T208" s="261"/>
      <c r="V208" s="8">
        <v>567</v>
      </c>
      <c r="W208" s="261"/>
      <c r="X208" s="261"/>
      <c r="Y208" s="261"/>
      <c r="Z208" s="261"/>
      <c r="AA208" s="261"/>
      <c r="AB208" s="261"/>
      <c r="AC208" s="261"/>
      <c r="AD208" s="261"/>
      <c r="AF208" s="8">
        <v>567</v>
      </c>
      <c r="AG208" s="261"/>
      <c r="AH208" s="261"/>
      <c r="AI208" s="261"/>
      <c r="AJ208" s="261"/>
      <c r="AK208" s="261"/>
      <c r="AL208" s="261"/>
      <c r="AM208" s="261"/>
      <c r="AO208" s="12">
        <v>567</v>
      </c>
      <c r="AP208" s="264"/>
      <c r="AQ208" s="264"/>
      <c r="AR208" s="264">
        <v>15.5481198032174</v>
      </c>
      <c r="AS208" s="264"/>
      <c r="AT208" s="264"/>
      <c r="AU208" s="264"/>
      <c r="AV208" s="264"/>
      <c r="AW208" s="264"/>
      <c r="AX208" s="264"/>
      <c r="BP208" s="272">
        <f>Inputs!B211</f>
        <v>567</v>
      </c>
      <c r="BQ208" s="272">
        <f>IF(LEFT(Inputs!$C$11,6)="photon",10^Inputs!C211,Inputs!C211)</f>
        <v>11.5214228320127</v>
      </c>
      <c r="BR208" s="272"/>
      <c r="BS208" s="272">
        <f>'Advanced Inputs'!I213</f>
        <v>567</v>
      </c>
      <c r="BT208" s="272">
        <f>IF('Advanced Inputs'!J$19="Photon system",10^'Advanced Inputs'!J213,'Advanced Inputs'!J213)</f>
        <v>0</v>
      </c>
      <c r="BV208" s="272">
        <v>567</v>
      </c>
      <c r="BW208" s="8">
        <v>105.02</v>
      </c>
      <c r="BX208" s="8">
        <v>97.4339</v>
      </c>
      <c r="CC208" s="8">
        <v>1</v>
      </c>
    </row>
    <row r="209" hidden="1" spans="8:81">
      <c r="H209" s="8">
        <v>568</v>
      </c>
      <c r="I209" s="261"/>
      <c r="J209" s="261"/>
      <c r="K209" s="261"/>
      <c r="L209" s="261"/>
      <c r="M209" s="261"/>
      <c r="N209" s="261"/>
      <c r="O209" s="261"/>
      <c r="P209" s="261"/>
      <c r="Q209" s="261"/>
      <c r="R209" s="261"/>
      <c r="S209" s="261">
        <v>1.67228125</v>
      </c>
      <c r="T209" s="261"/>
      <c r="V209" s="8">
        <v>568</v>
      </c>
      <c r="W209" s="261"/>
      <c r="X209" s="261"/>
      <c r="Y209" s="261"/>
      <c r="Z209" s="261"/>
      <c r="AA209" s="261"/>
      <c r="AB209" s="261"/>
      <c r="AC209" s="261"/>
      <c r="AD209" s="261"/>
      <c r="AF209" s="8">
        <v>568</v>
      </c>
      <c r="AG209" s="261"/>
      <c r="AH209" s="261"/>
      <c r="AI209" s="261"/>
      <c r="AJ209" s="261"/>
      <c r="AK209" s="261"/>
      <c r="AL209" s="261"/>
      <c r="AM209" s="261"/>
      <c r="AO209" s="12">
        <v>568</v>
      </c>
      <c r="AP209" s="264"/>
      <c r="AQ209" s="264"/>
      <c r="AR209" s="264">
        <v>15.6067761823635</v>
      </c>
      <c r="AS209" s="264"/>
      <c r="AT209" s="264"/>
      <c r="AU209" s="264"/>
      <c r="AV209" s="264"/>
      <c r="AW209" s="264"/>
      <c r="AX209" s="264"/>
      <c r="BP209" s="272">
        <f>Inputs!B212</f>
        <v>568</v>
      </c>
      <c r="BQ209" s="272">
        <f>IF(LEFT(Inputs!$C$11,6)="photon",10^Inputs!C212,Inputs!C212)</f>
        <v>11.5666436496985</v>
      </c>
      <c r="BR209" s="272"/>
      <c r="BS209" s="272">
        <f>'Advanced Inputs'!I214</f>
        <v>568</v>
      </c>
      <c r="BT209" s="272">
        <f>IF('Advanced Inputs'!J$19="Photon system",10^'Advanced Inputs'!J214,'Advanced Inputs'!J214)</f>
        <v>0</v>
      </c>
      <c r="BV209" s="272">
        <v>568</v>
      </c>
      <c r="BW209" s="8">
        <v>105.741</v>
      </c>
      <c r="BX209" s="8">
        <v>97.0674</v>
      </c>
      <c r="CC209" s="8">
        <v>1</v>
      </c>
    </row>
    <row r="210" hidden="1" spans="8:81">
      <c r="H210" s="8">
        <v>569</v>
      </c>
      <c r="I210" s="261"/>
      <c r="J210" s="261"/>
      <c r="K210" s="261"/>
      <c r="L210" s="261"/>
      <c r="M210" s="261"/>
      <c r="N210" s="261"/>
      <c r="O210" s="261"/>
      <c r="P210" s="261"/>
      <c r="Q210" s="261"/>
      <c r="R210" s="261"/>
      <c r="S210" s="261">
        <v>1.6485109375</v>
      </c>
      <c r="T210" s="261"/>
      <c r="V210" s="8">
        <v>569</v>
      </c>
      <c r="W210" s="261"/>
      <c r="X210" s="261"/>
      <c r="Y210" s="261"/>
      <c r="Z210" s="261"/>
      <c r="AA210" s="261"/>
      <c r="AB210" s="261"/>
      <c r="AC210" s="261"/>
      <c r="AD210" s="261"/>
      <c r="AF210" s="8">
        <v>569</v>
      </c>
      <c r="AG210" s="261"/>
      <c r="AH210" s="261"/>
      <c r="AI210" s="261"/>
      <c r="AJ210" s="261"/>
      <c r="AK210" s="261"/>
      <c r="AL210" s="261"/>
      <c r="AM210" s="261"/>
      <c r="AO210" s="12">
        <v>569</v>
      </c>
      <c r="AP210" s="264"/>
      <c r="AQ210" s="264"/>
      <c r="AR210" s="264">
        <v>15.6624435120792</v>
      </c>
      <c r="AS210" s="264"/>
      <c r="AT210" s="264"/>
      <c r="AU210" s="264"/>
      <c r="AV210" s="264"/>
      <c r="AW210" s="264"/>
      <c r="AX210" s="264"/>
      <c r="BP210" s="272">
        <f>Inputs!B213</f>
        <v>569</v>
      </c>
      <c r="BQ210" s="272">
        <f>IF(LEFT(Inputs!$C$11,6)="photon",10^Inputs!C213,Inputs!C213)</f>
        <v>11.5898042459502</v>
      </c>
      <c r="BR210" s="272"/>
      <c r="BS210" s="272">
        <f>'Advanced Inputs'!I215</f>
        <v>569</v>
      </c>
      <c r="BT210" s="272">
        <f>IF('Advanced Inputs'!J$19="Photon system",10^'Advanced Inputs'!J215,'Advanced Inputs'!J215)</f>
        <v>0</v>
      </c>
      <c r="BV210" s="272">
        <v>569</v>
      </c>
      <c r="BW210" s="8">
        <v>106.462</v>
      </c>
      <c r="BX210" s="8">
        <v>96.7008</v>
      </c>
      <c r="CC210" s="8">
        <v>1</v>
      </c>
    </row>
    <row r="211" hidden="1" spans="8:81">
      <c r="H211" s="8">
        <v>570</v>
      </c>
      <c r="I211" s="261"/>
      <c r="J211" s="261"/>
      <c r="K211" s="261"/>
      <c r="L211" s="261"/>
      <c r="M211" s="261"/>
      <c r="N211" s="261"/>
      <c r="O211" s="261"/>
      <c r="P211" s="261"/>
      <c r="Q211" s="261"/>
      <c r="R211" s="261"/>
      <c r="S211" s="261">
        <v>1.67</v>
      </c>
      <c r="T211" s="261"/>
      <c r="V211" s="8">
        <v>570</v>
      </c>
      <c r="W211" s="261"/>
      <c r="X211" s="261"/>
      <c r="Y211" s="261"/>
      <c r="Z211" s="261"/>
      <c r="AA211" s="261"/>
      <c r="AB211" s="261"/>
      <c r="AC211" s="261"/>
      <c r="AD211" s="261"/>
      <c r="AF211" s="8">
        <v>570</v>
      </c>
      <c r="AG211" s="261"/>
      <c r="AH211" s="261"/>
      <c r="AI211" s="261"/>
      <c r="AJ211" s="261"/>
      <c r="AK211" s="261"/>
      <c r="AL211" s="261"/>
      <c r="AM211" s="261"/>
      <c r="AO211" s="12">
        <v>570</v>
      </c>
      <c r="AP211" s="264"/>
      <c r="AQ211" s="264"/>
      <c r="AR211" s="264">
        <v>15.7162265686535</v>
      </c>
      <c r="AS211" s="264"/>
      <c r="AT211" s="264"/>
      <c r="AU211" s="264"/>
      <c r="AV211" s="264"/>
      <c r="AW211" s="264"/>
      <c r="AX211" s="264"/>
      <c r="BP211" s="272">
        <f>Inputs!B214</f>
        <v>570</v>
      </c>
      <c r="BQ211" s="272">
        <f>IF(LEFT(Inputs!$C$11,6)="photon",10^Inputs!C214,Inputs!C214)</f>
        <v>11.6154706530618</v>
      </c>
      <c r="BR211" s="272"/>
      <c r="BS211" s="272">
        <f>'Advanced Inputs'!I216</f>
        <v>570</v>
      </c>
      <c r="BT211" s="272">
        <f>IF('Advanced Inputs'!J$19="Photon system",10^'Advanced Inputs'!J216,'Advanced Inputs'!J216)</f>
        <v>0</v>
      </c>
      <c r="BV211" s="272">
        <v>570</v>
      </c>
      <c r="BW211" s="8">
        <v>107.184</v>
      </c>
      <c r="BX211" s="8">
        <v>96.3342</v>
      </c>
      <c r="CC211" s="8">
        <v>1</v>
      </c>
    </row>
    <row r="212" hidden="1" spans="8:81">
      <c r="H212" s="8">
        <v>571</v>
      </c>
      <c r="I212" s="261"/>
      <c r="J212" s="261"/>
      <c r="K212" s="261"/>
      <c r="L212" s="261"/>
      <c r="M212" s="261"/>
      <c r="N212" s="261"/>
      <c r="O212" s="261"/>
      <c r="P212" s="261"/>
      <c r="Q212" s="261"/>
      <c r="R212" s="261"/>
      <c r="S212" s="261">
        <v>1.74848578125</v>
      </c>
      <c r="T212" s="261"/>
      <c r="V212" s="8">
        <v>571</v>
      </c>
      <c r="W212" s="261"/>
      <c r="X212" s="261"/>
      <c r="Y212" s="261"/>
      <c r="Z212" s="261"/>
      <c r="AA212" s="261"/>
      <c r="AB212" s="261"/>
      <c r="AC212" s="261"/>
      <c r="AD212" s="261"/>
      <c r="AF212" s="8">
        <v>571</v>
      </c>
      <c r="AG212" s="261"/>
      <c r="AH212" s="261"/>
      <c r="AI212" s="261"/>
      <c r="AJ212" s="261"/>
      <c r="AK212" s="261"/>
      <c r="AL212" s="261"/>
      <c r="AM212" s="261"/>
      <c r="AO212" s="12">
        <v>571</v>
      </c>
      <c r="AP212" s="264"/>
      <c r="AQ212" s="264"/>
      <c r="AR212" s="264">
        <v>15.769099358765</v>
      </c>
      <c r="AS212" s="264"/>
      <c r="AT212" s="264"/>
      <c r="AU212" s="264"/>
      <c r="AV212" s="264"/>
      <c r="AW212" s="264"/>
      <c r="AX212" s="264"/>
      <c r="BP212" s="272">
        <f>Inputs!B215</f>
        <v>571</v>
      </c>
      <c r="BQ212" s="272">
        <f>IF(LEFT(Inputs!$C$11,6)="photon",10^Inputs!C215,Inputs!C215)</f>
        <v>11.6708462125854</v>
      </c>
      <c r="BR212" s="272"/>
      <c r="BS212" s="272">
        <f>'Advanced Inputs'!I217</f>
        <v>571</v>
      </c>
      <c r="BT212" s="272">
        <f>IF('Advanced Inputs'!J$19="Photon system",10^'Advanced Inputs'!J217,'Advanced Inputs'!J217)</f>
        <v>0</v>
      </c>
      <c r="BV212" s="272">
        <v>571</v>
      </c>
      <c r="BW212" s="8">
        <v>107.906</v>
      </c>
      <c r="BX212" s="8">
        <v>96.2796</v>
      </c>
      <c r="CC212" s="8">
        <v>1</v>
      </c>
    </row>
    <row r="213" hidden="1" spans="8:81">
      <c r="H213" s="8">
        <v>572</v>
      </c>
      <c r="I213" s="261"/>
      <c r="J213" s="261"/>
      <c r="K213" s="261"/>
      <c r="L213" s="261"/>
      <c r="M213" s="261"/>
      <c r="N213" s="261"/>
      <c r="O213" s="261"/>
      <c r="P213" s="261"/>
      <c r="Q213" s="261"/>
      <c r="R213" s="261"/>
      <c r="S213" s="261">
        <v>1.881705</v>
      </c>
      <c r="T213" s="261"/>
      <c r="V213" s="8">
        <v>572</v>
      </c>
      <c r="W213" s="261"/>
      <c r="X213" s="261"/>
      <c r="Y213" s="261"/>
      <c r="Z213" s="261"/>
      <c r="AA213" s="261"/>
      <c r="AB213" s="261"/>
      <c r="AC213" s="261"/>
      <c r="AD213" s="261"/>
      <c r="AF213" s="8">
        <v>572</v>
      </c>
      <c r="AG213" s="261"/>
      <c r="AH213" s="261"/>
      <c r="AI213" s="261"/>
      <c r="AJ213" s="261"/>
      <c r="AK213" s="261"/>
      <c r="AL213" s="261"/>
      <c r="AM213" s="261"/>
      <c r="AO213" s="12">
        <v>572</v>
      </c>
      <c r="AP213" s="264"/>
      <c r="AQ213" s="264"/>
      <c r="AR213" s="264">
        <v>15.8210713075222</v>
      </c>
      <c r="AS213" s="264"/>
      <c r="AT213" s="264"/>
      <c r="AU213" s="264"/>
      <c r="AV213" s="264"/>
      <c r="AW213" s="264"/>
      <c r="AX213" s="264"/>
      <c r="BP213" s="272">
        <f>Inputs!B216</f>
        <v>572</v>
      </c>
      <c r="BQ213" s="272">
        <f>IF(LEFT(Inputs!$C$11,6)="photon",10^Inputs!C216,Inputs!C216)</f>
        <v>11.7218055106327</v>
      </c>
      <c r="BR213" s="272"/>
      <c r="BS213" s="272">
        <f>'Advanced Inputs'!I218</f>
        <v>572</v>
      </c>
      <c r="BT213" s="272">
        <f>IF('Advanced Inputs'!J$19="Photon system",10^'Advanced Inputs'!J218,'Advanced Inputs'!J218)</f>
        <v>0</v>
      </c>
      <c r="BV213" s="272">
        <v>572</v>
      </c>
      <c r="BW213" s="8">
        <v>108.63</v>
      </c>
      <c r="BX213" s="8">
        <v>96.225</v>
      </c>
      <c r="CC213" s="8">
        <v>1</v>
      </c>
    </row>
    <row r="214" hidden="1" spans="8:81">
      <c r="H214" s="8">
        <v>573</v>
      </c>
      <c r="I214" s="261"/>
      <c r="J214" s="261"/>
      <c r="K214" s="261"/>
      <c r="L214" s="261"/>
      <c r="M214" s="261"/>
      <c r="N214" s="261"/>
      <c r="O214" s="261"/>
      <c r="P214" s="261"/>
      <c r="Q214" s="261"/>
      <c r="R214" s="261"/>
      <c r="S214" s="261">
        <v>2.073616875</v>
      </c>
      <c r="T214" s="261"/>
      <c r="V214" s="8">
        <v>573</v>
      </c>
      <c r="W214" s="261"/>
      <c r="X214" s="261"/>
      <c r="Y214" s="261"/>
      <c r="Z214" s="261"/>
      <c r="AA214" s="261"/>
      <c r="AB214" s="261"/>
      <c r="AC214" s="261"/>
      <c r="AD214" s="261"/>
      <c r="AF214" s="8">
        <v>573</v>
      </c>
      <c r="AG214" s="261"/>
      <c r="AH214" s="261"/>
      <c r="AI214" s="261"/>
      <c r="AJ214" s="261"/>
      <c r="AK214" s="261"/>
      <c r="AL214" s="261"/>
      <c r="AM214" s="261"/>
      <c r="AO214" s="12">
        <v>573</v>
      </c>
      <c r="AP214" s="264"/>
      <c r="AQ214" s="264"/>
      <c r="AR214" s="264">
        <v>15.8714661815315</v>
      </c>
      <c r="AS214" s="264"/>
      <c r="AT214" s="264"/>
      <c r="AU214" s="264"/>
      <c r="AV214" s="264"/>
      <c r="AW214" s="264"/>
      <c r="AX214" s="264"/>
      <c r="BP214" s="272">
        <f>Inputs!B217</f>
        <v>573</v>
      </c>
      <c r="BQ214" s="272">
        <f>IF(LEFT(Inputs!$C$11,6)="photon",10^Inputs!C217,Inputs!C217)</f>
        <v>11.7675564800164</v>
      </c>
      <c r="BR214" s="272"/>
      <c r="BS214" s="272">
        <f>'Advanced Inputs'!I219</f>
        <v>573</v>
      </c>
      <c r="BT214" s="272">
        <f>IF('Advanced Inputs'!J$19="Photon system",10^'Advanced Inputs'!J219,'Advanced Inputs'!J219)</f>
        <v>0</v>
      </c>
      <c r="BV214" s="272">
        <v>573</v>
      </c>
      <c r="BW214" s="8">
        <v>109.354</v>
      </c>
      <c r="BX214" s="8">
        <v>96.1703</v>
      </c>
      <c r="CC214" s="8">
        <v>1</v>
      </c>
    </row>
    <row r="215" hidden="1" spans="8:81">
      <c r="H215" s="8">
        <v>574</v>
      </c>
      <c r="I215" s="261"/>
      <c r="J215" s="261"/>
      <c r="K215" s="261"/>
      <c r="L215" s="261"/>
      <c r="M215" s="261"/>
      <c r="N215" s="261"/>
      <c r="O215" s="261"/>
      <c r="P215" s="261"/>
      <c r="Q215" s="261"/>
      <c r="R215" s="261"/>
      <c r="S215" s="261">
        <v>2.328180625</v>
      </c>
      <c r="T215" s="261"/>
      <c r="V215" s="8">
        <v>574</v>
      </c>
      <c r="W215" s="261"/>
      <c r="X215" s="261"/>
      <c r="Y215" s="261"/>
      <c r="Z215" s="261"/>
      <c r="AA215" s="261"/>
      <c r="AB215" s="261"/>
      <c r="AC215" s="261"/>
      <c r="AD215" s="261"/>
      <c r="AF215" s="8">
        <v>574</v>
      </c>
      <c r="AG215" s="261"/>
      <c r="AH215" s="261"/>
      <c r="AI215" s="261"/>
      <c r="AJ215" s="261"/>
      <c r="AK215" s="261"/>
      <c r="AL215" s="261"/>
      <c r="AM215" s="261"/>
      <c r="AO215" s="12">
        <v>574</v>
      </c>
      <c r="AP215" s="264"/>
      <c r="AQ215" s="264"/>
      <c r="AR215" s="264">
        <v>15.9199484774922</v>
      </c>
      <c r="AS215" s="264"/>
      <c r="AT215" s="264"/>
      <c r="AU215" s="264"/>
      <c r="AV215" s="264"/>
      <c r="AW215" s="264"/>
      <c r="AX215" s="264"/>
      <c r="BP215" s="272">
        <f>Inputs!B218</f>
        <v>574</v>
      </c>
      <c r="BQ215" s="272">
        <f>IF(LEFT(Inputs!$C$11,6)="photon",10^Inputs!C218,Inputs!C218)</f>
        <v>11.8287321794608</v>
      </c>
      <c r="BR215" s="272"/>
      <c r="BS215" s="272">
        <f>'Advanced Inputs'!I220</f>
        <v>574</v>
      </c>
      <c r="BT215" s="272">
        <f>IF('Advanced Inputs'!J$19="Photon system",10^'Advanced Inputs'!J220,'Advanced Inputs'!J220)</f>
        <v>0</v>
      </c>
      <c r="BV215" s="272">
        <v>574</v>
      </c>
      <c r="BW215" s="8">
        <v>110.078</v>
      </c>
      <c r="BX215" s="8">
        <v>96.1157</v>
      </c>
      <c r="CC215" s="8">
        <v>1</v>
      </c>
    </row>
    <row r="216" hidden="1" spans="8:81">
      <c r="H216" s="8">
        <v>575</v>
      </c>
      <c r="I216" s="261"/>
      <c r="J216" s="261"/>
      <c r="K216" s="261"/>
      <c r="L216" s="261"/>
      <c r="M216" s="261"/>
      <c r="N216" s="261"/>
      <c r="O216" s="261"/>
      <c r="P216" s="261"/>
      <c r="Q216" s="261"/>
      <c r="R216" s="261"/>
      <c r="S216" s="261">
        <v>2.64935546875</v>
      </c>
      <c r="T216" s="261"/>
      <c r="V216" s="8">
        <v>575</v>
      </c>
      <c r="W216" s="261"/>
      <c r="X216" s="261"/>
      <c r="Y216" s="261"/>
      <c r="Z216" s="261"/>
      <c r="AA216" s="261"/>
      <c r="AB216" s="261"/>
      <c r="AC216" s="261"/>
      <c r="AD216" s="261"/>
      <c r="AF216" s="8">
        <v>575</v>
      </c>
      <c r="AG216" s="261"/>
      <c r="AH216" s="261"/>
      <c r="AI216" s="261"/>
      <c r="AJ216" s="261"/>
      <c r="AK216" s="261"/>
      <c r="AL216" s="261"/>
      <c r="AM216" s="261"/>
      <c r="AO216" s="12">
        <v>575</v>
      </c>
      <c r="AP216" s="264"/>
      <c r="AQ216" s="264"/>
      <c r="AR216" s="264">
        <v>15.966901430671</v>
      </c>
      <c r="AS216" s="264"/>
      <c r="AT216" s="264"/>
      <c r="AU216" s="264"/>
      <c r="AV216" s="264"/>
      <c r="AW216" s="264"/>
      <c r="AX216" s="264"/>
      <c r="BP216" s="272">
        <f>Inputs!B219</f>
        <v>575</v>
      </c>
      <c r="BQ216" s="272">
        <f>IF(LEFT(Inputs!$C$11,6)="photon",10^Inputs!C219,Inputs!C219)</f>
        <v>11.8856165485057</v>
      </c>
      <c r="BR216" s="272"/>
      <c r="BS216" s="272">
        <f>'Advanced Inputs'!I221</f>
        <v>575</v>
      </c>
      <c r="BT216" s="272">
        <f>IF('Advanced Inputs'!J$19="Photon system",10^'Advanced Inputs'!J221,'Advanced Inputs'!J221)</f>
        <v>0</v>
      </c>
      <c r="BV216" s="272">
        <v>575</v>
      </c>
      <c r="BW216" s="8">
        <v>110.803</v>
      </c>
      <c r="BX216" s="8">
        <v>96.0611</v>
      </c>
      <c r="CC216" s="8">
        <v>1</v>
      </c>
    </row>
    <row r="217" hidden="1" spans="8:81">
      <c r="H217" s="8">
        <v>576</v>
      </c>
      <c r="I217" s="261"/>
      <c r="J217" s="261"/>
      <c r="K217" s="261"/>
      <c r="L217" s="261"/>
      <c r="M217" s="261"/>
      <c r="N217" s="261"/>
      <c r="O217" s="261"/>
      <c r="P217" s="261"/>
      <c r="Q217" s="261"/>
      <c r="R217" s="261"/>
      <c r="S217" s="261">
        <v>4.7429865024803</v>
      </c>
      <c r="T217" s="261"/>
      <c r="V217" s="8">
        <v>576</v>
      </c>
      <c r="W217" s="261"/>
      <c r="X217" s="261"/>
      <c r="Y217" s="261"/>
      <c r="Z217" s="261"/>
      <c r="AA217" s="261"/>
      <c r="AB217" s="261"/>
      <c r="AC217" s="261"/>
      <c r="AD217" s="261"/>
      <c r="AF217" s="8">
        <v>576</v>
      </c>
      <c r="AG217" s="261"/>
      <c r="AH217" s="261"/>
      <c r="AI217" s="261"/>
      <c r="AJ217" s="261"/>
      <c r="AK217" s="261"/>
      <c r="AL217" s="261"/>
      <c r="AM217" s="261"/>
      <c r="AO217" s="12">
        <v>576</v>
      </c>
      <c r="AP217" s="264"/>
      <c r="AQ217" s="264"/>
      <c r="AR217" s="264">
        <v>16.0128175382925</v>
      </c>
      <c r="AS217" s="264"/>
      <c r="AT217" s="264"/>
      <c r="AU217" s="264"/>
      <c r="AV217" s="264"/>
      <c r="AW217" s="264"/>
      <c r="AX217" s="264"/>
      <c r="BP217" s="272">
        <f>Inputs!B220</f>
        <v>576</v>
      </c>
      <c r="BQ217" s="272">
        <f>IF(LEFT(Inputs!$C$11,6)="photon",10^Inputs!C220,Inputs!C220)</f>
        <v>12.0223022684537</v>
      </c>
      <c r="BR217" s="272"/>
      <c r="BS217" s="272">
        <f>'Advanced Inputs'!I222</f>
        <v>576</v>
      </c>
      <c r="BT217" s="272">
        <f>IF('Advanced Inputs'!J$19="Photon system",10^'Advanced Inputs'!J222,'Advanced Inputs'!J222)</f>
        <v>0</v>
      </c>
      <c r="BV217" s="272">
        <v>576</v>
      </c>
      <c r="BW217" s="8">
        <v>111.529</v>
      </c>
      <c r="BX217" s="8">
        <v>96.0065</v>
      </c>
      <c r="CC217" s="8">
        <v>1</v>
      </c>
    </row>
    <row r="218" hidden="1" spans="8:81">
      <c r="H218" s="8">
        <v>577</v>
      </c>
      <c r="I218" s="261"/>
      <c r="J218" s="261"/>
      <c r="K218" s="261"/>
      <c r="L218" s="261"/>
      <c r="M218" s="261"/>
      <c r="N218" s="261"/>
      <c r="O218" s="261"/>
      <c r="P218" s="261"/>
      <c r="Q218" s="261"/>
      <c r="R218" s="261"/>
      <c r="S218" s="261">
        <v>9.11067245089944</v>
      </c>
      <c r="T218" s="261"/>
      <c r="V218" s="8">
        <v>577</v>
      </c>
      <c r="W218" s="261"/>
      <c r="X218" s="261"/>
      <c r="Y218" s="261"/>
      <c r="Z218" s="261"/>
      <c r="AA218" s="261"/>
      <c r="AB218" s="261"/>
      <c r="AC218" s="261"/>
      <c r="AD218" s="261"/>
      <c r="AF218" s="8">
        <v>577</v>
      </c>
      <c r="AG218" s="261"/>
      <c r="AH218" s="261"/>
      <c r="AI218" s="261"/>
      <c r="AJ218" s="261"/>
      <c r="AK218" s="261"/>
      <c r="AL218" s="261"/>
      <c r="AM218" s="261"/>
      <c r="AO218" s="12">
        <v>577</v>
      </c>
      <c r="AP218" s="264"/>
      <c r="AQ218" s="264"/>
      <c r="AR218" s="264">
        <v>16.0577736847286</v>
      </c>
      <c r="AS218" s="264"/>
      <c r="AT218" s="264"/>
      <c r="AU218" s="264"/>
      <c r="AV218" s="264"/>
      <c r="AW218" s="264"/>
      <c r="AX218" s="264"/>
      <c r="BP218" s="272">
        <f>Inputs!B221</f>
        <v>577</v>
      </c>
      <c r="BQ218" s="272">
        <f>IF(LEFT(Inputs!$C$11,6)="photon",10^Inputs!C221,Inputs!C221)</f>
        <v>12.0491466806104</v>
      </c>
      <c r="BR218" s="272"/>
      <c r="BS218" s="272">
        <f>'Advanced Inputs'!I223</f>
        <v>577</v>
      </c>
      <c r="BT218" s="272">
        <f>IF('Advanced Inputs'!J$19="Photon system",10^'Advanced Inputs'!J223,'Advanced Inputs'!J223)</f>
        <v>0</v>
      </c>
      <c r="BV218" s="272">
        <v>577</v>
      </c>
      <c r="BW218" s="8">
        <v>112.255</v>
      </c>
      <c r="BX218" s="8">
        <v>95.9519</v>
      </c>
      <c r="CC218" s="8">
        <v>1</v>
      </c>
    </row>
    <row r="219" hidden="1" spans="8:81">
      <c r="H219" s="8">
        <v>578</v>
      </c>
      <c r="I219" s="261"/>
      <c r="J219" s="261"/>
      <c r="K219" s="261"/>
      <c r="L219" s="261"/>
      <c r="M219" s="261"/>
      <c r="N219" s="261"/>
      <c r="O219" s="261"/>
      <c r="P219" s="261"/>
      <c r="Q219" s="261"/>
      <c r="R219" s="261"/>
      <c r="S219" s="261">
        <v>4.13890000929429</v>
      </c>
      <c r="T219" s="261"/>
      <c r="V219" s="8">
        <v>578</v>
      </c>
      <c r="W219" s="261"/>
      <c r="X219" s="261"/>
      <c r="Y219" s="261"/>
      <c r="Z219" s="261"/>
      <c r="AA219" s="261"/>
      <c r="AB219" s="261"/>
      <c r="AC219" s="261"/>
      <c r="AD219" s="261"/>
      <c r="AF219" s="8">
        <v>578</v>
      </c>
      <c r="AG219" s="261"/>
      <c r="AH219" s="261"/>
      <c r="AI219" s="261"/>
      <c r="AJ219" s="261"/>
      <c r="AK219" s="261"/>
      <c r="AL219" s="261"/>
      <c r="AM219" s="261"/>
      <c r="AO219" s="12">
        <v>578</v>
      </c>
      <c r="AP219" s="264"/>
      <c r="AQ219" s="264"/>
      <c r="AR219" s="264">
        <v>16.1015835929512</v>
      </c>
      <c r="AS219" s="264"/>
      <c r="AT219" s="264"/>
      <c r="AU219" s="264"/>
      <c r="AV219" s="264"/>
      <c r="AW219" s="264"/>
      <c r="AX219" s="264"/>
      <c r="BP219" s="272">
        <f>Inputs!B222</f>
        <v>578</v>
      </c>
      <c r="BQ219" s="272">
        <f>IF(LEFT(Inputs!$C$11,6)="photon",10^Inputs!C222,Inputs!C222)</f>
        <v>12.1253713230888</v>
      </c>
      <c r="BR219" s="272"/>
      <c r="BS219" s="272">
        <f>'Advanced Inputs'!I224</f>
        <v>578</v>
      </c>
      <c r="BT219" s="272">
        <f>IF('Advanced Inputs'!J$19="Photon system",10^'Advanced Inputs'!J224,'Advanced Inputs'!J224)</f>
        <v>0</v>
      </c>
      <c r="BV219" s="272">
        <v>578</v>
      </c>
      <c r="BW219" s="8">
        <v>112.982</v>
      </c>
      <c r="BX219" s="8">
        <v>95.8972</v>
      </c>
      <c r="CC219" s="8">
        <v>1</v>
      </c>
    </row>
    <row r="220" hidden="1" spans="8:81">
      <c r="H220" s="8">
        <v>579</v>
      </c>
      <c r="I220" s="261"/>
      <c r="J220" s="261"/>
      <c r="K220" s="261"/>
      <c r="L220" s="261"/>
      <c r="M220" s="261"/>
      <c r="N220" s="261"/>
      <c r="O220" s="261"/>
      <c r="P220" s="261"/>
      <c r="Q220" s="261"/>
      <c r="R220" s="261"/>
      <c r="S220" s="261">
        <v>26.0204226614418</v>
      </c>
      <c r="T220" s="261"/>
      <c r="V220" s="8">
        <v>579</v>
      </c>
      <c r="W220" s="261"/>
      <c r="X220" s="261"/>
      <c r="Y220" s="261"/>
      <c r="Z220" s="261"/>
      <c r="AA220" s="261"/>
      <c r="AB220" s="261"/>
      <c r="AC220" s="261"/>
      <c r="AD220" s="261"/>
      <c r="AF220" s="8">
        <v>579</v>
      </c>
      <c r="AG220" s="261"/>
      <c r="AH220" s="261"/>
      <c r="AI220" s="261"/>
      <c r="AJ220" s="261"/>
      <c r="AK220" s="261"/>
      <c r="AL220" s="261"/>
      <c r="AM220" s="261"/>
      <c r="AO220" s="12">
        <v>579</v>
      </c>
      <c r="AP220" s="264"/>
      <c r="AQ220" s="264"/>
      <c r="AR220" s="264">
        <v>16.1440070548825</v>
      </c>
      <c r="AS220" s="264"/>
      <c r="AT220" s="264"/>
      <c r="AU220" s="264"/>
      <c r="AV220" s="264"/>
      <c r="AW220" s="264"/>
      <c r="AX220" s="264"/>
      <c r="BP220" s="272">
        <f>Inputs!B223</f>
        <v>579</v>
      </c>
      <c r="BQ220" s="272">
        <f>IF(LEFT(Inputs!$C$11,6)="photon",10^Inputs!C223,Inputs!C223)</f>
        <v>12.2425234868107</v>
      </c>
      <c r="BR220" s="272"/>
      <c r="BS220" s="272">
        <f>'Advanced Inputs'!I225</f>
        <v>579</v>
      </c>
      <c r="BT220" s="272">
        <f>IF('Advanced Inputs'!J$19="Photon system",10^'Advanced Inputs'!J225,'Advanced Inputs'!J225)</f>
        <v>0</v>
      </c>
      <c r="BV220" s="272">
        <v>579</v>
      </c>
      <c r="BW220" s="8">
        <v>113.709</v>
      </c>
      <c r="BX220" s="8">
        <v>95.8426</v>
      </c>
      <c r="CC220" s="8">
        <v>1</v>
      </c>
    </row>
    <row r="221" hidden="1" spans="8:81">
      <c r="H221" s="8">
        <v>580</v>
      </c>
      <c r="I221" s="261"/>
      <c r="J221" s="261"/>
      <c r="K221" s="261"/>
      <c r="L221" s="261"/>
      <c r="M221" s="261"/>
      <c r="N221" s="261"/>
      <c r="O221" s="261"/>
      <c r="P221" s="261"/>
      <c r="Q221" s="261"/>
      <c r="R221" s="261"/>
      <c r="S221" s="261">
        <v>9.74692706374362</v>
      </c>
      <c r="T221" s="261"/>
      <c r="V221" s="8">
        <v>580</v>
      </c>
      <c r="W221" s="261"/>
      <c r="X221" s="261"/>
      <c r="Y221" s="261"/>
      <c r="Z221" s="261"/>
      <c r="AA221" s="261"/>
      <c r="AB221" s="261"/>
      <c r="AC221" s="261"/>
      <c r="AD221" s="261"/>
      <c r="AF221" s="8">
        <v>580</v>
      </c>
      <c r="AG221" s="261"/>
      <c r="AH221" s="261"/>
      <c r="AI221" s="261"/>
      <c r="AJ221" s="261"/>
      <c r="AK221" s="261"/>
      <c r="AL221" s="261"/>
      <c r="AM221" s="261"/>
      <c r="AO221" s="12">
        <v>580</v>
      </c>
      <c r="AP221" s="264"/>
      <c r="AQ221" s="264"/>
      <c r="AR221" s="264">
        <v>16.184642684873</v>
      </c>
      <c r="AS221" s="264"/>
      <c r="AT221" s="264"/>
      <c r="AU221" s="264"/>
      <c r="AV221" s="264"/>
      <c r="AW221" s="264"/>
      <c r="AX221" s="264"/>
      <c r="BP221" s="272">
        <f>Inputs!B224</f>
        <v>580</v>
      </c>
      <c r="BQ221" s="272">
        <f>IF(LEFT(Inputs!$C$11,6)="photon",10^Inputs!C224,Inputs!C224)</f>
        <v>12.3091368260627</v>
      </c>
      <c r="BR221" s="272"/>
      <c r="BS221" s="272">
        <f>'Advanced Inputs'!I226</f>
        <v>580</v>
      </c>
      <c r="BT221" s="272">
        <f>IF('Advanced Inputs'!J$19="Photon system",10^'Advanced Inputs'!J226,'Advanced Inputs'!J226)</f>
        <v>0</v>
      </c>
      <c r="BV221" s="272">
        <v>580</v>
      </c>
      <c r="BW221" s="8">
        <v>114.436</v>
      </c>
      <c r="BX221" s="8">
        <v>95.788</v>
      </c>
      <c r="CC221" s="8">
        <v>1</v>
      </c>
    </row>
    <row r="222" hidden="1" spans="8:81">
      <c r="H222" s="8">
        <v>581</v>
      </c>
      <c r="I222" s="261"/>
      <c r="J222" s="261"/>
      <c r="K222" s="261"/>
      <c r="L222" s="261"/>
      <c r="M222" s="261"/>
      <c r="N222" s="261"/>
      <c r="O222" s="261"/>
      <c r="P222" s="261"/>
      <c r="Q222" s="261"/>
      <c r="R222" s="261"/>
      <c r="S222" s="261">
        <v>6.07765703272714</v>
      </c>
      <c r="T222" s="261"/>
      <c r="V222" s="8">
        <v>581</v>
      </c>
      <c r="W222" s="261"/>
      <c r="X222" s="261"/>
      <c r="Y222" s="261"/>
      <c r="Z222" s="261"/>
      <c r="AA222" s="261"/>
      <c r="AB222" s="261"/>
      <c r="AC222" s="261"/>
      <c r="AD222" s="261"/>
      <c r="AF222" s="8">
        <v>581</v>
      </c>
      <c r="AG222" s="261"/>
      <c r="AH222" s="261"/>
      <c r="AI222" s="261"/>
      <c r="AJ222" s="261"/>
      <c r="AK222" s="261"/>
      <c r="AL222" s="261"/>
      <c r="AM222" s="261"/>
      <c r="AO222" s="12">
        <v>581</v>
      </c>
      <c r="AP222" s="264"/>
      <c r="AQ222" s="264"/>
      <c r="AR222" s="264">
        <v>16.2230967564658</v>
      </c>
      <c r="AS222" s="264"/>
      <c r="AT222" s="264"/>
      <c r="AU222" s="264"/>
      <c r="AV222" s="264"/>
      <c r="AW222" s="264"/>
      <c r="AX222" s="264"/>
      <c r="BP222" s="272">
        <f>Inputs!B225</f>
        <v>581</v>
      </c>
      <c r="BQ222" s="272">
        <f>IF(LEFT(Inputs!$C$11,6)="photon",10^Inputs!C225,Inputs!C225)</f>
        <v>12.3782503170934</v>
      </c>
      <c r="BR222" s="272"/>
      <c r="BS222" s="272">
        <f>'Advanced Inputs'!I227</f>
        <v>581</v>
      </c>
      <c r="BT222" s="272">
        <f>IF('Advanced Inputs'!J$19="Photon system",10^'Advanced Inputs'!J227,'Advanced Inputs'!J227)</f>
        <v>0</v>
      </c>
      <c r="BV222" s="272">
        <v>581</v>
      </c>
      <c r="BW222" s="8">
        <v>115.164</v>
      </c>
      <c r="BX222" s="8">
        <v>95.0778</v>
      </c>
      <c r="CC222" s="8">
        <v>1</v>
      </c>
    </row>
    <row r="223" hidden="1" spans="8:81">
      <c r="H223" s="8">
        <v>582</v>
      </c>
      <c r="I223" s="261"/>
      <c r="J223" s="261"/>
      <c r="K223" s="261"/>
      <c r="L223" s="261"/>
      <c r="M223" s="261"/>
      <c r="N223" s="261"/>
      <c r="O223" s="261"/>
      <c r="P223" s="261"/>
      <c r="Q223" s="261"/>
      <c r="R223" s="261"/>
      <c r="S223" s="261">
        <v>6.79325049848637</v>
      </c>
      <c r="T223" s="261"/>
      <c r="V223" s="8">
        <v>582</v>
      </c>
      <c r="W223" s="261"/>
      <c r="X223" s="261"/>
      <c r="Y223" s="261"/>
      <c r="Z223" s="261"/>
      <c r="AA223" s="261"/>
      <c r="AB223" s="261"/>
      <c r="AC223" s="261"/>
      <c r="AD223" s="261"/>
      <c r="AF223" s="8">
        <v>582</v>
      </c>
      <c r="AG223" s="261"/>
      <c r="AH223" s="261"/>
      <c r="AI223" s="261"/>
      <c r="AJ223" s="261"/>
      <c r="AK223" s="261"/>
      <c r="AL223" s="261"/>
      <c r="AM223" s="261"/>
      <c r="AO223" s="12">
        <v>582</v>
      </c>
      <c r="AP223" s="264"/>
      <c r="AQ223" s="264"/>
      <c r="AR223" s="264">
        <v>16.2596562103097</v>
      </c>
      <c r="AS223" s="264"/>
      <c r="AT223" s="264"/>
      <c r="AU223" s="264"/>
      <c r="AV223" s="264"/>
      <c r="AW223" s="264"/>
      <c r="AX223" s="264"/>
      <c r="BP223" s="272">
        <f>Inputs!B226</f>
        <v>582</v>
      </c>
      <c r="BQ223" s="272">
        <f>IF(LEFT(Inputs!$C$11,6)="photon",10^Inputs!C226,Inputs!C226)</f>
        <v>12.5046416229075</v>
      </c>
      <c r="BR223" s="272"/>
      <c r="BS223" s="272">
        <f>'Advanced Inputs'!I228</f>
        <v>582</v>
      </c>
      <c r="BT223" s="272">
        <f>IF('Advanced Inputs'!J$19="Photon system",10^'Advanced Inputs'!J228,'Advanced Inputs'!J228)</f>
        <v>0</v>
      </c>
      <c r="BV223" s="272">
        <v>582</v>
      </c>
      <c r="BW223" s="8">
        <v>115.893</v>
      </c>
      <c r="BX223" s="8">
        <v>94.3675</v>
      </c>
      <c r="CC223" s="8">
        <v>1</v>
      </c>
    </row>
    <row r="224" hidden="1" spans="8:81">
      <c r="H224" s="8">
        <v>583</v>
      </c>
      <c r="I224" s="261"/>
      <c r="J224" s="261"/>
      <c r="K224" s="261"/>
      <c r="L224" s="261"/>
      <c r="M224" s="261"/>
      <c r="N224" s="261"/>
      <c r="O224" s="261"/>
      <c r="P224" s="261"/>
      <c r="Q224" s="261"/>
      <c r="R224" s="261"/>
      <c r="S224" s="261">
        <v>9.85320666592247</v>
      </c>
      <c r="T224" s="261"/>
      <c r="V224" s="8">
        <v>583</v>
      </c>
      <c r="W224" s="261"/>
      <c r="X224" s="261"/>
      <c r="Y224" s="261"/>
      <c r="Z224" s="261"/>
      <c r="AA224" s="261"/>
      <c r="AB224" s="261"/>
      <c r="AC224" s="261"/>
      <c r="AD224" s="261"/>
      <c r="AF224" s="8">
        <v>583</v>
      </c>
      <c r="AG224" s="261"/>
      <c r="AH224" s="261"/>
      <c r="AI224" s="261"/>
      <c r="AJ224" s="261"/>
      <c r="AK224" s="261"/>
      <c r="AL224" s="261"/>
      <c r="AM224" s="261"/>
      <c r="AO224" s="12">
        <v>583</v>
      </c>
      <c r="AP224" s="264"/>
      <c r="AQ224" s="264"/>
      <c r="AR224" s="264">
        <v>16.2955139808553</v>
      </c>
      <c r="AS224" s="264"/>
      <c r="AT224" s="264"/>
      <c r="AU224" s="264"/>
      <c r="AV224" s="264"/>
      <c r="AW224" s="264"/>
      <c r="AX224" s="264"/>
      <c r="BP224" s="272">
        <f>Inputs!B227</f>
        <v>583</v>
      </c>
      <c r="BQ224" s="272">
        <f>IF(LEFT(Inputs!$C$11,6)="photon",10^Inputs!C227,Inputs!C227)</f>
        <v>12.5977376708679</v>
      </c>
      <c r="BR224" s="272"/>
      <c r="BS224" s="272">
        <f>'Advanced Inputs'!I229</f>
        <v>583</v>
      </c>
      <c r="BT224" s="272">
        <f>IF('Advanced Inputs'!J$19="Photon system",10^'Advanced Inputs'!J229,'Advanced Inputs'!J229)</f>
        <v>0</v>
      </c>
      <c r="BV224" s="272">
        <v>583</v>
      </c>
      <c r="BW224" s="8">
        <v>116.622</v>
      </c>
      <c r="BX224" s="8">
        <v>93.6573</v>
      </c>
      <c r="CC224" s="8">
        <v>1</v>
      </c>
    </row>
    <row r="225" hidden="1" spans="8:81">
      <c r="H225" s="8">
        <v>584</v>
      </c>
      <c r="I225" s="261"/>
      <c r="J225" s="261"/>
      <c r="K225" s="261"/>
      <c r="L225" s="261"/>
      <c r="M225" s="261"/>
      <c r="N225" s="261"/>
      <c r="O225" s="261"/>
      <c r="P225" s="261"/>
      <c r="Q225" s="261"/>
      <c r="R225" s="261"/>
      <c r="S225" s="261">
        <v>31.2234949035192</v>
      </c>
      <c r="T225" s="261"/>
      <c r="V225" s="8">
        <v>584</v>
      </c>
      <c r="W225" s="261"/>
      <c r="X225" s="261"/>
      <c r="Y225" s="261"/>
      <c r="Z225" s="261"/>
      <c r="AA225" s="261"/>
      <c r="AB225" s="261"/>
      <c r="AC225" s="261"/>
      <c r="AD225" s="261"/>
      <c r="AF225" s="8">
        <v>584</v>
      </c>
      <c r="AG225" s="261"/>
      <c r="AH225" s="261"/>
      <c r="AI225" s="261"/>
      <c r="AJ225" s="261"/>
      <c r="AK225" s="261"/>
      <c r="AL225" s="261"/>
      <c r="AM225" s="261"/>
      <c r="AO225" s="12">
        <v>584</v>
      </c>
      <c r="AP225" s="264"/>
      <c r="AQ225" s="264"/>
      <c r="AR225" s="264">
        <v>16.3317772949668</v>
      </c>
      <c r="AS225" s="264"/>
      <c r="AT225" s="264"/>
      <c r="AU225" s="264"/>
      <c r="AV225" s="264"/>
      <c r="AW225" s="264"/>
      <c r="AX225" s="264"/>
      <c r="BP225" s="272">
        <f>Inputs!B228</f>
        <v>584</v>
      </c>
      <c r="BQ225" s="272">
        <f>IF(LEFT(Inputs!$C$11,6)="photon",10^Inputs!C228,Inputs!C228)</f>
        <v>12.7223322445611</v>
      </c>
      <c r="BR225" s="272"/>
      <c r="BS225" s="272">
        <f>'Advanced Inputs'!I230</f>
        <v>584</v>
      </c>
      <c r="BT225" s="272">
        <f>IF('Advanced Inputs'!J$19="Photon system",10^'Advanced Inputs'!J230,'Advanced Inputs'!J230)</f>
        <v>0</v>
      </c>
      <c r="BV225" s="272">
        <v>584</v>
      </c>
      <c r="BW225" s="8">
        <v>117.351</v>
      </c>
      <c r="BX225" s="8">
        <v>92.947</v>
      </c>
      <c r="CC225" s="8">
        <v>1</v>
      </c>
    </row>
    <row r="226" hidden="1" spans="8:81">
      <c r="H226" s="8">
        <v>585</v>
      </c>
      <c r="I226" s="261"/>
      <c r="J226" s="261"/>
      <c r="K226" s="261"/>
      <c r="L226" s="261"/>
      <c r="M226" s="261"/>
      <c r="N226" s="261"/>
      <c r="O226" s="261"/>
      <c r="P226" s="261"/>
      <c r="Q226" s="261"/>
      <c r="R226" s="261"/>
      <c r="S226" s="261">
        <v>17.8527958708614</v>
      </c>
      <c r="T226" s="261"/>
      <c r="V226" s="8">
        <v>585</v>
      </c>
      <c r="W226" s="261"/>
      <c r="X226" s="261"/>
      <c r="Y226" s="261"/>
      <c r="Z226" s="261"/>
      <c r="AA226" s="261"/>
      <c r="AB226" s="261"/>
      <c r="AC226" s="261"/>
      <c r="AD226" s="261"/>
      <c r="AF226" s="8">
        <v>585</v>
      </c>
      <c r="AG226" s="261"/>
      <c r="AH226" s="261"/>
      <c r="AI226" s="261"/>
      <c r="AJ226" s="261"/>
      <c r="AK226" s="261"/>
      <c r="AL226" s="261"/>
      <c r="AM226" s="261"/>
      <c r="AO226" s="12">
        <v>585</v>
      </c>
      <c r="AP226" s="264"/>
      <c r="AQ226" s="264"/>
      <c r="AR226" s="264">
        <v>16.3680669671711</v>
      </c>
      <c r="AS226" s="264"/>
      <c r="AT226" s="264"/>
      <c r="AU226" s="264"/>
      <c r="AV226" s="264"/>
      <c r="AW226" s="264"/>
      <c r="AX226" s="264"/>
      <c r="BP226" s="272">
        <f>Inputs!B229</f>
        <v>585</v>
      </c>
      <c r="BQ226" s="272">
        <f>IF(LEFT(Inputs!$C$11,6)="photon",10^Inputs!C229,Inputs!C229)</f>
        <v>12.8278673423353</v>
      </c>
      <c r="BR226" s="272"/>
      <c r="BS226" s="272">
        <f>'Advanced Inputs'!I231</f>
        <v>585</v>
      </c>
      <c r="BT226" s="272">
        <f>IF('Advanced Inputs'!J$19="Photon system",10^'Advanced Inputs'!J231,'Advanced Inputs'!J231)</f>
        <v>0</v>
      </c>
      <c r="BV226" s="272">
        <v>585</v>
      </c>
      <c r="BW226" s="8">
        <v>118.08</v>
      </c>
      <c r="BX226" s="8">
        <v>92.2368</v>
      </c>
      <c r="CC226" s="8">
        <v>1</v>
      </c>
    </row>
    <row r="227" hidden="1" spans="8:81">
      <c r="H227" s="8">
        <v>586</v>
      </c>
      <c r="I227" s="261"/>
      <c r="J227" s="261"/>
      <c r="K227" s="261"/>
      <c r="L227" s="261"/>
      <c r="M227" s="261"/>
      <c r="N227" s="261"/>
      <c r="O227" s="261"/>
      <c r="P227" s="261"/>
      <c r="Q227" s="261"/>
      <c r="R227" s="261"/>
      <c r="S227" s="261">
        <v>10.0464744708855</v>
      </c>
      <c r="T227" s="261"/>
      <c r="V227" s="8">
        <v>586</v>
      </c>
      <c r="W227" s="261"/>
      <c r="X227" s="261"/>
      <c r="Y227" s="261"/>
      <c r="Z227" s="261"/>
      <c r="AA227" s="261"/>
      <c r="AB227" s="261"/>
      <c r="AC227" s="261"/>
      <c r="AD227" s="261"/>
      <c r="AF227" s="8">
        <v>586</v>
      </c>
      <c r="AG227" s="261"/>
      <c r="AH227" s="261"/>
      <c r="AI227" s="261"/>
      <c r="AJ227" s="261"/>
      <c r="AK227" s="261"/>
      <c r="AL227" s="261"/>
      <c r="AM227" s="261"/>
      <c r="AO227" s="12">
        <v>586</v>
      </c>
      <c r="AP227" s="264"/>
      <c r="AQ227" s="264"/>
      <c r="AR227" s="264">
        <v>16.4023153451806</v>
      </c>
      <c r="AS227" s="264"/>
      <c r="AT227" s="264"/>
      <c r="AU227" s="264"/>
      <c r="AV227" s="264"/>
      <c r="AW227" s="264"/>
      <c r="AX227" s="264"/>
      <c r="BP227" s="272">
        <f>Inputs!B230</f>
        <v>586</v>
      </c>
      <c r="BQ227" s="272">
        <f>IF(LEFT(Inputs!$C$11,6)="photon",10^Inputs!C230,Inputs!C230)</f>
        <v>12.8738888610031</v>
      </c>
      <c r="BR227" s="272"/>
      <c r="BS227" s="272">
        <f>'Advanced Inputs'!I232</f>
        <v>586</v>
      </c>
      <c r="BT227" s="272">
        <f>IF('Advanced Inputs'!J$19="Photon system",10^'Advanced Inputs'!J232,'Advanced Inputs'!J232)</f>
        <v>0</v>
      </c>
      <c r="BV227" s="272">
        <v>586</v>
      </c>
      <c r="BW227" s="8">
        <v>118.81</v>
      </c>
      <c r="BX227" s="8">
        <v>91.5266</v>
      </c>
      <c r="CC227" s="8">
        <v>1</v>
      </c>
    </row>
    <row r="228" hidden="1" spans="8:81">
      <c r="H228" s="8">
        <v>587</v>
      </c>
      <c r="I228" s="261"/>
      <c r="J228" s="261"/>
      <c r="K228" s="261"/>
      <c r="L228" s="261"/>
      <c r="M228" s="261"/>
      <c r="N228" s="261"/>
      <c r="O228" s="261"/>
      <c r="P228" s="261"/>
      <c r="Q228" s="261"/>
      <c r="R228" s="261"/>
      <c r="S228" s="261">
        <v>10.8873963694033</v>
      </c>
      <c r="T228" s="261"/>
      <c r="V228" s="8">
        <v>587</v>
      </c>
      <c r="W228" s="261"/>
      <c r="X228" s="261"/>
      <c r="Y228" s="261"/>
      <c r="Z228" s="261"/>
      <c r="AA228" s="261"/>
      <c r="AB228" s="261"/>
      <c r="AC228" s="261"/>
      <c r="AD228" s="261"/>
      <c r="AF228" s="8">
        <v>587</v>
      </c>
      <c r="AG228" s="261"/>
      <c r="AH228" s="261"/>
      <c r="AI228" s="261"/>
      <c r="AJ228" s="261"/>
      <c r="AK228" s="261"/>
      <c r="AL228" s="261"/>
      <c r="AM228" s="261"/>
      <c r="AO228" s="12">
        <v>587</v>
      </c>
      <c r="AP228" s="264"/>
      <c r="AQ228" s="264"/>
      <c r="AR228" s="264">
        <v>16.432264235208</v>
      </c>
      <c r="AS228" s="264"/>
      <c r="AT228" s="264"/>
      <c r="AU228" s="264"/>
      <c r="AV228" s="264"/>
      <c r="AW228" s="264"/>
      <c r="AX228" s="264"/>
      <c r="BP228" s="272">
        <f>Inputs!B231</f>
        <v>587</v>
      </c>
      <c r="BQ228" s="272">
        <f>IF(LEFT(Inputs!$C$11,6)="photon",10^Inputs!C231,Inputs!C231)</f>
        <v>12.9762569102574</v>
      </c>
      <c r="BR228" s="272"/>
      <c r="BS228" s="272">
        <f>'Advanced Inputs'!I233</f>
        <v>587</v>
      </c>
      <c r="BT228" s="272">
        <f>IF('Advanced Inputs'!J$19="Photon system",10^'Advanced Inputs'!J233,'Advanced Inputs'!J233)</f>
        <v>0</v>
      </c>
      <c r="BV228" s="272">
        <v>587</v>
      </c>
      <c r="BW228" s="8">
        <v>119.54</v>
      </c>
      <c r="BX228" s="8">
        <v>90.8163</v>
      </c>
      <c r="CC228" s="8">
        <v>1</v>
      </c>
    </row>
    <row r="229" hidden="1" spans="8:81">
      <c r="H229" s="8">
        <v>588</v>
      </c>
      <c r="I229" s="261"/>
      <c r="J229" s="261"/>
      <c r="K229" s="261"/>
      <c r="L229" s="261"/>
      <c r="M229" s="261"/>
      <c r="N229" s="261"/>
      <c r="O229" s="261"/>
      <c r="P229" s="261"/>
      <c r="Q229" s="261"/>
      <c r="R229" s="261"/>
      <c r="S229" s="261">
        <v>11.6791575</v>
      </c>
      <c r="T229" s="261"/>
      <c r="V229" s="8">
        <v>588</v>
      </c>
      <c r="W229" s="261"/>
      <c r="X229" s="261"/>
      <c r="Y229" s="261"/>
      <c r="Z229" s="261"/>
      <c r="AA229" s="261"/>
      <c r="AB229" s="261"/>
      <c r="AC229" s="261"/>
      <c r="AD229" s="261"/>
      <c r="AF229" s="8">
        <v>588</v>
      </c>
      <c r="AG229" s="261"/>
      <c r="AH229" s="261"/>
      <c r="AI229" s="261"/>
      <c r="AJ229" s="261"/>
      <c r="AK229" s="261"/>
      <c r="AL229" s="261"/>
      <c r="AM229" s="261"/>
      <c r="AO229" s="12">
        <v>588</v>
      </c>
      <c r="AP229" s="264"/>
      <c r="AQ229" s="264"/>
      <c r="AR229" s="264">
        <v>16.4573396225146</v>
      </c>
      <c r="AS229" s="264"/>
      <c r="AT229" s="264"/>
      <c r="AU229" s="264"/>
      <c r="AV229" s="264"/>
      <c r="AW229" s="264"/>
      <c r="AX229" s="264"/>
      <c r="BP229" s="272">
        <f>Inputs!B232</f>
        <v>588</v>
      </c>
      <c r="BQ229" s="272">
        <f>IF(LEFT(Inputs!$C$11,6)="photon",10^Inputs!C232,Inputs!C232)</f>
        <v>13.1058586908268</v>
      </c>
      <c r="BR229" s="272"/>
      <c r="BS229" s="272">
        <f>'Advanced Inputs'!I234</f>
        <v>588</v>
      </c>
      <c r="BT229" s="272">
        <f>IF('Advanced Inputs'!J$19="Photon system",10^'Advanced Inputs'!J234,'Advanced Inputs'!J234)</f>
        <v>0</v>
      </c>
      <c r="BV229" s="272">
        <v>588</v>
      </c>
      <c r="BW229" s="8">
        <v>120.27</v>
      </c>
      <c r="BX229" s="8">
        <v>90.1061</v>
      </c>
      <c r="CC229" s="8">
        <v>1</v>
      </c>
    </row>
    <row r="230" hidden="1" spans="8:81">
      <c r="H230" s="8">
        <v>589</v>
      </c>
      <c r="I230" s="261"/>
      <c r="J230" s="261"/>
      <c r="K230" s="261"/>
      <c r="L230" s="261"/>
      <c r="M230" s="261"/>
      <c r="N230" s="261"/>
      <c r="O230" s="261"/>
      <c r="P230" s="261"/>
      <c r="Q230" s="261"/>
      <c r="R230" s="261"/>
      <c r="S230" s="261">
        <v>12.31128609375</v>
      </c>
      <c r="T230" s="261"/>
      <c r="V230" s="8">
        <v>589</v>
      </c>
      <c r="W230" s="261"/>
      <c r="X230" s="261"/>
      <c r="Y230" s="261"/>
      <c r="Z230" s="261"/>
      <c r="AA230" s="261"/>
      <c r="AB230" s="261"/>
      <c r="AC230" s="261"/>
      <c r="AD230" s="261"/>
      <c r="AF230" s="8">
        <v>589</v>
      </c>
      <c r="AG230" s="261"/>
      <c r="AH230" s="261"/>
      <c r="AI230" s="261"/>
      <c r="AJ230" s="261"/>
      <c r="AK230" s="261"/>
      <c r="AL230" s="261"/>
      <c r="AM230" s="261"/>
      <c r="AO230" s="12">
        <v>589</v>
      </c>
      <c r="AP230" s="264"/>
      <c r="AQ230" s="264"/>
      <c r="AR230" s="264">
        <v>16.4789927402873</v>
      </c>
      <c r="AS230" s="264"/>
      <c r="AT230" s="264"/>
      <c r="AU230" s="264"/>
      <c r="AV230" s="264"/>
      <c r="AW230" s="264"/>
      <c r="AX230" s="264"/>
      <c r="BP230" s="272">
        <f>Inputs!B233</f>
        <v>589</v>
      </c>
      <c r="BQ230" s="272">
        <f>IF(LEFT(Inputs!$C$11,6)="photon",10^Inputs!C233,Inputs!C233)</f>
        <v>13.2176263588791</v>
      </c>
      <c r="BR230" s="272"/>
      <c r="BS230" s="272">
        <f>'Advanced Inputs'!I235</f>
        <v>589</v>
      </c>
      <c r="BT230" s="272">
        <f>IF('Advanced Inputs'!J$19="Photon system",10^'Advanced Inputs'!J235,'Advanced Inputs'!J235)</f>
        <v>0</v>
      </c>
      <c r="BV230" s="272">
        <v>589</v>
      </c>
      <c r="BW230" s="8">
        <v>121.001</v>
      </c>
      <c r="BX230" s="8">
        <v>89.3958</v>
      </c>
      <c r="CC230" s="8">
        <v>1</v>
      </c>
    </row>
    <row r="231" hidden="1" spans="8:81">
      <c r="H231" s="8">
        <v>590</v>
      </c>
      <c r="I231" s="261"/>
      <c r="J231" s="261"/>
      <c r="K231" s="261"/>
      <c r="L231" s="261"/>
      <c r="M231" s="261"/>
      <c r="N231" s="261"/>
      <c r="O231" s="261"/>
      <c r="P231" s="261"/>
      <c r="Q231" s="261"/>
      <c r="R231" s="261"/>
      <c r="S231" s="261">
        <v>12.73</v>
      </c>
      <c r="T231" s="261"/>
      <c r="V231" s="8">
        <v>590</v>
      </c>
      <c r="W231" s="261"/>
      <c r="X231" s="261"/>
      <c r="Y231" s="261"/>
      <c r="Z231" s="261"/>
      <c r="AA231" s="261"/>
      <c r="AB231" s="261"/>
      <c r="AC231" s="261"/>
      <c r="AD231" s="261"/>
      <c r="AF231" s="8">
        <v>590</v>
      </c>
      <c r="AG231" s="261"/>
      <c r="AH231" s="261"/>
      <c r="AI231" s="261"/>
      <c r="AJ231" s="261"/>
      <c r="AK231" s="261"/>
      <c r="AL231" s="261"/>
      <c r="AM231" s="261"/>
      <c r="AO231" s="12">
        <v>590</v>
      </c>
      <c r="AP231" s="264"/>
      <c r="AQ231" s="264"/>
      <c r="AR231" s="264">
        <v>16.4990292767517</v>
      </c>
      <c r="AS231" s="264"/>
      <c r="AT231" s="264"/>
      <c r="AU231" s="264"/>
      <c r="AV231" s="264"/>
      <c r="AW231" s="264"/>
      <c r="AX231" s="264"/>
      <c r="BP231" s="272">
        <f>Inputs!B234</f>
        <v>590</v>
      </c>
      <c r="BQ231" s="272">
        <f>IF(LEFT(Inputs!$C$11,6)="photon",10^Inputs!C234,Inputs!C234)</f>
        <v>13.3117347826341</v>
      </c>
      <c r="BR231" s="272"/>
      <c r="BS231" s="272">
        <f>'Advanced Inputs'!I236</f>
        <v>590</v>
      </c>
      <c r="BT231" s="272">
        <f>IF('Advanced Inputs'!J$19="Photon system",10^'Advanced Inputs'!J236,'Advanced Inputs'!J236)</f>
        <v>0</v>
      </c>
      <c r="BV231" s="272">
        <v>590</v>
      </c>
      <c r="BW231" s="8">
        <v>121.731</v>
      </c>
      <c r="BX231" s="8">
        <v>88.6856</v>
      </c>
      <c r="CC231" s="8">
        <v>1</v>
      </c>
    </row>
    <row r="232" hidden="1" spans="8:81">
      <c r="H232" s="8">
        <v>591</v>
      </c>
      <c r="I232" s="261"/>
      <c r="J232" s="261"/>
      <c r="K232" s="261"/>
      <c r="L232" s="261"/>
      <c r="M232" s="261"/>
      <c r="N232" s="261"/>
      <c r="O232" s="261"/>
      <c r="P232" s="261"/>
      <c r="Q232" s="261"/>
      <c r="R232" s="261"/>
      <c r="S232" s="261">
        <v>12.4340753127997</v>
      </c>
      <c r="T232" s="261"/>
      <c r="V232" s="8">
        <v>591</v>
      </c>
      <c r="W232" s="261"/>
      <c r="X232" s="261"/>
      <c r="Y232" s="261"/>
      <c r="Z232" s="261"/>
      <c r="AA232" s="261"/>
      <c r="AB232" s="261"/>
      <c r="AC232" s="261"/>
      <c r="AD232" s="261"/>
      <c r="AF232" s="8">
        <v>591</v>
      </c>
      <c r="AG232" s="261"/>
      <c r="AH232" s="261"/>
      <c r="AI232" s="261"/>
      <c r="AJ232" s="261"/>
      <c r="AK232" s="261"/>
      <c r="AL232" s="261"/>
      <c r="AM232" s="261"/>
      <c r="AO232" s="12">
        <v>591</v>
      </c>
      <c r="AP232" s="264"/>
      <c r="AQ232" s="264"/>
      <c r="AR232" s="264">
        <v>16.5176005780907</v>
      </c>
      <c r="AS232" s="264"/>
      <c r="AT232" s="264"/>
      <c r="AU232" s="264"/>
      <c r="AV232" s="264"/>
      <c r="AW232" s="264"/>
      <c r="AX232" s="264"/>
      <c r="BP232" s="272">
        <f>Inputs!B235</f>
        <v>591</v>
      </c>
      <c r="BQ232" s="272">
        <f>IF(LEFT(Inputs!$C$11,6)="photon",10^Inputs!C235,Inputs!C235)</f>
        <v>13.436440951791</v>
      </c>
      <c r="BR232" s="272"/>
      <c r="BS232" s="272">
        <f>'Advanced Inputs'!I237</f>
        <v>591</v>
      </c>
      <c r="BT232" s="272">
        <f>IF('Advanced Inputs'!J$19="Photon system",10^'Advanced Inputs'!J237,'Advanced Inputs'!J237)</f>
        <v>0</v>
      </c>
      <c r="BV232" s="272">
        <v>591</v>
      </c>
      <c r="BW232" s="8">
        <v>122.462</v>
      </c>
      <c r="BX232" s="8">
        <v>88.8177</v>
      </c>
      <c r="CC232" s="8">
        <v>1</v>
      </c>
    </row>
    <row r="233" hidden="1" spans="8:81">
      <c r="H233" s="8">
        <v>592</v>
      </c>
      <c r="I233" s="261"/>
      <c r="J233" s="261"/>
      <c r="K233" s="261"/>
      <c r="L233" s="261"/>
      <c r="M233" s="261"/>
      <c r="N233" s="261"/>
      <c r="O233" s="261"/>
      <c r="P233" s="261"/>
      <c r="Q233" s="261"/>
      <c r="R233" s="261"/>
      <c r="S233" s="261">
        <v>11.9290338421368</v>
      </c>
      <c r="T233" s="261"/>
      <c r="V233" s="8">
        <v>592</v>
      </c>
      <c r="W233" s="261"/>
      <c r="X233" s="261"/>
      <c r="Y233" s="261"/>
      <c r="Z233" s="261"/>
      <c r="AA233" s="261"/>
      <c r="AB233" s="261"/>
      <c r="AC233" s="261"/>
      <c r="AD233" s="261"/>
      <c r="AF233" s="8">
        <v>592</v>
      </c>
      <c r="AG233" s="261"/>
      <c r="AH233" s="261"/>
      <c r="AI233" s="261"/>
      <c r="AJ233" s="261"/>
      <c r="AK233" s="261"/>
      <c r="AL233" s="261"/>
      <c r="AM233" s="261"/>
      <c r="AO233" s="12">
        <v>592</v>
      </c>
      <c r="AP233" s="264"/>
      <c r="AQ233" s="264"/>
      <c r="AR233" s="264">
        <v>16.5330130837856</v>
      </c>
      <c r="AS233" s="264"/>
      <c r="AT233" s="264"/>
      <c r="AU233" s="264"/>
      <c r="AV233" s="264"/>
      <c r="AW233" s="264"/>
      <c r="AX233" s="264"/>
      <c r="BP233" s="272">
        <f>Inputs!B236</f>
        <v>592</v>
      </c>
      <c r="BQ233" s="272">
        <f>IF(LEFT(Inputs!$C$11,6)="photon",10^Inputs!C236,Inputs!C236)</f>
        <v>13.5463427675484</v>
      </c>
      <c r="BR233" s="272"/>
      <c r="BS233" s="272">
        <f>'Advanced Inputs'!I238</f>
        <v>592</v>
      </c>
      <c r="BT233" s="272">
        <f>IF('Advanced Inputs'!J$19="Photon system",10^'Advanced Inputs'!J238,'Advanced Inputs'!J238)</f>
        <v>0</v>
      </c>
      <c r="BV233" s="272">
        <v>592</v>
      </c>
      <c r="BW233" s="8">
        <v>123.193</v>
      </c>
      <c r="BX233" s="8">
        <v>88.9497</v>
      </c>
      <c r="CC233" s="8">
        <v>1</v>
      </c>
    </row>
    <row r="234" hidden="1" spans="8:81">
      <c r="H234" s="8">
        <v>593</v>
      </c>
      <c r="I234" s="261"/>
      <c r="J234" s="261"/>
      <c r="K234" s="261"/>
      <c r="L234" s="261"/>
      <c r="M234" s="261"/>
      <c r="N234" s="261"/>
      <c r="O234" s="261"/>
      <c r="P234" s="261"/>
      <c r="Q234" s="261"/>
      <c r="R234" s="261"/>
      <c r="S234" s="261">
        <v>11.2729552025649</v>
      </c>
      <c r="T234" s="261"/>
      <c r="V234" s="8">
        <v>593</v>
      </c>
      <c r="W234" s="261"/>
      <c r="X234" s="261"/>
      <c r="Y234" s="261"/>
      <c r="Z234" s="261"/>
      <c r="AA234" s="261"/>
      <c r="AB234" s="261"/>
      <c r="AC234" s="261"/>
      <c r="AD234" s="261"/>
      <c r="AF234" s="8">
        <v>593</v>
      </c>
      <c r="AG234" s="261"/>
      <c r="AH234" s="261"/>
      <c r="AI234" s="261"/>
      <c r="AJ234" s="261"/>
      <c r="AK234" s="261"/>
      <c r="AL234" s="261"/>
      <c r="AM234" s="261"/>
      <c r="AO234" s="12">
        <v>593</v>
      </c>
      <c r="AP234" s="264"/>
      <c r="AQ234" s="264"/>
      <c r="AR234" s="264">
        <v>16.5434969818885</v>
      </c>
      <c r="AS234" s="264"/>
      <c r="AT234" s="264"/>
      <c r="AU234" s="264"/>
      <c r="AV234" s="264"/>
      <c r="AW234" s="264"/>
      <c r="AX234" s="264"/>
      <c r="BP234" s="272">
        <f>Inputs!B237</f>
        <v>593</v>
      </c>
      <c r="BQ234" s="272">
        <f>IF(LEFT(Inputs!$C$11,6)="photon",10^Inputs!C237,Inputs!C237)</f>
        <v>13.6922462505665</v>
      </c>
      <c r="BR234" s="272"/>
      <c r="BS234" s="272">
        <f>'Advanced Inputs'!I239</f>
        <v>593</v>
      </c>
      <c r="BT234" s="272">
        <f>IF('Advanced Inputs'!J$19="Photon system",10^'Advanced Inputs'!J239,'Advanced Inputs'!J239)</f>
        <v>0</v>
      </c>
      <c r="BV234" s="272">
        <v>593</v>
      </c>
      <c r="BW234" s="8">
        <v>123.924</v>
      </c>
      <c r="BX234" s="8">
        <v>89.0818</v>
      </c>
      <c r="CC234" s="8">
        <v>1</v>
      </c>
    </row>
    <row r="235" hidden="1" spans="8:81">
      <c r="H235" s="8">
        <v>594</v>
      </c>
      <c r="I235" s="261"/>
      <c r="J235" s="261"/>
      <c r="K235" s="261"/>
      <c r="L235" s="261"/>
      <c r="M235" s="261"/>
      <c r="N235" s="261"/>
      <c r="O235" s="261"/>
      <c r="P235" s="261"/>
      <c r="Q235" s="261"/>
      <c r="R235" s="261"/>
      <c r="S235" s="261">
        <v>10.5239171704653</v>
      </c>
      <c r="T235" s="261"/>
      <c r="V235" s="8">
        <v>594</v>
      </c>
      <c r="W235" s="261"/>
      <c r="X235" s="261"/>
      <c r="Y235" s="261"/>
      <c r="Z235" s="261"/>
      <c r="AA235" s="261"/>
      <c r="AB235" s="261"/>
      <c r="AC235" s="261"/>
      <c r="AD235" s="261"/>
      <c r="AF235" s="8">
        <v>594</v>
      </c>
      <c r="AG235" s="261"/>
      <c r="AH235" s="261"/>
      <c r="AI235" s="261"/>
      <c r="AJ235" s="261"/>
      <c r="AK235" s="261"/>
      <c r="AL235" s="261"/>
      <c r="AM235" s="261"/>
      <c r="AO235" s="12">
        <v>594</v>
      </c>
      <c r="AP235" s="264"/>
      <c r="AQ235" s="264"/>
      <c r="AR235" s="264">
        <v>16.5488321883934</v>
      </c>
      <c r="AS235" s="264"/>
      <c r="AT235" s="264"/>
      <c r="AU235" s="264"/>
      <c r="AV235" s="264"/>
      <c r="AW235" s="264"/>
      <c r="AX235" s="264"/>
      <c r="BP235" s="272">
        <f>Inputs!B238</f>
        <v>594</v>
      </c>
      <c r="BQ235" s="272">
        <f>IF(LEFT(Inputs!$C$11,6)="photon",10^Inputs!C238,Inputs!C238)</f>
        <v>13.8196072576718</v>
      </c>
      <c r="BR235" s="272"/>
      <c r="BS235" s="272">
        <f>'Advanced Inputs'!I240</f>
        <v>594</v>
      </c>
      <c r="BT235" s="272">
        <f>IF('Advanced Inputs'!J$19="Photon system",10^'Advanced Inputs'!J240,'Advanced Inputs'!J240)</f>
        <v>0</v>
      </c>
      <c r="BV235" s="272">
        <v>594</v>
      </c>
      <c r="BW235" s="8">
        <v>124.655</v>
      </c>
      <c r="BX235" s="8">
        <v>89.2138</v>
      </c>
      <c r="CC235" s="8">
        <v>1</v>
      </c>
    </row>
    <row r="236" hidden="1" spans="8:81">
      <c r="H236" s="8">
        <v>595</v>
      </c>
      <c r="I236" s="261"/>
      <c r="J236" s="261"/>
      <c r="K236" s="261"/>
      <c r="L236" s="261"/>
      <c r="M236" s="261"/>
      <c r="N236" s="261"/>
      <c r="O236" s="261"/>
      <c r="P236" s="261"/>
      <c r="Q236" s="261"/>
      <c r="R236" s="261"/>
      <c r="S236" s="261">
        <v>9.74000000506196</v>
      </c>
      <c r="T236" s="261"/>
      <c r="V236" s="8">
        <v>595</v>
      </c>
      <c r="W236" s="261"/>
      <c r="X236" s="261"/>
      <c r="Y236" s="261"/>
      <c r="Z236" s="261"/>
      <c r="AA236" s="261"/>
      <c r="AB236" s="261"/>
      <c r="AC236" s="261"/>
      <c r="AD236" s="261"/>
      <c r="AF236" s="8">
        <v>595</v>
      </c>
      <c r="AG236" s="261"/>
      <c r="AH236" s="261"/>
      <c r="AI236" s="261"/>
      <c r="AJ236" s="261"/>
      <c r="AK236" s="261"/>
      <c r="AL236" s="261"/>
      <c r="AM236" s="261"/>
      <c r="AO236" s="12">
        <v>595</v>
      </c>
      <c r="AP236" s="264"/>
      <c r="AQ236" s="264"/>
      <c r="AR236" s="264">
        <v>16.5501066250455</v>
      </c>
      <c r="AS236" s="264"/>
      <c r="AT236" s="264"/>
      <c r="AU236" s="264"/>
      <c r="AV236" s="264"/>
      <c r="AW236" s="264"/>
      <c r="AX236" s="264"/>
      <c r="BP236" s="272">
        <f>Inputs!B239</f>
        <v>595</v>
      </c>
      <c r="BQ236" s="272">
        <f>IF(LEFT(Inputs!$C$11,6)="photon",10^Inputs!C239,Inputs!C239)</f>
        <v>13.9557416639113</v>
      </c>
      <c r="BR236" s="272"/>
      <c r="BS236" s="272">
        <f>'Advanced Inputs'!I241</f>
        <v>595</v>
      </c>
      <c r="BT236" s="272">
        <f>IF('Advanced Inputs'!J$19="Photon system",10^'Advanced Inputs'!J241,'Advanced Inputs'!J241)</f>
        <v>0</v>
      </c>
      <c r="BV236" s="272">
        <v>595</v>
      </c>
      <c r="BW236" s="8">
        <v>125.386</v>
      </c>
      <c r="BX236" s="8">
        <v>89.3459</v>
      </c>
      <c r="CC236" s="8">
        <v>1</v>
      </c>
    </row>
    <row r="237" hidden="1" spans="8:81">
      <c r="H237" s="8">
        <v>596</v>
      </c>
      <c r="I237" s="261"/>
      <c r="J237" s="261"/>
      <c r="K237" s="261"/>
      <c r="L237" s="261"/>
      <c r="M237" s="261"/>
      <c r="N237" s="261"/>
      <c r="O237" s="261"/>
      <c r="P237" s="261"/>
      <c r="Q237" s="261"/>
      <c r="R237" s="261"/>
      <c r="S237" s="261">
        <v>9.10219000000099</v>
      </c>
      <c r="T237" s="261"/>
      <c r="V237" s="8">
        <v>596</v>
      </c>
      <c r="W237" s="261"/>
      <c r="X237" s="261"/>
      <c r="Y237" s="261"/>
      <c r="Z237" s="261"/>
      <c r="AA237" s="261"/>
      <c r="AB237" s="261"/>
      <c r="AC237" s="261"/>
      <c r="AD237" s="261"/>
      <c r="AF237" s="8">
        <v>596</v>
      </c>
      <c r="AG237" s="261"/>
      <c r="AH237" s="261"/>
      <c r="AI237" s="261"/>
      <c r="AJ237" s="261"/>
      <c r="AK237" s="261"/>
      <c r="AL237" s="261"/>
      <c r="AM237" s="261"/>
      <c r="AO237" s="12">
        <v>596</v>
      </c>
      <c r="AP237" s="264"/>
      <c r="AQ237" s="264"/>
      <c r="AR237" s="264">
        <v>16.5482344907182</v>
      </c>
      <c r="AS237" s="264"/>
      <c r="AT237" s="264"/>
      <c r="AU237" s="264"/>
      <c r="AV237" s="264"/>
      <c r="AW237" s="264"/>
      <c r="AX237" s="264"/>
      <c r="BP237" s="272">
        <f>Inputs!B240</f>
        <v>596</v>
      </c>
      <c r="BQ237" s="272">
        <f>IF(LEFT(Inputs!$C$11,6)="photon",10^Inputs!C240,Inputs!C240)</f>
        <v>14.1088265501196</v>
      </c>
      <c r="BR237" s="272"/>
      <c r="BS237" s="272">
        <f>'Advanced Inputs'!I242</f>
        <v>596</v>
      </c>
      <c r="BT237" s="272">
        <f>IF('Advanced Inputs'!J$19="Photon system",10^'Advanced Inputs'!J242,'Advanced Inputs'!J242)</f>
        <v>0</v>
      </c>
      <c r="BV237" s="272">
        <v>596</v>
      </c>
      <c r="BW237" s="8">
        <v>126.118</v>
      </c>
      <c r="BX237" s="8">
        <v>89.478</v>
      </c>
      <c r="CC237" s="8">
        <v>1</v>
      </c>
    </row>
    <row r="238" hidden="1" spans="8:81">
      <c r="H238" s="8">
        <v>597</v>
      </c>
      <c r="I238" s="261"/>
      <c r="J238" s="261"/>
      <c r="K238" s="261"/>
      <c r="L238" s="261"/>
      <c r="M238" s="261"/>
      <c r="N238" s="261"/>
      <c r="O238" s="261"/>
      <c r="P238" s="261"/>
      <c r="Q238" s="261"/>
      <c r="R238" s="261"/>
      <c r="S238" s="261">
        <v>8.5149325</v>
      </c>
      <c r="T238" s="261"/>
      <c r="V238" s="8">
        <v>597</v>
      </c>
      <c r="W238" s="261"/>
      <c r="X238" s="261"/>
      <c r="Y238" s="261"/>
      <c r="Z238" s="261"/>
      <c r="AA238" s="261"/>
      <c r="AB238" s="261"/>
      <c r="AC238" s="261"/>
      <c r="AD238" s="261"/>
      <c r="AF238" s="8">
        <v>597</v>
      </c>
      <c r="AG238" s="261"/>
      <c r="AH238" s="261"/>
      <c r="AI238" s="261"/>
      <c r="AJ238" s="261"/>
      <c r="AK238" s="261"/>
      <c r="AL238" s="261"/>
      <c r="AM238" s="261"/>
      <c r="AO238" s="12">
        <v>597</v>
      </c>
      <c r="AP238" s="264"/>
      <c r="AQ238" s="264"/>
      <c r="AR238" s="264">
        <v>16.542973501255</v>
      </c>
      <c r="AS238" s="264"/>
      <c r="AT238" s="264"/>
      <c r="AU238" s="264"/>
      <c r="AV238" s="264"/>
      <c r="AW238" s="264"/>
      <c r="AX238" s="264"/>
      <c r="BP238" s="272">
        <f>Inputs!B241</f>
        <v>597</v>
      </c>
      <c r="BQ238" s="272">
        <f>IF(LEFT(Inputs!$C$11,6)="photon",10^Inputs!C241,Inputs!C241)</f>
        <v>14.3049762191587</v>
      </c>
      <c r="BR238" s="272"/>
      <c r="BS238" s="272">
        <f>'Advanced Inputs'!I243</f>
        <v>597</v>
      </c>
      <c r="BT238" s="272">
        <f>IF('Advanced Inputs'!J$19="Photon system",10^'Advanced Inputs'!J243,'Advanced Inputs'!J243)</f>
        <v>0</v>
      </c>
      <c r="BV238" s="272">
        <v>597</v>
      </c>
      <c r="BW238" s="8">
        <v>126.849</v>
      </c>
      <c r="BX238" s="8">
        <v>89.61</v>
      </c>
      <c r="CC238" s="8">
        <v>1</v>
      </c>
    </row>
    <row r="239" hidden="1" spans="8:81">
      <c r="H239" s="8">
        <v>598</v>
      </c>
      <c r="I239" s="261"/>
      <c r="J239" s="261"/>
      <c r="K239" s="261"/>
      <c r="L239" s="261"/>
      <c r="M239" s="261"/>
      <c r="N239" s="261"/>
      <c r="O239" s="261"/>
      <c r="P239" s="261"/>
      <c r="Q239" s="261"/>
      <c r="R239" s="261"/>
      <c r="S239" s="261">
        <v>8.00558</v>
      </c>
      <c r="T239" s="261"/>
      <c r="V239" s="8">
        <v>598</v>
      </c>
      <c r="W239" s="261"/>
      <c r="X239" s="261"/>
      <c r="Y239" s="261"/>
      <c r="Z239" s="261"/>
      <c r="AA239" s="261"/>
      <c r="AB239" s="261"/>
      <c r="AC239" s="261"/>
      <c r="AD239" s="261"/>
      <c r="AF239" s="8">
        <v>598</v>
      </c>
      <c r="AG239" s="261"/>
      <c r="AH239" s="261"/>
      <c r="AI239" s="261"/>
      <c r="AJ239" s="261"/>
      <c r="AK239" s="261"/>
      <c r="AL239" s="261"/>
      <c r="AM239" s="261"/>
      <c r="AO239" s="12">
        <v>598</v>
      </c>
      <c r="AP239" s="264"/>
      <c r="AQ239" s="264"/>
      <c r="AR239" s="264">
        <v>16.5331508814909</v>
      </c>
      <c r="AS239" s="264"/>
      <c r="AT239" s="264"/>
      <c r="AU239" s="264"/>
      <c r="AV239" s="264"/>
      <c r="AW239" s="264"/>
      <c r="AX239" s="264"/>
      <c r="BP239" s="272">
        <f>Inputs!B242</f>
        <v>598</v>
      </c>
      <c r="BQ239" s="272">
        <f>IF(LEFT(Inputs!$C$11,6)="photon",10^Inputs!C242,Inputs!C242)</f>
        <v>14.4463090689415</v>
      </c>
      <c r="BR239" s="272"/>
      <c r="BS239" s="272">
        <f>'Advanced Inputs'!I244</f>
        <v>598</v>
      </c>
      <c r="BT239" s="272">
        <f>IF('Advanced Inputs'!J$19="Photon system",10^'Advanced Inputs'!J244,'Advanced Inputs'!J244)</f>
        <v>0</v>
      </c>
      <c r="BV239" s="272">
        <v>598</v>
      </c>
      <c r="BW239" s="8">
        <v>127.58</v>
      </c>
      <c r="BX239" s="8">
        <v>89.7421</v>
      </c>
      <c r="CC239" s="8">
        <v>1</v>
      </c>
    </row>
    <row r="240" hidden="1" spans="8:81">
      <c r="H240" s="8">
        <v>599</v>
      </c>
      <c r="I240" s="261"/>
      <c r="J240" s="261"/>
      <c r="K240" s="261"/>
      <c r="L240" s="261"/>
      <c r="M240" s="261"/>
      <c r="N240" s="261"/>
      <c r="O240" s="261"/>
      <c r="P240" s="261"/>
      <c r="Q240" s="261"/>
      <c r="R240" s="261"/>
      <c r="S240" s="261">
        <v>7.601485</v>
      </c>
      <c r="T240" s="261"/>
      <c r="V240" s="8">
        <v>599</v>
      </c>
      <c r="W240" s="261"/>
      <c r="X240" s="261"/>
      <c r="Y240" s="261"/>
      <c r="Z240" s="261"/>
      <c r="AA240" s="261"/>
      <c r="AB240" s="261"/>
      <c r="AC240" s="261"/>
      <c r="AD240" s="261"/>
      <c r="AF240" s="8">
        <v>599</v>
      </c>
      <c r="AG240" s="261"/>
      <c r="AH240" s="261"/>
      <c r="AI240" s="261"/>
      <c r="AJ240" s="261"/>
      <c r="AK240" s="261"/>
      <c r="AL240" s="261"/>
      <c r="AM240" s="261"/>
      <c r="AO240" s="12">
        <v>599</v>
      </c>
      <c r="AP240" s="264"/>
      <c r="AQ240" s="264"/>
      <c r="AR240" s="264">
        <v>16.5176245959642</v>
      </c>
      <c r="AS240" s="264"/>
      <c r="AT240" s="264"/>
      <c r="AU240" s="264"/>
      <c r="AV240" s="264"/>
      <c r="AW240" s="264"/>
      <c r="AX240" s="264"/>
      <c r="BP240" s="272">
        <f>Inputs!B243</f>
        <v>599</v>
      </c>
      <c r="BQ240" s="272">
        <f>IF(LEFT(Inputs!$C$11,6)="photon",10^Inputs!C243,Inputs!C243)</f>
        <v>14.6149567205183</v>
      </c>
      <c r="BR240" s="272"/>
      <c r="BS240" s="272">
        <f>'Advanced Inputs'!I245</f>
        <v>599</v>
      </c>
      <c r="BT240" s="272">
        <f>IF('Advanced Inputs'!J$19="Photon system",10^'Advanced Inputs'!J245,'Advanced Inputs'!J245)</f>
        <v>0</v>
      </c>
      <c r="BV240" s="272">
        <v>599</v>
      </c>
      <c r="BW240" s="8">
        <v>128.312</v>
      </c>
      <c r="BX240" s="8">
        <v>89.8741</v>
      </c>
      <c r="CC240" s="8">
        <v>1</v>
      </c>
    </row>
    <row r="241" hidden="1" spans="8:81">
      <c r="H241" s="8">
        <v>600</v>
      </c>
      <c r="I241" s="261"/>
      <c r="J241" s="261"/>
      <c r="K241" s="261"/>
      <c r="L241" s="261"/>
      <c r="M241" s="261"/>
      <c r="N241" s="261"/>
      <c r="O241" s="261"/>
      <c r="P241" s="261"/>
      <c r="Q241" s="261"/>
      <c r="R241" s="261"/>
      <c r="S241" s="261">
        <v>7.33</v>
      </c>
      <c r="T241" s="261"/>
      <c r="V241" s="8">
        <v>600</v>
      </c>
      <c r="W241" s="261"/>
      <c r="X241" s="261"/>
      <c r="Y241" s="261"/>
      <c r="Z241" s="261"/>
      <c r="AA241" s="261"/>
      <c r="AB241" s="261"/>
      <c r="AC241" s="261"/>
      <c r="AD241" s="261"/>
      <c r="AF241" s="8">
        <v>600</v>
      </c>
      <c r="AG241" s="261"/>
      <c r="AH241" s="261"/>
      <c r="AI241" s="261"/>
      <c r="AJ241" s="261"/>
      <c r="AK241" s="261"/>
      <c r="AL241" s="261"/>
      <c r="AM241" s="261"/>
      <c r="AO241" s="12">
        <v>600</v>
      </c>
      <c r="AP241" s="264"/>
      <c r="AQ241" s="264"/>
      <c r="AR241" s="264">
        <v>16.4962093018572</v>
      </c>
      <c r="AS241" s="264"/>
      <c r="AT241" s="264"/>
      <c r="AU241" s="264"/>
      <c r="AV241" s="264"/>
      <c r="AW241" s="264"/>
      <c r="AX241" s="264"/>
      <c r="BP241" s="272">
        <f>Inputs!B244</f>
        <v>600</v>
      </c>
      <c r="BQ241" s="272">
        <f>IF(LEFT(Inputs!$C$11,6)="photon",10^Inputs!C244,Inputs!C244)</f>
        <v>14.8710724625532</v>
      </c>
      <c r="BR241" s="272"/>
      <c r="BS241" s="272">
        <f>'Advanced Inputs'!I246</f>
        <v>600</v>
      </c>
      <c r="BT241" s="272">
        <f>IF('Advanced Inputs'!J$19="Photon system",10^'Advanced Inputs'!J246,'Advanced Inputs'!J246)</f>
        <v>0</v>
      </c>
      <c r="BV241" s="272">
        <v>600</v>
      </c>
      <c r="BW241" s="8">
        <v>129.043</v>
      </c>
      <c r="BX241" s="8">
        <v>90.0062</v>
      </c>
      <c r="CC241" s="8">
        <v>1</v>
      </c>
    </row>
    <row r="242" hidden="1" spans="8:81">
      <c r="H242" s="8">
        <v>601</v>
      </c>
      <c r="I242" s="261"/>
      <c r="J242" s="261"/>
      <c r="K242" s="261"/>
      <c r="L242" s="261"/>
      <c r="M242" s="261"/>
      <c r="N242" s="261"/>
      <c r="O242" s="261"/>
      <c r="P242" s="261"/>
      <c r="Q242" s="261"/>
      <c r="R242" s="261"/>
      <c r="S242" s="261">
        <v>7.4496375</v>
      </c>
      <c r="T242" s="261"/>
      <c r="V242" s="8">
        <v>601</v>
      </c>
      <c r="W242" s="261"/>
      <c r="X242" s="261"/>
      <c r="Y242" s="261"/>
      <c r="Z242" s="261"/>
      <c r="AA242" s="261"/>
      <c r="AB242" s="261"/>
      <c r="AC242" s="261"/>
      <c r="AD242" s="261"/>
      <c r="AF242" s="8">
        <v>601</v>
      </c>
      <c r="AG242" s="261"/>
      <c r="AH242" s="261"/>
      <c r="AI242" s="261"/>
      <c r="AJ242" s="261"/>
      <c r="AK242" s="261"/>
      <c r="AL242" s="261"/>
      <c r="AM242" s="261"/>
      <c r="AO242" s="12">
        <v>601</v>
      </c>
      <c r="AP242" s="264"/>
      <c r="AQ242" s="264"/>
      <c r="AR242" s="264">
        <v>16.4698123314595</v>
      </c>
      <c r="AS242" s="264"/>
      <c r="AT242" s="264"/>
      <c r="AU242" s="264"/>
      <c r="AV242" s="264"/>
      <c r="AW242" s="264"/>
      <c r="AX242" s="264"/>
      <c r="BP242" s="272">
        <f>Inputs!B245</f>
        <v>601</v>
      </c>
      <c r="BQ242" s="272">
        <f>IF(LEFT(Inputs!$C$11,6)="photon",10^Inputs!C245,Inputs!C245)</f>
        <v>15.0844901182691</v>
      </c>
      <c r="BR242" s="272"/>
      <c r="BS242" s="272">
        <f>'Advanced Inputs'!I247</f>
        <v>601</v>
      </c>
      <c r="BT242" s="272">
        <f>IF('Advanced Inputs'!J$19="Photon system",10^'Advanced Inputs'!J247,'Advanced Inputs'!J247)</f>
        <v>0</v>
      </c>
      <c r="BV242" s="272">
        <v>601</v>
      </c>
      <c r="BW242" s="8">
        <v>129.774</v>
      </c>
      <c r="BX242" s="8">
        <v>89.9655</v>
      </c>
      <c r="CC242" s="8">
        <v>1</v>
      </c>
    </row>
    <row r="243" hidden="1" spans="8:81">
      <c r="H243" s="8">
        <v>602</v>
      </c>
      <c r="I243" s="261"/>
      <c r="J243" s="261"/>
      <c r="K243" s="261"/>
      <c r="L243" s="261"/>
      <c r="M243" s="261"/>
      <c r="N243" s="261"/>
      <c r="O243" s="261"/>
      <c r="P243" s="261"/>
      <c r="Q243" s="261"/>
      <c r="R243" s="261"/>
      <c r="S243" s="261">
        <v>7.6988</v>
      </c>
      <c r="T243" s="261"/>
      <c r="V243" s="8">
        <v>602</v>
      </c>
      <c r="W243" s="261"/>
      <c r="X243" s="261"/>
      <c r="Y243" s="261"/>
      <c r="Z243" s="261"/>
      <c r="AA243" s="261"/>
      <c r="AB243" s="261"/>
      <c r="AC243" s="261"/>
      <c r="AD243" s="261"/>
      <c r="AF243" s="8">
        <v>602</v>
      </c>
      <c r="AG243" s="261"/>
      <c r="AH243" s="261"/>
      <c r="AI243" s="261"/>
      <c r="AJ243" s="261"/>
      <c r="AK243" s="261"/>
      <c r="AL243" s="261"/>
      <c r="AM243" s="261"/>
      <c r="AO243" s="12">
        <v>602</v>
      </c>
      <c r="AP243" s="264"/>
      <c r="AQ243" s="264"/>
      <c r="AR243" s="264">
        <v>16.4393071613314</v>
      </c>
      <c r="AS243" s="264"/>
      <c r="AT243" s="264"/>
      <c r="AU243" s="264"/>
      <c r="AV243" s="264"/>
      <c r="AW243" s="264"/>
      <c r="AX243" s="264"/>
      <c r="BP243" s="272">
        <f>Inputs!B246</f>
        <v>602</v>
      </c>
      <c r="BQ243" s="272">
        <f>IF(LEFT(Inputs!$C$11,6)="photon",10^Inputs!C246,Inputs!C246)</f>
        <v>15.3006815565815</v>
      </c>
      <c r="BR243" s="272"/>
      <c r="BS243" s="272">
        <f>'Advanced Inputs'!I248</f>
        <v>602</v>
      </c>
      <c r="BT243" s="272">
        <f>IF('Advanced Inputs'!J$19="Photon system",10^'Advanced Inputs'!J248,'Advanced Inputs'!J248)</f>
        <v>0</v>
      </c>
      <c r="BV243" s="272">
        <v>602</v>
      </c>
      <c r="BW243" s="8">
        <v>130.505</v>
      </c>
      <c r="BX243" s="8">
        <v>89.9248</v>
      </c>
      <c r="CC243" s="8">
        <v>1</v>
      </c>
    </row>
    <row r="244" hidden="1" spans="8:81">
      <c r="H244" s="8">
        <v>603</v>
      </c>
      <c r="I244" s="261"/>
      <c r="J244" s="261"/>
      <c r="K244" s="261"/>
      <c r="L244" s="261"/>
      <c r="M244" s="261"/>
      <c r="N244" s="261"/>
      <c r="O244" s="261"/>
      <c r="P244" s="261"/>
      <c r="Q244" s="261"/>
      <c r="R244" s="261"/>
      <c r="S244" s="261">
        <v>8.04705</v>
      </c>
      <c r="T244" s="261"/>
      <c r="V244" s="8">
        <v>603</v>
      </c>
      <c r="W244" s="261"/>
      <c r="X244" s="261"/>
      <c r="Y244" s="261"/>
      <c r="Z244" s="261"/>
      <c r="AA244" s="261"/>
      <c r="AB244" s="261"/>
      <c r="AC244" s="261"/>
      <c r="AD244" s="261"/>
      <c r="AF244" s="8">
        <v>603</v>
      </c>
      <c r="AG244" s="261"/>
      <c r="AH244" s="261"/>
      <c r="AI244" s="261"/>
      <c r="AJ244" s="261"/>
      <c r="AK244" s="261"/>
      <c r="AL244" s="261"/>
      <c r="AM244" s="261"/>
      <c r="AO244" s="12">
        <v>603</v>
      </c>
      <c r="AP244" s="264"/>
      <c r="AQ244" s="264"/>
      <c r="AR244" s="264">
        <v>16.4046777776117</v>
      </c>
      <c r="AS244" s="264"/>
      <c r="AT244" s="264"/>
      <c r="AU244" s="264"/>
      <c r="AV244" s="264"/>
      <c r="AW244" s="264"/>
      <c r="AX244" s="264"/>
      <c r="BP244" s="272">
        <f>Inputs!B247</f>
        <v>603</v>
      </c>
      <c r="BQ244" s="272">
        <f>IF(LEFT(Inputs!$C$11,6)="photon",10^Inputs!C247,Inputs!C247)</f>
        <v>15.5845159653638</v>
      </c>
      <c r="BR244" s="272"/>
      <c r="BS244" s="272">
        <f>'Advanced Inputs'!I249</f>
        <v>603</v>
      </c>
      <c r="BT244" s="272">
        <f>IF('Advanced Inputs'!J$19="Photon system",10^'Advanced Inputs'!J249,'Advanced Inputs'!J249)</f>
        <v>0</v>
      </c>
      <c r="BV244" s="272">
        <v>603</v>
      </c>
      <c r="BW244" s="8">
        <v>131.236</v>
      </c>
      <c r="BX244" s="8">
        <v>89.8841</v>
      </c>
      <c r="CC244" s="8">
        <v>1</v>
      </c>
    </row>
    <row r="245" hidden="1" spans="8:81">
      <c r="H245" s="8">
        <v>604</v>
      </c>
      <c r="I245" s="261"/>
      <c r="J245" s="261"/>
      <c r="K245" s="261"/>
      <c r="L245" s="261"/>
      <c r="M245" s="261"/>
      <c r="N245" s="261"/>
      <c r="O245" s="261"/>
      <c r="P245" s="261"/>
      <c r="Q245" s="261"/>
      <c r="R245" s="261"/>
      <c r="S245" s="261">
        <v>8.46395</v>
      </c>
      <c r="T245" s="261"/>
      <c r="V245" s="8">
        <v>604</v>
      </c>
      <c r="W245" s="261"/>
      <c r="X245" s="261"/>
      <c r="Y245" s="261"/>
      <c r="Z245" s="261"/>
      <c r="AA245" s="261"/>
      <c r="AB245" s="261"/>
      <c r="AC245" s="261"/>
      <c r="AD245" s="261"/>
      <c r="AF245" s="8">
        <v>604</v>
      </c>
      <c r="AG245" s="261"/>
      <c r="AH245" s="261"/>
      <c r="AI245" s="261"/>
      <c r="AJ245" s="261"/>
      <c r="AK245" s="261"/>
      <c r="AL245" s="261"/>
      <c r="AM245" s="261"/>
      <c r="AO245" s="12">
        <v>604</v>
      </c>
      <c r="AP245" s="264"/>
      <c r="AQ245" s="264"/>
      <c r="AR245" s="264">
        <v>16.3645983879972</v>
      </c>
      <c r="AS245" s="264"/>
      <c r="AT245" s="264"/>
      <c r="AU245" s="264"/>
      <c r="AV245" s="264"/>
      <c r="AW245" s="264"/>
      <c r="AX245" s="264"/>
      <c r="BP245" s="272">
        <f>Inputs!B248</f>
        <v>604</v>
      </c>
      <c r="BQ245" s="272">
        <f>IF(LEFT(Inputs!$C$11,6)="photon",10^Inputs!C248,Inputs!C248)</f>
        <v>15.8618799356908</v>
      </c>
      <c r="BR245" s="272"/>
      <c r="BS245" s="272">
        <f>'Advanced Inputs'!I250</f>
        <v>604</v>
      </c>
      <c r="BT245" s="272">
        <f>IF('Advanced Inputs'!J$19="Photon system",10^'Advanced Inputs'!J250,'Advanced Inputs'!J250)</f>
        <v>0</v>
      </c>
      <c r="BV245" s="272">
        <v>604</v>
      </c>
      <c r="BW245" s="8">
        <v>131.966</v>
      </c>
      <c r="BX245" s="8">
        <v>89.8434</v>
      </c>
      <c r="CC245" s="8">
        <v>1</v>
      </c>
    </row>
    <row r="246" hidden="1" spans="8:81">
      <c r="H246" s="8">
        <v>605</v>
      </c>
      <c r="I246" s="261"/>
      <c r="J246" s="261"/>
      <c r="K246" s="261"/>
      <c r="L246" s="261"/>
      <c r="M246" s="261"/>
      <c r="N246" s="261"/>
      <c r="O246" s="261"/>
      <c r="P246" s="261"/>
      <c r="Q246" s="261"/>
      <c r="R246" s="261"/>
      <c r="S246" s="261">
        <v>8.9190625</v>
      </c>
      <c r="T246" s="261"/>
      <c r="V246" s="8">
        <v>605</v>
      </c>
      <c r="W246" s="261"/>
      <c r="X246" s="261"/>
      <c r="Y246" s="261"/>
      <c r="Z246" s="261"/>
      <c r="AA246" s="261"/>
      <c r="AB246" s="261"/>
      <c r="AC246" s="261"/>
      <c r="AD246" s="261"/>
      <c r="AF246" s="8">
        <v>605</v>
      </c>
      <c r="AG246" s="261"/>
      <c r="AH246" s="261"/>
      <c r="AI246" s="261"/>
      <c r="AJ246" s="261"/>
      <c r="AK246" s="261"/>
      <c r="AL246" s="261"/>
      <c r="AM246" s="261"/>
      <c r="AO246" s="12">
        <v>605</v>
      </c>
      <c r="AP246" s="264"/>
      <c r="AQ246" s="264"/>
      <c r="AR246" s="264">
        <v>16.3177691712192</v>
      </c>
      <c r="AS246" s="264"/>
      <c r="AT246" s="264"/>
      <c r="AU246" s="264"/>
      <c r="AV246" s="264"/>
      <c r="AW246" s="264"/>
      <c r="AX246" s="264"/>
      <c r="BP246" s="272">
        <f>Inputs!B249</f>
        <v>605</v>
      </c>
      <c r="BQ246" s="272">
        <f>IF(LEFT(Inputs!$C$11,6)="photon",10^Inputs!C249,Inputs!C249)</f>
        <v>16.2048742934763</v>
      </c>
      <c r="BR246" s="272"/>
      <c r="BS246" s="272">
        <f>'Advanced Inputs'!I251</f>
        <v>605</v>
      </c>
      <c r="BT246" s="272">
        <f>IF('Advanced Inputs'!J$19="Photon system",10^'Advanced Inputs'!J251,'Advanced Inputs'!J251)</f>
        <v>0</v>
      </c>
      <c r="BV246" s="272">
        <v>605</v>
      </c>
      <c r="BW246" s="8">
        <v>132.697</v>
      </c>
      <c r="BX246" s="8">
        <v>89.8026</v>
      </c>
      <c r="CC246" s="8">
        <v>1</v>
      </c>
    </row>
    <row r="247" hidden="1" spans="8:81">
      <c r="H247" s="8">
        <v>606</v>
      </c>
      <c r="I247" s="261"/>
      <c r="J247" s="261"/>
      <c r="K247" s="261"/>
      <c r="L247" s="261"/>
      <c r="M247" s="261"/>
      <c r="N247" s="261"/>
      <c r="O247" s="261"/>
      <c r="P247" s="261"/>
      <c r="Q247" s="261"/>
      <c r="R247" s="261"/>
      <c r="S247" s="261">
        <v>9.27358</v>
      </c>
      <c r="T247" s="261"/>
      <c r="V247" s="8">
        <v>606</v>
      </c>
      <c r="W247" s="261"/>
      <c r="X247" s="261"/>
      <c r="Y247" s="261"/>
      <c r="Z247" s="261"/>
      <c r="AA247" s="261"/>
      <c r="AB247" s="261"/>
      <c r="AC247" s="261"/>
      <c r="AD247" s="261"/>
      <c r="AF247" s="8">
        <v>606</v>
      </c>
      <c r="AG247" s="261"/>
      <c r="AH247" s="261"/>
      <c r="AI247" s="261"/>
      <c r="AJ247" s="261"/>
      <c r="AK247" s="261"/>
      <c r="AL247" s="261"/>
      <c r="AM247" s="261"/>
      <c r="AO247" s="12">
        <v>606</v>
      </c>
      <c r="AP247" s="264"/>
      <c r="AQ247" s="264"/>
      <c r="AR247" s="264">
        <v>16.2641040936947</v>
      </c>
      <c r="AS247" s="264"/>
      <c r="AT247" s="264"/>
      <c r="AU247" s="264"/>
      <c r="AV247" s="264"/>
      <c r="AW247" s="264"/>
      <c r="AX247" s="264"/>
      <c r="BP247" s="272">
        <f>Inputs!B250</f>
        <v>606</v>
      </c>
      <c r="BQ247" s="272">
        <f>IF(LEFT(Inputs!$C$11,6)="photon",10^Inputs!C250,Inputs!C250)</f>
        <v>16.5036195138469</v>
      </c>
      <c r="BR247" s="272"/>
      <c r="BS247" s="272">
        <f>'Advanced Inputs'!I252</f>
        <v>606</v>
      </c>
      <c r="BT247" s="272">
        <f>IF('Advanced Inputs'!J$19="Photon system",10^'Advanced Inputs'!J252,'Advanced Inputs'!J252)</f>
        <v>0</v>
      </c>
      <c r="BV247" s="272">
        <v>606</v>
      </c>
      <c r="BW247" s="8">
        <v>133.427</v>
      </c>
      <c r="BX247" s="8">
        <v>89.7619</v>
      </c>
      <c r="CC247" s="8">
        <v>1</v>
      </c>
    </row>
    <row r="248" hidden="1" spans="8:81">
      <c r="H248" s="8">
        <v>607</v>
      </c>
      <c r="I248" s="261"/>
      <c r="J248" s="261"/>
      <c r="K248" s="261"/>
      <c r="L248" s="261"/>
      <c r="M248" s="261"/>
      <c r="N248" s="261"/>
      <c r="O248" s="261"/>
      <c r="P248" s="261"/>
      <c r="Q248" s="261"/>
      <c r="R248" s="261"/>
      <c r="S248" s="261">
        <v>9.6325275</v>
      </c>
      <c r="T248" s="261"/>
      <c r="V248" s="8">
        <v>607</v>
      </c>
      <c r="W248" s="261"/>
      <c r="X248" s="261"/>
      <c r="Y248" s="261"/>
      <c r="Z248" s="261"/>
      <c r="AA248" s="261"/>
      <c r="AB248" s="261"/>
      <c r="AC248" s="261"/>
      <c r="AD248" s="261"/>
      <c r="AF248" s="8">
        <v>607</v>
      </c>
      <c r="AG248" s="261"/>
      <c r="AH248" s="261"/>
      <c r="AI248" s="261"/>
      <c r="AJ248" s="261"/>
      <c r="AK248" s="261"/>
      <c r="AL248" s="261"/>
      <c r="AM248" s="261"/>
      <c r="AO248" s="12">
        <v>607</v>
      </c>
      <c r="AP248" s="264"/>
      <c r="AQ248" s="264"/>
      <c r="AR248" s="264">
        <v>16.2045519140784</v>
      </c>
      <c r="AS248" s="264"/>
      <c r="AT248" s="264"/>
      <c r="AU248" s="264"/>
      <c r="AV248" s="264"/>
      <c r="AW248" s="264"/>
      <c r="AX248" s="264"/>
      <c r="BP248" s="272">
        <f>Inputs!B251</f>
        <v>607</v>
      </c>
      <c r="BQ248" s="272">
        <f>IF(LEFT(Inputs!$C$11,6)="photon",10^Inputs!C251,Inputs!C251)</f>
        <v>16.9201855876923</v>
      </c>
      <c r="BR248" s="272"/>
      <c r="BS248" s="272">
        <f>'Advanced Inputs'!I253</f>
        <v>607</v>
      </c>
      <c r="BT248" s="272">
        <f>IF('Advanced Inputs'!J$19="Photon system",10^'Advanced Inputs'!J253,'Advanced Inputs'!J253)</f>
        <v>0</v>
      </c>
      <c r="BV248" s="272">
        <v>607</v>
      </c>
      <c r="BW248" s="8">
        <v>134.157</v>
      </c>
      <c r="BX248" s="8">
        <v>89.7212</v>
      </c>
      <c r="CC248" s="8">
        <v>1</v>
      </c>
    </row>
    <row r="249" hidden="1" spans="8:81">
      <c r="H249" s="8">
        <v>608</v>
      </c>
      <c r="I249" s="261"/>
      <c r="J249" s="261"/>
      <c r="K249" s="261"/>
      <c r="L249" s="261"/>
      <c r="M249" s="261"/>
      <c r="N249" s="261"/>
      <c r="O249" s="261"/>
      <c r="P249" s="261"/>
      <c r="Q249" s="261"/>
      <c r="R249" s="261"/>
      <c r="S249" s="261">
        <v>9.99256</v>
      </c>
      <c r="T249" s="261"/>
      <c r="V249" s="8">
        <v>608</v>
      </c>
      <c r="W249" s="261"/>
      <c r="X249" s="261"/>
      <c r="Y249" s="261"/>
      <c r="Z249" s="261"/>
      <c r="AA249" s="261"/>
      <c r="AB249" s="261"/>
      <c r="AC249" s="261"/>
      <c r="AD249" s="261"/>
      <c r="AF249" s="8">
        <v>608</v>
      </c>
      <c r="AG249" s="261"/>
      <c r="AH249" s="261"/>
      <c r="AI249" s="261"/>
      <c r="AJ249" s="261"/>
      <c r="AK249" s="261"/>
      <c r="AL249" s="261"/>
      <c r="AM249" s="261"/>
      <c r="AO249" s="12">
        <v>608</v>
      </c>
      <c r="AP249" s="264"/>
      <c r="AQ249" s="264"/>
      <c r="AR249" s="264">
        <v>16.1402535563898</v>
      </c>
      <c r="AS249" s="264"/>
      <c r="AT249" s="264"/>
      <c r="AU249" s="264"/>
      <c r="AV249" s="264"/>
      <c r="AW249" s="264"/>
      <c r="AX249" s="264"/>
      <c r="BP249" s="272">
        <f>Inputs!B252</f>
        <v>608</v>
      </c>
      <c r="BQ249" s="272">
        <f>IF(LEFT(Inputs!$C$11,6)="photon",10^Inputs!C252,Inputs!C252)</f>
        <v>17.2628602703595</v>
      </c>
      <c r="BR249" s="272"/>
      <c r="BS249" s="272">
        <f>'Advanced Inputs'!I254</f>
        <v>608</v>
      </c>
      <c r="BT249" s="272">
        <f>IF('Advanced Inputs'!J$19="Photon system",10^'Advanced Inputs'!J254,'Advanced Inputs'!J254)</f>
        <v>0</v>
      </c>
      <c r="BV249" s="272">
        <v>608</v>
      </c>
      <c r="BW249" s="8">
        <v>134.887</v>
      </c>
      <c r="BX249" s="8">
        <v>89.6805</v>
      </c>
      <c r="CC249" s="8">
        <v>1</v>
      </c>
    </row>
    <row r="250" hidden="1" spans="8:81">
      <c r="H250" s="8">
        <v>609</v>
      </c>
      <c r="I250" s="261"/>
      <c r="J250" s="261"/>
      <c r="K250" s="261"/>
      <c r="L250" s="261"/>
      <c r="M250" s="261"/>
      <c r="N250" s="261"/>
      <c r="O250" s="261"/>
      <c r="P250" s="261"/>
      <c r="Q250" s="261"/>
      <c r="R250" s="261"/>
      <c r="S250" s="261">
        <v>28.8714406269669</v>
      </c>
      <c r="T250" s="261"/>
      <c r="V250" s="8">
        <v>609</v>
      </c>
      <c r="W250" s="261"/>
      <c r="X250" s="261"/>
      <c r="Y250" s="261"/>
      <c r="Z250" s="261"/>
      <c r="AA250" s="261"/>
      <c r="AB250" s="261"/>
      <c r="AC250" s="261"/>
      <c r="AD250" s="261"/>
      <c r="AF250" s="8">
        <v>609</v>
      </c>
      <c r="AG250" s="261"/>
      <c r="AH250" s="261"/>
      <c r="AI250" s="261"/>
      <c r="AJ250" s="261"/>
      <c r="AK250" s="261"/>
      <c r="AL250" s="261"/>
      <c r="AM250" s="261"/>
      <c r="AO250" s="12">
        <v>609</v>
      </c>
      <c r="AP250" s="264"/>
      <c r="AQ250" s="264"/>
      <c r="AR250" s="264">
        <v>16.0713488123796</v>
      </c>
      <c r="AS250" s="264"/>
      <c r="AT250" s="264"/>
      <c r="AU250" s="264"/>
      <c r="AV250" s="264"/>
      <c r="AW250" s="264"/>
      <c r="AX250" s="264"/>
      <c r="BP250" s="272">
        <f>Inputs!B253</f>
        <v>609</v>
      </c>
      <c r="BQ250" s="272">
        <f>IF(LEFT(Inputs!$C$11,6)="photon",10^Inputs!C253,Inputs!C253)</f>
        <v>17.6894608816923</v>
      </c>
      <c r="BR250" s="272"/>
      <c r="BS250" s="272">
        <f>'Advanced Inputs'!I255</f>
        <v>609</v>
      </c>
      <c r="BT250" s="272">
        <f>IF('Advanced Inputs'!J$19="Photon system",10^'Advanced Inputs'!J255,'Advanced Inputs'!J255)</f>
        <v>0</v>
      </c>
      <c r="BV250" s="272">
        <v>609</v>
      </c>
      <c r="BW250" s="8">
        <v>135.617</v>
      </c>
      <c r="BX250" s="8">
        <v>89.6398</v>
      </c>
      <c r="CC250" s="8">
        <v>1</v>
      </c>
    </row>
    <row r="251" hidden="1" spans="8:81">
      <c r="H251" s="8">
        <v>610</v>
      </c>
      <c r="I251" s="261"/>
      <c r="J251" s="261"/>
      <c r="K251" s="261"/>
      <c r="L251" s="261"/>
      <c r="M251" s="261"/>
      <c r="N251" s="261"/>
      <c r="O251" s="261"/>
      <c r="P251" s="261"/>
      <c r="Q251" s="261"/>
      <c r="R251" s="261"/>
      <c r="S251" s="261">
        <v>177.20630083641</v>
      </c>
      <c r="T251" s="261"/>
      <c r="V251" s="8">
        <v>610</v>
      </c>
      <c r="W251" s="261"/>
      <c r="X251" s="261"/>
      <c r="Y251" s="261"/>
      <c r="Z251" s="261"/>
      <c r="AA251" s="261"/>
      <c r="AB251" s="261"/>
      <c r="AC251" s="261"/>
      <c r="AD251" s="261"/>
      <c r="AF251" s="8">
        <v>610</v>
      </c>
      <c r="AG251" s="261"/>
      <c r="AH251" s="261"/>
      <c r="AI251" s="261"/>
      <c r="AJ251" s="261"/>
      <c r="AK251" s="261"/>
      <c r="AL251" s="261"/>
      <c r="AM251" s="261"/>
      <c r="AO251" s="12">
        <v>610</v>
      </c>
      <c r="AP251" s="264"/>
      <c r="AQ251" s="264"/>
      <c r="AR251" s="264">
        <v>15.9975483902425</v>
      </c>
      <c r="AS251" s="264"/>
      <c r="AT251" s="264"/>
      <c r="AU251" s="264"/>
      <c r="AV251" s="264"/>
      <c r="AW251" s="264"/>
      <c r="AX251" s="264"/>
      <c r="BP251" s="272">
        <f>Inputs!B254</f>
        <v>610</v>
      </c>
      <c r="BQ251" s="272">
        <f>IF(LEFT(Inputs!$C$11,6)="photon",10^Inputs!C254,Inputs!C254)</f>
        <v>18.1287610846953</v>
      </c>
      <c r="BR251" s="272"/>
      <c r="BS251" s="272">
        <f>'Advanced Inputs'!I256</f>
        <v>610</v>
      </c>
      <c r="BT251" s="272">
        <f>IF('Advanced Inputs'!J$19="Photon system",10^'Advanced Inputs'!J256,'Advanced Inputs'!J256)</f>
        <v>0</v>
      </c>
      <c r="BV251" s="272">
        <v>610</v>
      </c>
      <c r="BW251" s="8">
        <v>136.346</v>
      </c>
      <c r="BX251" s="8">
        <v>89.5991</v>
      </c>
      <c r="CC251" s="8">
        <v>1</v>
      </c>
    </row>
    <row r="252" hidden="1" spans="8:81">
      <c r="H252" s="8">
        <v>611</v>
      </c>
      <c r="I252" s="261"/>
      <c r="J252" s="261"/>
      <c r="K252" s="261"/>
      <c r="L252" s="261"/>
      <c r="M252" s="261"/>
      <c r="N252" s="261"/>
      <c r="O252" s="261"/>
      <c r="P252" s="261"/>
      <c r="Q252" s="261"/>
      <c r="R252" s="261"/>
      <c r="S252" s="261">
        <v>11.0457175037419</v>
      </c>
      <c r="T252" s="261"/>
      <c r="V252" s="8">
        <v>611</v>
      </c>
      <c r="W252" s="261"/>
      <c r="X252" s="261"/>
      <c r="Y252" s="261"/>
      <c r="Z252" s="261"/>
      <c r="AA252" s="261"/>
      <c r="AB252" s="261"/>
      <c r="AC252" s="261"/>
      <c r="AD252" s="261"/>
      <c r="AF252" s="8">
        <v>611</v>
      </c>
      <c r="AG252" s="261"/>
      <c r="AH252" s="261"/>
      <c r="AI252" s="261"/>
      <c r="AJ252" s="261"/>
      <c r="AK252" s="261"/>
      <c r="AL252" s="261"/>
      <c r="AM252" s="261"/>
      <c r="AO252" s="12">
        <v>611</v>
      </c>
      <c r="AP252" s="264"/>
      <c r="AQ252" s="264"/>
      <c r="AR252" s="264">
        <v>15.9179888503616</v>
      </c>
      <c r="AS252" s="264"/>
      <c r="AT252" s="264"/>
      <c r="AU252" s="264"/>
      <c r="AV252" s="264"/>
      <c r="AW252" s="264"/>
      <c r="AX252" s="264"/>
      <c r="BP252" s="272">
        <f>Inputs!B255</f>
        <v>611</v>
      </c>
      <c r="BQ252" s="272">
        <f>IF(LEFT(Inputs!$C$11,6)="photon",10^Inputs!C255,Inputs!C255)</f>
        <v>18.6447390758936</v>
      </c>
      <c r="BR252" s="272"/>
      <c r="BS252" s="272">
        <f>'Advanced Inputs'!I257</f>
        <v>611</v>
      </c>
      <c r="BT252" s="272">
        <f>IF('Advanced Inputs'!J$19="Photon system",10^'Advanced Inputs'!J257,'Advanced Inputs'!J257)</f>
        <v>0</v>
      </c>
      <c r="BV252" s="272">
        <v>611</v>
      </c>
      <c r="BW252" s="8">
        <v>137.075</v>
      </c>
      <c r="BX252" s="8">
        <v>89.4091</v>
      </c>
      <c r="CC252" s="8">
        <v>1</v>
      </c>
    </row>
    <row r="253" hidden="1" spans="8:81">
      <c r="H253" s="8">
        <v>612</v>
      </c>
      <c r="I253" s="261"/>
      <c r="J253" s="261"/>
      <c r="K253" s="261"/>
      <c r="L253" s="261"/>
      <c r="M253" s="261"/>
      <c r="N253" s="261"/>
      <c r="O253" s="261"/>
      <c r="P253" s="261"/>
      <c r="Q253" s="261"/>
      <c r="R253" s="261"/>
      <c r="S253" s="261">
        <v>11.3766400012321</v>
      </c>
      <c r="T253" s="261"/>
      <c r="V253" s="8">
        <v>612</v>
      </c>
      <c r="W253" s="261"/>
      <c r="X253" s="261"/>
      <c r="Y253" s="261"/>
      <c r="Z253" s="261"/>
      <c r="AA253" s="261"/>
      <c r="AB253" s="261"/>
      <c r="AC253" s="261"/>
      <c r="AD253" s="261"/>
      <c r="AF253" s="8">
        <v>612</v>
      </c>
      <c r="AG253" s="261"/>
      <c r="AH253" s="261"/>
      <c r="AI253" s="261"/>
      <c r="AJ253" s="261"/>
      <c r="AK253" s="261"/>
      <c r="AL253" s="261"/>
      <c r="AM253" s="261"/>
      <c r="AO253" s="12">
        <v>612</v>
      </c>
      <c r="AP253" s="264"/>
      <c r="AQ253" s="264"/>
      <c r="AR253" s="264">
        <v>15.8322294461163</v>
      </c>
      <c r="AS253" s="264"/>
      <c r="AT253" s="264"/>
      <c r="AU253" s="264"/>
      <c r="AV253" s="264"/>
      <c r="AW253" s="264"/>
      <c r="AX253" s="264"/>
      <c r="BP253" s="272">
        <f>Inputs!B256</f>
        <v>612</v>
      </c>
      <c r="BQ253" s="272">
        <f>IF(LEFT(Inputs!$C$11,6)="photon",10^Inputs!C256,Inputs!C256)</f>
        <v>19.1445137263083</v>
      </c>
      <c r="BR253" s="272"/>
      <c r="BS253" s="272">
        <f>'Advanced Inputs'!I258</f>
        <v>612</v>
      </c>
      <c r="BT253" s="272">
        <f>IF('Advanced Inputs'!J$19="Photon system",10^'Advanced Inputs'!J258,'Advanced Inputs'!J258)</f>
        <v>0</v>
      </c>
      <c r="BV253" s="272">
        <v>612</v>
      </c>
      <c r="BW253" s="8">
        <v>137.804</v>
      </c>
      <c r="BX253" s="8">
        <v>89.219</v>
      </c>
      <c r="CC253" s="8">
        <v>1</v>
      </c>
    </row>
    <row r="254" hidden="1" spans="8:81">
      <c r="H254" s="8">
        <v>613</v>
      </c>
      <c r="I254" s="261"/>
      <c r="J254" s="261"/>
      <c r="K254" s="261"/>
      <c r="L254" s="261"/>
      <c r="M254" s="261"/>
      <c r="N254" s="261"/>
      <c r="O254" s="261"/>
      <c r="P254" s="261"/>
      <c r="Q254" s="261"/>
      <c r="R254" s="261"/>
      <c r="S254" s="261">
        <v>32.721958214222</v>
      </c>
      <c r="T254" s="261"/>
      <c r="V254" s="8">
        <v>613</v>
      </c>
      <c r="W254" s="261"/>
      <c r="X254" s="261"/>
      <c r="Y254" s="261"/>
      <c r="Z254" s="261"/>
      <c r="AA254" s="261"/>
      <c r="AB254" s="261"/>
      <c r="AC254" s="261"/>
      <c r="AD254" s="261"/>
      <c r="AF254" s="8">
        <v>613</v>
      </c>
      <c r="AG254" s="261"/>
      <c r="AH254" s="261"/>
      <c r="AI254" s="261"/>
      <c r="AJ254" s="261"/>
      <c r="AK254" s="261"/>
      <c r="AL254" s="261"/>
      <c r="AM254" s="261"/>
      <c r="AO254" s="12">
        <v>613</v>
      </c>
      <c r="AP254" s="264"/>
      <c r="AQ254" s="264"/>
      <c r="AR254" s="264">
        <v>15.7405419858531</v>
      </c>
      <c r="AS254" s="264"/>
      <c r="AT254" s="264"/>
      <c r="AU254" s="264"/>
      <c r="AV254" s="264"/>
      <c r="AW254" s="264"/>
      <c r="AX254" s="264"/>
      <c r="BP254" s="272">
        <f>Inputs!B257</f>
        <v>613</v>
      </c>
      <c r="BQ254" s="272">
        <f>IF(LEFT(Inputs!$C$11,6)="photon",10^Inputs!C257,Inputs!C257)</f>
        <v>19.705144181365</v>
      </c>
      <c r="BR254" s="272"/>
      <c r="BS254" s="272">
        <f>'Advanced Inputs'!I259</f>
        <v>613</v>
      </c>
      <c r="BT254" s="272">
        <f>IF('Advanced Inputs'!J$19="Photon system",10^'Advanced Inputs'!J259,'Advanced Inputs'!J259)</f>
        <v>0</v>
      </c>
      <c r="BV254" s="272">
        <v>613</v>
      </c>
      <c r="BW254" s="8">
        <v>138.532</v>
      </c>
      <c r="BX254" s="8">
        <v>89.029</v>
      </c>
      <c r="CC254" s="8">
        <v>1</v>
      </c>
    </row>
    <row r="255" hidden="1" spans="8:81">
      <c r="H255" s="8">
        <v>614</v>
      </c>
      <c r="I255" s="261"/>
      <c r="J255" s="261"/>
      <c r="K255" s="261"/>
      <c r="L255" s="261"/>
      <c r="M255" s="261"/>
      <c r="N255" s="261"/>
      <c r="O255" s="261"/>
      <c r="P255" s="261"/>
      <c r="Q255" s="261"/>
      <c r="R255" s="261"/>
      <c r="S255" s="261">
        <v>179.562951861295</v>
      </c>
      <c r="T255" s="261"/>
      <c r="V255" s="8">
        <v>614</v>
      </c>
      <c r="W255" s="261"/>
      <c r="X255" s="261"/>
      <c r="Y255" s="261"/>
      <c r="Z255" s="261"/>
      <c r="AA255" s="261"/>
      <c r="AB255" s="261"/>
      <c r="AC255" s="261"/>
      <c r="AD255" s="261"/>
      <c r="AF255" s="8">
        <v>614</v>
      </c>
      <c r="AG255" s="261"/>
      <c r="AH255" s="261"/>
      <c r="AI255" s="261"/>
      <c r="AJ255" s="261"/>
      <c r="AK255" s="261"/>
      <c r="AL255" s="261"/>
      <c r="AM255" s="261"/>
      <c r="AO255" s="12">
        <v>614</v>
      </c>
      <c r="AP255" s="264"/>
      <c r="AQ255" s="264"/>
      <c r="AR255" s="264">
        <v>15.6438050577066</v>
      </c>
      <c r="AS255" s="264"/>
      <c r="AT255" s="264"/>
      <c r="AU255" s="264"/>
      <c r="AV255" s="264"/>
      <c r="AW255" s="264"/>
      <c r="AX255" s="264"/>
      <c r="BP255" s="272">
        <f>Inputs!B258</f>
        <v>614</v>
      </c>
      <c r="BQ255" s="272">
        <f>IF(LEFT(Inputs!$C$11,6)="photon",10^Inputs!C258,Inputs!C258)</f>
        <v>20.3012932944239</v>
      </c>
      <c r="BR255" s="272"/>
      <c r="BS255" s="272">
        <f>'Advanced Inputs'!I260</f>
        <v>614</v>
      </c>
      <c r="BT255" s="272">
        <f>IF('Advanced Inputs'!J$19="Photon system",10^'Advanced Inputs'!J260,'Advanced Inputs'!J260)</f>
        <v>0</v>
      </c>
      <c r="BV255" s="272">
        <v>614</v>
      </c>
      <c r="BW255" s="8">
        <v>139.26</v>
      </c>
      <c r="BX255" s="8">
        <v>88.8389</v>
      </c>
      <c r="CC255" s="8">
        <v>1</v>
      </c>
    </row>
    <row r="256" hidden="1" spans="8:81">
      <c r="H256" s="8">
        <v>615</v>
      </c>
      <c r="I256" s="261"/>
      <c r="J256" s="261"/>
      <c r="K256" s="261"/>
      <c r="L256" s="261"/>
      <c r="M256" s="261"/>
      <c r="N256" s="261"/>
      <c r="O256" s="261"/>
      <c r="P256" s="261"/>
      <c r="Q256" s="261"/>
      <c r="R256" s="261"/>
      <c r="S256" s="261">
        <v>17.4435754730201</v>
      </c>
      <c r="T256" s="261"/>
      <c r="V256" s="8">
        <v>615</v>
      </c>
      <c r="W256" s="261"/>
      <c r="X256" s="261"/>
      <c r="Y256" s="261"/>
      <c r="Z256" s="261"/>
      <c r="AA256" s="261"/>
      <c r="AB256" s="261"/>
      <c r="AC256" s="261"/>
      <c r="AD256" s="261"/>
      <c r="AF256" s="8">
        <v>615</v>
      </c>
      <c r="AG256" s="261"/>
      <c r="AH256" s="261"/>
      <c r="AI256" s="261"/>
      <c r="AJ256" s="261"/>
      <c r="AK256" s="261"/>
      <c r="AL256" s="261"/>
      <c r="AM256" s="261"/>
      <c r="AO256" s="12">
        <v>615</v>
      </c>
      <c r="AP256" s="264"/>
      <c r="AQ256" s="264"/>
      <c r="AR256" s="264">
        <v>15.5423986595423</v>
      </c>
      <c r="AS256" s="264"/>
      <c r="AT256" s="264"/>
      <c r="AU256" s="264"/>
      <c r="AV256" s="264"/>
      <c r="AW256" s="264"/>
      <c r="AX256" s="264"/>
      <c r="BP256" s="272">
        <f>Inputs!B259</f>
        <v>615</v>
      </c>
      <c r="BQ256" s="272">
        <f>IF(LEFT(Inputs!$C$11,6)="photon",10^Inputs!C259,Inputs!C259)</f>
        <v>20.8578022781599</v>
      </c>
      <c r="BR256" s="272"/>
      <c r="BS256" s="272">
        <f>'Advanced Inputs'!I261</f>
        <v>615</v>
      </c>
      <c r="BT256" s="272">
        <f>IF('Advanced Inputs'!J$19="Photon system",10^'Advanced Inputs'!J261,'Advanced Inputs'!J261)</f>
        <v>0</v>
      </c>
      <c r="BV256" s="272">
        <v>615</v>
      </c>
      <c r="BW256" s="8">
        <v>139.988</v>
      </c>
      <c r="BX256" s="8">
        <v>88.6489</v>
      </c>
      <c r="CC256" s="8">
        <v>1</v>
      </c>
    </row>
    <row r="257" hidden="1" spans="8:81">
      <c r="H257" s="8">
        <v>616</v>
      </c>
      <c r="I257" s="261"/>
      <c r="J257" s="261"/>
      <c r="K257" s="261"/>
      <c r="L257" s="261"/>
      <c r="M257" s="261"/>
      <c r="N257" s="261"/>
      <c r="O257" s="261"/>
      <c r="P257" s="261"/>
      <c r="Q257" s="261"/>
      <c r="R257" s="261"/>
      <c r="S257" s="261">
        <v>12.5065700000006</v>
      </c>
      <c r="T257" s="261"/>
      <c r="V257" s="8">
        <v>616</v>
      </c>
      <c r="W257" s="261"/>
      <c r="X257" s="261"/>
      <c r="Y257" s="261"/>
      <c r="Z257" s="261"/>
      <c r="AA257" s="261"/>
      <c r="AB257" s="261"/>
      <c r="AC257" s="261"/>
      <c r="AD257" s="261"/>
      <c r="AF257" s="8">
        <v>616</v>
      </c>
      <c r="AG257" s="261"/>
      <c r="AH257" s="261"/>
      <c r="AI257" s="261"/>
      <c r="AJ257" s="261"/>
      <c r="AK257" s="261"/>
      <c r="AL257" s="261"/>
      <c r="AM257" s="261"/>
      <c r="AO257" s="12">
        <v>616</v>
      </c>
      <c r="AP257" s="264"/>
      <c r="AQ257" s="264"/>
      <c r="AR257" s="264">
        <v>15.4362763530189</v>
      </c>
      <c r="AS257" s="264"/>
      <c r="AT257" s="264"/>
      <c r="AU257" s="264"/>
      <c r="AV257" s="264"/>
      <c r="AW257" s="264"/>
      <c r="AX257" s="264"/>
      <c r="BP257" s="272">
        <f>Inputs!B260</f>
        <v>616</v>
      </c>
      <c r="BQ257" s="272">
        <f>IF(LEFT(Inputs!$C$11,6)="photon",10^Inputs!C260,Inputs!C260)</f>
        <v>21.4352598786018</v>
      </c>
      <c r="BR257" s="272"/>
      <c r="BS257" s="272">
        <f>'Advanced Inputs'!I262</f>
        <v>616</v>
      </c>
      <c r="BT257" s="272">
        <f>IF('Advanced Inputs'!J$19="Photon system",10^'Advanced Inputs'!J262,'Advanced Inputs'!J262)</f>
        <v>0</v>
      </c>
      <c r="BV257" s="272">
        <v>616</v>
      </c>
      <c r="BW257" s="8">
        <v>140.715</v>
      </c>
      <c r="BX257" s="8">
        <v>88.4589</v>
      </c>
      <c r="CC257" s="8">
        <v>1</v>
      </c>
    </row>
    <row r="258" hidden="1" spans="8:81">
      <c r="H258" s="8">
        <v>617</v>
      </c>
      <c r="I258" s="261"/>
      <c r="J258" s="261"/>
      <c r="K258" s="261"/>
      <c r="L258" s="261"/>
      <c r="M258" s="261"/>
      <c r="N258" s="261"/>
      <c r="O258" s="261"/>
      <c r="P258" s="261"/>
      <c r="Q258" s="261"/>
      <c r="R258" s="261"/>
      <c r="S258" s="261">
        <v>12.72291</v>
      </c>
      <c r="T258" s="261"/>
      <c r="V258" s="8">
        <v>617</v>
      </c>
      <c r="W258" s="261"/>
      <c r="X258" s="261"/>
      <c r="Y258" s="261"/>
      <c r="Z258" s="261"/>
      <c r="AA258" s="261"/>
      <c r="AB258" s="261"/>
      <c r="AC258" s="261"/>
      <c r="AD258" s="261"/>
      <c r="AF258" s="8">
        <v>617</v>
      </c>
      <c r="AG258" s="261"/>
      <c r="AH258" s="261"/>
      <c r="AI258" s="261"/>
      <c r="AJ258" s="261"/>
      <c r="AK258" s="261"/>
      <c r="AL258" s="261"/>
      <c r="AM258" s="261"/>
      <c r="AO258" s="12">
        <v>617</v>
      </c>
      <c r="AP258" s="264"/>
      <c r="AQ258" s="264"/>
      <c r="AR258" s="264">
        <v>15.3238959886177</v>
      </c>
      <c r="AS258" s="264"/>
      <c r="AT258" s="264"/>
      <c r="AU258" s="264"/>
      <c r="AV258" s="264"/>
      <c r="AW258" s="264"/>
      <c r="AX258" s="264"/>
      <c r="BP258" s="272">
        <f>Inputs!B261</f>
        <v>617</v>
      </c>
      <c r="BQ258" s="272">
        <f>IF(LEFT(Inputs!$C$11,6)="photon",10^Inputs!C261,Inputs!C261)</f>
        <v>21.9604434693433</v>
      </c>
      <c r="BR258" s="272"/>
      <c r="BS258" s="272">
        <f>'Advanced Inputs'!I263</f>
        <v>617</v>
      </c>
      <c r="BT258" s="272">
        <f>IF('Advanced Inputs'!J$19="Photon system",10^'Advanced Inputs'!J263,'Advanced Inputs'!J263)</f>
        <v>0</v>
      </c>
      <c r="BV258" s="272">
        <v>617</v>
      </c>
      <c r="BW258" s="8">
        <v>141.441</v>
      </c>
      <c r="BX258" s="8">
        <v>88.2688</v>
      </c>
      <c r="CC258" s="8">
        <v>1</v>
      </c>
    </row>
    <row r="259" hidden="1" spans="8:81">
      <c r="H259" s="8">
        <v>618</v>
      </c>
      <c r="I259" s="261"/>
      <c r="J259" s="261"/>
      <c r="K259" s="261"/>
      <c r="L259" s="261"/>
      <c r="M259" s="261"/>
      <c r="N259" s="261"/>
      <c r="O259" s="261"/>
      <c r="P259" s="261"/>
      <c r="Q259" s="261"/>
      <c r="R259" s="261"/>
      <c r="S259" s="261">
        <v>12.90884</v>
      </c>
      <c r="T259" s="261"/>
      <c r="V259" s="8">
        <v>618</v>
      </c>
      <c r="W259" s="261"/>
      <c r="X259" s="261"/>
      <c r="Y259" s="261"/>
      <c r="Z259" s="261"/>
      <c r="AA259" s="261"/>
      <c r="AB259" s="261"/>
      <c r="AC259" s="261"/>
      <c r="AD259" s="261"/>
      <c r="AF259" s="8">
        <v>618</v>
      </c>
      <c r="AG259" s="261"/>
      <c r="AH259" s="261"/>
      <c r="AI259" s="261"/>
      <c r="AJ259" s="261"/>
      <c r="AK259" s="261"/>
      <c r="AL259" s="261"/>
      <c r="AM259" s="261"/>
      <c r="AO259" s="12">
        <v>618</v>
      </c>
      <c r="AP259" s="264"/>
      <c r="AQ259" s="264"/>
      <c r="AR259" s="264">
        <v>15.2058969799808</v>
      </c>
      <c r="AS259" s="264"/>
      <c r="AT259" s="264"/>
      <c r="AU259" s="264"/>
      <c r="AV259" s="264"/>
      <c r="AW259" s="264"/>
      <c r="AX259" s="264"/>
      <c r="BP259" s="272">
        <f>Inputs!B262</f>
        <v>618</v>
      </c>
      <c r="BQ259" s="272">
        <f>IF(LEFT(Inputs!$C$11,6)="photon",10^Inputs!C262,Inputs!C262)</f>
        <v>22.4614734318123</v>
      </c>
      <c r="BR259" s="272"/>
      <c r="BS259" s="272">
        <f>'Advanced Inputs'!I264</f>
        <v>618</v>
      </c>
      <c r="BT259" s="272">
        <f>IF('Advanced Inputs'!J$19="Photon system",10^'Advanced Inputs'!J264,'Advanced Inputs'!J264)</f>
        <v>0</v>
      </c>
      <c r="BV259" s="272">
        <v>618</v>
      </c>
      <c r="BW259" s="8">
        <v>142.167</v>
      </c>
      <c r="BX259" s="8">
        <v>88.0788</v>
      </c>
      <c r="CC259" s="8">
        <v>1</v>
      </c>
    </row>
    <row r="260" hidden="1" spans="8:81">
      <c r="H260" s="8">
        <v>619</v>
      </c>
      <c r="I260" s="261"/>
      <c r="J260" s="261"/>
      <c r="K260" s="261"/>
      <c r="L260" s="261"/>
      <c r="M260" s="261"/>
      <c r="N260" s="261"/>
      <c r="O260" s="261"/>
      <c r="P260" s="261"/>
      <c r="Q260" s="261"/>
      <c r="R260" s="261"/>
      <c r="S260" s="261">
        <v>13.0619925</v>
      </c>
      <c r="T260" s="261"/>
      <c r="V260" s="8">
        <v>619</v>
      </c>
      <c r="W260" s="261"/>
      <c r="X260" s="261"/>
      <c r="Y260" s="261"/>
      <c r="Z260" s="261"/>
      <c r="AA260" s="261"/>
      <c r="AB260" s="261"/>
      <c r="AC260" s="261"/>
      <c r="AD260" s="261"/>
      <c r="AF260" s="8">
        <v>619</v>
      </c>
      <c r="AG260" s="261"/>
      <c r="AH260" s="261"/>
      <c r="AI260" s="261"/>
      <c r="AJ260" s="261"/>
      <c r="AK260" s="261"/>
      <c r="AL260" s="261"/>
      <c r="AM260" s="261"/>
      <c r="AO260" s="12">
        <v>619</v>
      </c>
      <c r="AP260" s="264"/>
      <c r="AQ260" s="264"/>
      <c r="AR260" s="264">
        <v>15.0830634637228</v>
      </c>
      <c r="AS260" s="264"/>
      <c r="AT260" s="264"/>
      <c r="AU260" s="264"/>
      <c r="AV260" s="264"/>
      <c r="AW260" s="264"/>
      <c r="AX260" s="264"/>
      <c r="BP260" s="272">
        <f>Inputs!B263</f>
        <v>619</v>
      </c>
      <c r="BQ260" s="272">
        <f>IF(LEFT(Inputs!$C$11,6)="photon",10^Inputs!C263,Inputs!C263)</f>
        <v>22.8901225859509</v>
      </c>
      <c r="BR260" s="272"/>
      <c r="BS260" s="272">
        <f>'Advanced Inputs'!I265</f>
        <v>619</v>
      </c>
      <c r="BT260" s="272">
        <f>IF('Advanced Inputs'!J$19="Photon system",10^'Advanced Inputs'!J265,'Advanced Inputs'!J265)</f>
        <v>0</v>
      </c>
      <c r="BV260" s="272">
        <v>619</v>
      </c>
      <c r="BW260" s="8">
        <v>142.893</v>
      </c>
      <c r="BX260" s="8">
        <v>87.8887</v>
      </c>
      <c r="CC260" s="8">
        <v>1</v>
      </c>
    </row>
    <row r="261" hidden="1" spans="8:81">
      <c r="H261" s="8">
        <v>620</v>
      </c>
      <c r="I261" s="261"/>
      <c r="J261" s="261"/>
      <c r="K261" s="261"/>
      <c r="L261" s="261"/>
      <c r="M261" s="261"/>
      <c r="N261" s="261"/>
      <c r="O261" s="261"/>
      <c r="P261" s="261"/>
      <c r="Q261" s="261"/>
      <c r="R261" s="261"/>
      <c r="S261" s="261">
        <v>13.18</v>
      </c>
      <c r="T261" s="261"/>
      <c r="V261" s="8">
        <v>620</v>
      </c>
      <c r="W261" s="261"/>
      <c r="X261" s="261"/>
      <c r="Y261" s="261"/>
      <c r="Z261" s="261"/>
      <c r="AA261" s="261"/>
      <c r="AB261" s="261"/>
      <c r="AC261" s="261"/>
      <c r="AD261" s="261"/>
      <c r="AF261" s="8">
        <v>620</v>
      </c>
      <c r="AG261" s="261"/>
      <c r="AH261" s="261"/>
      <c r="AI261" s="261"/>
      <c r="AJ261" s="261"/>
      <c r="AK261" s="261"/>
      <c r="AL261" s="261"/>
      <c r="AM261" s="261"/>
      <c r="AO261" s="12">
        <v>620</v>
      </c>
      <c r="AP261" s="264"/>
      <c r="AQ261" s="264"/>
      <c r="AR261" s="264">
        <v>14.9576671292313</v>
      </c>
      <c r="AS261" s="264"/>
      <c r="AT261" s="264"/>
      <c r="AU261" s="264"/>
      <c r="AV261" s="264"/>
      <c r="AW261" s="264"/>
      <c r="AX261" s="264"/>
      <c r="BP261" s="272">
        <f>Inputs!B264</f>
        <v>620</v>
      </c>
      <c r="BQ261" s="272">
        <f>IF(LEFT(Inputs!$C$11,6)="photon",10^Inputs!C264,Inputs!C264)</f>
        <v>23.0521478823813</v>
      </c>
      <c r="BR261" s="272"/>
      <c r="BS261" s="272">
        <f>'Advanced Inputs'!I266</f>
        <v>620</v>
      </c>
      <c r="BT261" s="272">
        <f>IF('Advanced Inputs'!J$19="Photon system",10^'Advanced Inputs'!J266,'Advanced Inputs'!J266)</f>
        <v>0</v>
      </c>
      <c r="BV261" s="272">
        <v>620</v>
      </c>
      <c r="BW261" s="8">
        <v>143.618</v>
      </c>
      <c r="BX261" s="8">
        <v>87.6987</v>
      </c>
      <c r="CC261" s="8">
        <v>1</v>
      </c>
    </row>
    <row r="262" hidden="1" spans="8:81">
      <c r="H262" s="8">
        <v>621</v>
      </c>
      <c r="I262" s="261"/>
      <c r="J262" s="261"/>
      <c r="K262" s="261"/>
      <c r="L262" s="261"/>
      <c r="M262" s="261"/>
      <c r="N262" s="261"/>
      <c r="O262" s="261"/>
      <c r="P262" s="261"/>
      <c r="Q262" s="261"/>
      <c r="R262" s="261"/>
      <c r="S262" s="261">
        <v>13.341839375</v>
      </c>
      <c r="T262" s="261"/>
      <c r="V262" s="8">
        <v>621</v>
      </c>
      <c r="W262" s="261"/>
      <c r="X262" s="261"/>
      <c r="Y262" s="261"/>
      <c r="Z262" s="261"/>
      <c r="AA262" s="261"/>
      <c r="AB262" s="261"/>
      <c r="AC262" s="261"/>
      <c r="AD262" s="261"/>
      <c r="AF262" s="8">
        <v>621</v>
      </c>
      <c r="AG262" s="261"/>
      <c r="AH262" s="261"/>
      <c r="AI262" s="261"/>
      <c r="AJ262" s="261"/>
      <c r="AK262" s="261"/>
      <c r="AL262" s="261"/>
      <c r="AM262" s="261"/>
      <c r="AO262" s="12">
        <v>621</v>
      </c>
      <c r="AP262" s="264"/>
      <c r="AQ262" s="264"/>
      <c r="AR262" s="264">
        <v>14.8288139229918</v>
      </c>
      <c r="AS262" s="264"/>
      <c r="AT262" s="264"/>
      <c r="AU262" s="264"/>
      <c r="AV262" s="264"/>
      <c r="AW262" s="264"/>
      <c r="AX262" s="264"/>
      <c r="BP262" s="272">
        <f>Inputs!B265</f>
        <v>621</v>
      </c>
      <c r="BQ262" s="272">
        <f>IF(LEFT(Inputs!$C$11,6)="photon",10^Inputs!C265,Inputs!C265)</f>
        <v>23.2396644244116</v>
      </c>
      <c r="BR262" s="272"/>
      <c r="BS262" s="272">
        <f>'Advanced Inputs'!I267</f>
        <v>621</v>
      </c>
      <c r="BT262" s="272">
        <f>IF('Advanced Inputs'!J$19="Photon system",10^'Advanced Inputs'!J267,'Advanced Inputs'!J267)</f>
        <v>0</v>
      </c>
      <c r="BV262" s="272">
        <v>621</v>
      </c>
      <c r="BW262" s="8">
        <v>144.343</v>
      </c>
      <c r="BX262" s="8">
        <v>87.2577</v>
      </c>
      <c r="CC262" s="8">
        <v>1</v>
      </c>
    </row>
    <row r="263" hidden="1" spans="8:81">
      <c r="H263" s="8">
        <v>622</v>
      </c>
      <c r="I263" s="261"/>
      <c r="J263" s="261"/>
      <c r="K263" s="261"/>
      <c r="L263" s="261"/>
      <c r="M263" s="261"/>
      <c r="N263" s="261"/>
      <c r="O263" s="261"/>
      <c r="P263" s="261"/>
      <c r="Q263" s="261"/>
      <c r="R263" s="261"/>
      <c r="S263" s="261">
        <v>13.44346265625</v>
      </c>
      <c r="T263" s="261"/>
      <c r="V263" s="8">
        <v>622</v>
      </c>
      <c r="W263" s="261"/>
      <c r="X263" s="261"/>
      <c r="Y263" s="261"/>
      <c r="Z263" s="261"/>
      <c r="AA263" s="261"/>
      <c r="AB263" s="261"/>
      <c r="AC263" s="261"/>
      <c r="AD263" s="261"/>
      <c r="AF263" s="8">
        <v>622</v>
      </c>
      <c r="AG263" s="261"/>
      <c r="AH263" s="261"/>
      <c r="AI263" s="261"/>
      <c r="AJ263" s="261"/>
      <c r="AK263" s="261"/>
      <c r="AL263" s="261"/>
      <c r="AM263" s="261"/>
      <c r="AO263" s="12">
        <v>622</v>
      </c>
      <c r="AP263" s="264"/>
      <c r="AQ263" s="264"/>
      <c r="AR263" s="264">
        <v>14.6958137760552</v>
      </c>
      <c r="AS263" s="264"/>
      <c r="AT263" s="264"/>
      <c r="AU263" s="264"/>
      <c r="AV263" s="264"/>
      <c r="AW263" s="264"/>
      <c r="AX263" s="264"/>
      <c r="BP263" s="272">
        <f>Inputs!B266</f>
        <v>622</v>
      </c>
      <c r="BQ263" s="272">
        <f>IF(LEFT(Inputs!$C$11,6)="photon",10^Inputs!C266,Inputs!C266)</f>
        <v>23.0938151901321</v>
      </c>
      <c r="BR263" s="272"/>
      <c r="BS263" s="272">
        <f>'Advanced Inputs'!I268</f>
        <v>622</v>
      </c>
      <c r="BT263" s="272">
        <f>IF('Advanced Inputs'!J$19="Photon system",10^'Advanced Inputs'!J268,'Advanced Inputs'!J268)</f>
        <v>0</v>
      </c>
      <c r="BV263" s="272">
        <v>622</v>
      </c>
      <c r="BW263" s="8">
        <v>145.067</v>
      </c>
      <c r="BX263" s="8">
        <v>86.8167</v>
      </c>
      <c r="CC263" s="8">
        <v>1</v>
      </c>
    </row>
    <row r="264" hidden="1" spans="8:81">
      <c r="H264" s="8">
        <v>623</v>
      </c>
      <c r="I264" s="261"/>
      <c r="J264" s="261"/>
      <c r="K264" s="261"/>
      <c r="L264" s="261"/>
      <c r="M264" s="261"/>
      <c r="N264" s="261"/>
      <c r="O264" s="261"/>
      <c r="P264" s="261"/>
      <c r="Q264" s="261"/>
      <c r="R264" s="261"/>
      <c r="S264" s="261">
        <v>13.46216625</v>
      </c>
      <c r="T264" s="261"/>
      <c r="V264" s="8">
        <v>623</v>
      </c>
      <c r="W264" s="261"/>
      <c r="X264" s="261"/>
      <c r="Y264" s="261"/>
      <c r="Z264" s="261"/>
      <c r="AA264" s="261"/>
      <c r="AB264" s="261"/>
      <c r="AC264" s="261"/>
      <c r="AD264" s="261"/>
      <c r="AF264" s="8">
        <v>623</v>
      </c>
      <c r="AG264" s="261"/>
      <c r="AH264" s="261"/>
      <c r="AI264" s="261"/>
      <c r="AJ264" s="261"/>
      <c r="AK264" s="261"/>
      <c r="AL264" s="261"/>
      <c r="AM264" s="261"/>
      <c r="AO264" s="12">
        <v>623</v>
      </c>
      <c r="AP264" s="264"/>
      <c r="AQ264" s="264"/>
      <c r="AR264" s="264">
        <v>14.557479122861</v>
      </c>
      <c r="AS264" s="264"/>
      <c r="AT264" s="264"/>
      <c r="AU264" s="264"/>
      <c r="AV264" s="264"/>
      <c r="AW264" s="264"/>
      <c r="AX264" s="264"/>
      <c r="BP264" s="272">
        <f>Inputs!B267</f>
        <v>623</v>
      </c>
      <c r="BQ264" s="272">
        <f>IF(LEFT(Inputs!$C$11,6)="photon",10^Inputs!C267,Inputs!C267)</f>
        <v>22.977735612464</v>
      </c>
      <c r="BR264" s="272"/>
      <c r="BS264" s="272">
        <f>'Advanced Inputs'!I269</f>
        <v>623</v>
      </c>
      <c r="BT264" s="272">
        <f>IF('Advanced Inputs'!J$19="Photon system",10^'Advanced Inputs'!J269,'Advanced Inputs'!J269)</f>
        <v>0</v>
      </c>
      <c r="BV264" s="272">
        <v>623</v>
      </c>
      <c r="BW264" s="8">
        <v>145.79</v>
      </c>
      <c r="BX264" s="8">
        <v>86.3757</v>
      </c>
      <c r="CC264" s="8">
        <v>1</v>
      </c>
    </row>
    <row r="265" hidden="1" spans="8:81">
      <c r="H265" s="8">
        <v>624</v>
      </c>
      <c r="I265" s="261"/>
      <c r="J265" s="261"/>
      <c r="K265" s="261"/>
      <c r="L265" s="261"/>
      <c r="M265" s="261"/>
      <c r="N265" s="261"/>
      <c r="O265" s="261"/>
      <c r="P265" s="261"/>
      <c r="Q265" s="261"/>
      <c r="R265" s="261"/>
      <c r="S265" s="261">
        <v>13.3752465625</v>
      </c>
      <c r="T265" s="261"/>
      <c r="V265" s="8">
        <v>624</v>
      </c>
      <c r="W265" s="261"/>
      <c r="X265" s="261"/>
      <c r="Y265" s="261"/>
      <c r="Z265" s="261"/>
      <c r="AA265" s="261"/>
      <c r="AB265" s="261"/>
      <c r="AC265" s="261"/>
      <c r="AD265" s="261"/>
      <c r="AF265" s="8">
        <v>624</v>
      </c>
      <c r="AG265" s="261"/>
      <c r="AH265" s="261"/>
      <c r="AI265" s="261"/>
      <c r="AJ265" s="261"/>
      <c r="AK265" s="261"/>
      <c r="AL265" s="261"/>
      <c r="AM265" s="261"/>
      <c r="AO265" s="12">
        <v>624</v>
      </c>
      <c r="AP265" s="264"/>
      <c r="AQ265" s="264"/>
      <c r="AR265" s="264">
        <v>14.4139224584619</v>
      </c>
      <c r="AS265" s="264"/>
      <c r="AT265" s="264"/>
      <c r="AU265" s="264"/>
      <c r="AV265" s="264"/>
      <c r="AW265" s="264"/>
      <c r="AX265" s="264"/>
      <c r="BP265" s="272">
        <f>Inputs!B268</f>
        <v>624</v>
      </c>
      <c r="BQ265" s="272">
        <f>IF(LEFT(Inputs!$C$11,6)="photon",10^Inputs!C268,Inputs!C268)</f>
        <v>22.4808546085394</v>
      </c>
      <c r="BR265" s="272"/>
      <c r="BS265" s="272">
        <f>'Advanced Inputs'!I270</f>
        <v>624</v>
      </c>
      <c r="BT265" s="272">
        <f>IF('Advanced Inputs'!J$19="Photon system",10^'Advanced Inputs'!J270,'Advanced Inputs'!J270)</f>
        <v>0</v>
      </c>
      <c r="BV265" s="272">
        <v>624</v>
      </c>
      <c r="BW265" s="8">
        <v>146.513</v>
      </c>
      <c r="BX265" s="8">
        <v>85.9347</v>
      </c>
      <c r="CC265" s="8">
        <v>1</v>
      </c>
    </row>
    <row r="266" hidden="1" spans="8:81">
      <c r="H266" s="8">
        <v>625</v>
      </c>
      <c r="I266" s="261"/>
      <c r="J266" s="261"/>
      <c r="K266" s="261"/>
      <c r="L266" s="261"/>
      <c r="M266" s="261"/>
      <c r="N266" s="261"/>
      <c r="O266" s="261"/>
      <c r="P266" s="261"/>
      <c r="Q266" s="261"/>
      <c r="R266" s="261"/>
      <c r="S266" s="261">
        <v>13.16</v>
      </c>
      <c r="T266" s="261"/>
      <c r="V266" s="8">
        <v>625</v>
      </c>
      <c r="W266" s="261"/>
      <c r="X266" s="261"/>
      <c r="Y266" s="261"/>
      <c r="Z266" s="261"/>
      <c r="AA266" s="261"/>
      <c r="AB266" s="261"/>
      <c r="AC266" s="261"/>
      <c r="AD266" s="261"/>
      <c r="AF266" s="8">
        <v>625</v>
      </c>
      <c r="AG266" s="261"/>
      <c r="AH266" s="261"/>
      <c r="AI266" s="261"/>
      <c r="AJ266" s="261"/>
      <c r="AK266" s="261"/>
      <c r="AL266" s="261"/>
      <c r="AM266" s="261"/>
      <c r="AO266" s="12">
        <v>625</v>
      </c>
      <c r="AP266" s="264"/>
      <c r="AQ266" s="264"/>
      <c r="AR266" s="264">
        <v>14.265666836971</v>
      </c>
      <c r="AS266" s="264"/>
      <c r="AT266" s="264"/>
      <c r="AU266" s="264"/>
      <c r="AV266" s="264"/>
      <c r="AW266" s="264"/>
      <c r="AX266" s="264"/>
      <c r="BP266" s="272">
        <f>Inputs!B269</f>
        <v>625</v>
      </c>
      <c r="BQ266" s="272">
        <f>IF(LEFT(Inputs!$C$11,6)="photon",10^Inputs!C269,Inputs!C269)</f>
        <v>21.9201745912262</v>
      </c>
      <c r="BR266" s="272"/>
      <c r="BS266" s="272">
        <f>'Advanced Inputs'!I271</f>
        <v>625</v>
      </c>
      <c r="BT266" s="272">
        <f>IF('Advanced Inputs'!J$19="Photon system",10^'Advanced Inputs'!J271,'Advanced Inputs'!J271)</f>
        <v>0</v>
      </c>
      <c r="BV266" s="272">
        <v>625</v>
      </c>
      <c r="BW266" s="8">
        <v>147.235</v>
      </c>
      <c r="BX266" s="8">
        <v>85.4936</v>
      </c>
      <c r="CC266" s="8">
        <v>1</v>
      </c>
    </row>
    <row r="267" hidden="1" spans="8:81">
      <c r="H267" s="8">
        <v>626</v>
      </c>
      <c r="I267" s="261"/>
      <c r="J267" s="261"/>
      <c r="K267" s="261"/>
      <c r="L267" s="261"/>
      <c r="M267" s="261"/>
      <c r="N267" s="261"/>
      <c r="O267" s="261"/>
      <c r="P267" s="261"/>
      <c r="Q267" s="261"/>
      <c r="R267" s="261"/>
      <c r="S267" s="261">
        <v>12.59675546875</v>
      </c>
      <c r="T267" s="261"/>
      <c r="V267" s="8">
        <v>626</v>
      </c>
      <c r="W267" s="261"/>
      <c r="X267" s="261"/>
      <c r="Y267" s="261"/>
      <c r="Z267" s="261"/>
      <c r="AA267" s="261"/>
      <c r="AB267" s="261"/>
      <c r="AC267" s="261"/>
      <c r="AD267" s="261"/>
      <c r="AF267" s="8">
        <v>626</v>
      </c>
      <c r="AG267" s="261"/>
      <c r="AH267" s="261"/>
      <c r="AI267" s="261"/>
      <c r="AJ267" s="261"/>
      <c r="AK267" s="261"/>
      <c r="AL267" s="261"/>
      <c r="AM267" s="261"/>
      <c r="AO267" s="12">
        <v>626</v>
      </c>
      <c r="AP267" s="264"/>
      <c r="AQ267" s="264"/>
      <c r="AR267" s="264">
        <v>14.1145032392798</v>
      </c>
      <c r="AS267" s="264"/>
      <c r="AT267" s="264"/>
      <c r="AU267" s="264"/>
      <c r="AV267" s="264"/>
      <c r="AW267" s="264"/>
      <c r="AX267" s="264"/>
      <c r="BP267" s="272">
        <f>Inputs!B270</f>
        <v>626</v>
      </c>
      <c r="BQ267" s="272">
        <f>IF(LEFT(Inputs!$C$11,6)="photon",10^Inputs!C270,Inputs!C270)</f>
        <v>21.1266295544325</v>
      </c>
      <c r="BR267" s="272"/>
      <c r="BS267" s="272">
        <f>'Advanced Inputs'!I272</f>
        <v>626</v>
      </c>
      <c r="BT267" s="272">
        <f>IF('Advanced Inputs'!J$19="Photon system",10^'Advanced Inputs'!J272,'Advanced Inputs'!J272)</f>
        <v>0</v>
      </c>
      <c r="BV267" s="272">
        <v>626</v>
      </c>
      <c r="BW267" s="8">
        <v>147.957</v>
      </c>
      <c r="BX267" s="8">
        <v>85.0526</v>
      </c>
      <c r="CC267" s="8">
        <v>1</v>
      </c>
    </row>
    <row r="268" hidden="1" spans="8:81">
      <c r="H268" s="8">
        <v>627</v>
      </c>
      <c r="I268" s="261"/>
      <c r="J268" s="261"/>
      <c r="K268" s="261"/>
      <c r="L268" s="261"/>
      <c r="M268" s="261"/>
      <c r="N268" s="261"/>
      <c r="O268" s="261"/>
      <c r="P268" s="261"/>
      <c r="Q268" s="261"/>
      <c r="R268" s="261"/>
      <c r="S268" s="261">
        <v>11.90901875</v>
      </c>
      <c r="T268" s="261"/>
      <c r="V268" s="8">
        <v>627</v>
      </c>
      <c r="W268" s="261"/>
      <c r="X268" s="261"/>
      <c r="Y268" s="261"/>
      <c r="Z268" s="261"/>
      <c r="AA268" s="261"/>
      <c r="AB268" s="261"/>
      <c r="AC268" s="261"/>
      <c r="AD268" s="261"/>
      <c r="AF268" s="8">
        <v>627</v>
      </c>
      <c r="AG268" s="261"/>
      <c r="AH268" s="261"/>
      <c r="AI268" s="261"/>
      <c r="AJ268" s="261"/>
      <c r="AK268" s="261"/>
      <c r="AL268" s="261"/>
      <c r="AM268" s="261"/>
      <c r="AO268" s="12">
        <v>627</v>
      </c>
      <c r="AP268" s="264"/>
      <c r="AQ268" s="264"/>
      <c r="AR268" s="264">
        <v>13.9611323940461</v>
      </c>
      <c r="AS268" s="264"/>
      <c r="AT268" s="264"/>
      <c r="AU268" s="264"/>
      <c r="AV268" s="264"/>
      <c r="AW268" s="264"/>
      <c r="AX268" s="264"/>
      <c r="BP268" s="272">
        <f>Inputs!B271</f>
        <v>627</v>
      </c>
      <c r="BQ268" s="272">
        <f>IF(LEFT(Inputs!$C$11,6)="photon",10^Inputs!C271,Inputs!C271)</f>
        <v>20.2886151772201</v>
      </c>
      <c r="BR268" s="272"/>
      <c r="BS268" s="272">
        <f>'Advanced Inputs'!I273</f>
        <v>627</v>
      </c>
      <c r="BT268" s="272">
        <f>IF('Advanced Inputs'!J$19="Photon system",10^'Advanced Inputs'!J273,'Advanced Inputs'!J273)</f>
        <v>0</v>
      </c>
      <c r="BV268" s="272">
        <v>627</v>
      </c>
      <c r="BW268" s="8">
        <v>148.678</v>
      </c>
      <c r="BX268" s="8">
        <v>84.6116</v>
      </c>
      <c r="CC268" s="8">
        <v>1</v>
      </c>
    </row>
    <row r="269" hidden="1" spans="8:81">
      <c r="H269" s="8">
        <v>628</v>
      </c>
      <c r="I269" s="261"/>
      <c r="J269" s="261"/>
      <c r="K269" s="261"/>
      <c r="L269" s="261"/>
      <c r="M269" s="261"/>
      <c r="N269" s="261"/>
      <c r="O269" s="261"/>
      <c r="P269" s="261"/>
      <c r="Q269" s="261"/>
      <c r="R269" s="261"/>
      <c r="S269" s="261">
        <v>11.123328125</v>
      </c>
      <c r="T269" s="261"/>
      <c r="V269" s="8">
        <v>628</v>
      </c>
      <c r="W269" s="261"/>
      <c r="X269" s="261"/>
      <c r="Y269" s="261"/>
      <c r="Z269" s="261"/>
      <c r="AA269" s="261"/>
      <c r="AB269" s="261"/>
      <c r="AC269" s="261"/>
      <c r="AD269" s="261"/>
      <c r="AF269" s="8">
        <v>628</v>
      </c>
      <c r="AG269" s="261"/>
      <c r="AH269" s="261"/>
      <c r="AI269" s="261"/>
      <c r="AJ269" s="261"/>
      <c r="AK269" s="261"/>
      <c r="AL269" s="261"/>
      <c r="AM269" s="261"/>
      <c r="AO269" s="12">
        <v>628</v>
      </c>
      <c r="AP269" s="264"/>
      <c r="AQ269" s="264"/>
      <c r="AR269" s="264">
        <v>13.8052716080066</v>
      </c>
      <c r="AS269" s="264"/>
      <c r="AT269" s="264"/>
      <c r="AU269" s="264"/>
      <c r="AV269" s="264"/>
      <c r="AW269" s="264"/>
      <c r="AX269" s="264"/>
      <c r="BP269" s="272">
        <f>Inputs!B272</f>
        <v>628</v>
      </c>
      <c r="BQ269" s="272">
        <f>IF(LEFT(Inputs!$C$11,6)="photon",10^Inputs!C272,Inputs!C272)</f>
        <v>19.3789909388054</v>
      </c>
      <c r="BR269" s="272"/>
      <c r="BS269" s="272">
        <f>'Advanced Inputs'!I274</f>
        <v>628</v>
      </c>
      <c r="BT269" s="272">
        <f>IF('Advanced Inputs'!J$19="Photon system",10^'Advanced Inputs'!J274,'Advanced Inputs'!J274)</f>
        <v>0</v>
      </c>
      <c r="BV269" s="272">
        <v>628</v>
      </c>
      <c r="BW269" s="8">
        <v>149.398</v>
      </c>
      <c r="BX269" s="8">
        <v>84.1706</v>
      </c>
      <c r="CC269" s="8">
        <v>1</v>
      </c>
    </row>
    <row r="270" hidden="1" spans="8:81">
      <c r="H270" s="8">
        <v>629</v>
      </c>
      <c r="I270" s="261"/>
      <c r="J270" s="261"/>
      <c r="K270" s="261"/>
      <c r="L270" s="261"/>
      <c r="M270" s="261"/>
      <c r="N270" s="261"/>
      <c r="O270" s="261"/>
      <c r="P270" s="261"/>
      <c r="Q270" s="261"/>
      <c r="R270" s="261"/>
      <c r="S270" s="261">
        <v>10.5769982424011</v>
      </c>
      <c r="T270" s="261"/>
      <c r="V270" s="8">
        <v>629</v>
      </c>
      <c r="W270" s="261"/>
      <c r="X270" s="261"/>
      <c r="Y270" s="261"/>
      <c r="Z270" s="261"/>
      <c r="AA270" s="261"/>
      <c r="AB270" s="261"/>
      <c r="AC270" s="261"/>
      <c r="AD270" s="261"/>
      <c r="AF270" s="8">
        <v>629</v>
      </c>
      <c r="AG270" s="261"/>
      <c r="AH270" s="261"/>
      <c r="AI270" s="261"/>
      <c r="AJ270" s="261"/>
      <c r="AK270" s="261"/>
      <c r="AL270" s="261"/>
      <c r="AM270" s="261"/>
      <c r="AO270" s="12">
        <v>629</v>
      </c>
      <c r="AP270" s="264"/>
      <c r="AQ270" s="264"/>
      <c r="AR270" s="264">
        <v>13.6461138366729</v>
      </c>
      <c r="AS270" s="264"/>
      <c r="AT270" s="264"/>
      <c r="AU270" s="264"/>
      <c r="AV270" s="264"/>
      <c r="AW270" s="264"/>
      <c r="AX270" s="264"/>
      <c r="BP270" s="272">
        <f>Inputs!B273</f>
        <v>629</v>
      </c>
      <c r="BQ270" s="272">
        <f>IF(LEFT(Inputs!$C$11,6)="photon",10^Inputs!C273,Inputs!C273)</f>
        <v>18.4551831521659</v>
      </c>
      <c r="BR270" s="272"/>
      <c r="BS270" s="272">
        <f>'Advanced Inputs'!I275</f>
        <v>629</v>
      </c>
      <c r="BT270" s="272">
        <f>IF('Advanced Inputs'!J$19="Photon system",10^'Advanced Inputs'!J275,'Advanced Inputs'!J275)</f>
        <v>0</v>
      </c>
      <c r="BV270" s="272">
        <v>629</v>
      </c>
      <c r="BW270" s="8">
        <v>150.117</v>
      </c>
      <c r="BX270" s="8">
        <v>83.7296</v>
      </c>
      <c r="CC270" s="8">
        <v>1</v>
      </c>
    </row>
    <row r="271" hidden="1" spans="8:81">
      <c r="H271" s="8">
        <v>630</v>
      </c>
      <c r="I271" s="261"/>
      <c r="J271" s="261"/>
      <c r="K271" s="261"/>
      <c r="L271" s="261"/>
      <c r="M271" s="261"/>
      <c r="N271" s="261"/>
      <c r="O271" s="261"/>
      <c r="P271" s="261"/>
      <c r="Q271" s="261"/>
      <c r="R271" s="261"/>
      <c r="S271" s="261">
        <v>23.3395336471311</v>
      </c>
      <c r="T271" s="261"/>
      <c r="V271" s="8">
        <v>630</v>
      </c>
      <c r="W271" s="261"/>
      <c r="X271" s="261"/>
      <c r="Y271" s="261"/>
      <c r="Z271" s="261"/>
      <c r="AA271" s="261"/>
      <c r="AB271" s="261"/>
      <c r="AC271" s="261"/>
      <c r="AD271" s="261"/>
      <c r="AF271" s="8">
        <v>630</v>
      </c>
      <c r="AG271" s="261"/>
      <c r="AH271" s="261"/>
      <c r="AI271" s="261"/>
      <c r="AJ271" s="261"/>
      <c r="AK271" s="261"/>
      <c r="AL271" s="261"/>
      <c r="AM271" s="261"/>
      <c r="AO271" s="12">
        <v>630</v>
      </c>
      <c r="AP271" s="264"/>
      <c r="AQ271" s="264"/>
      <c r="AR271" s="264">
        <v>13.4836081860613</v>
      </c>
      <c r="AS271" s="264"/>
      <c r="AT271" s="264"/>
      <c r="AU271" s="264"/>
      <c r="AV271" s="264"/>
      <c r="AW271" s="264"/>
      <c r="AX271" s="264"/>
      <c r="BP271" s="272">
        <f>Inputs!B274</f>
        <v>630</v>
      </c>
      <c r="BQ271" s="272">
        <f>IF(LEFT(Inputs!$C$11,6)="photon",10^Inputs!C274,Inputs!C274)</f>
        <v>17.620951393974</v>
      </c>
      <c r="BR271" s="272"/>
      <c r="BS271" s="272">
        <f>'Advanced Inputs'!I276</f>
        <v>630</v>
      </c>
      <c r="BT271" s="272">
        <f>IF('Advanced Inputs'!J$19="Photon system",10^'Advanced Inputs'!J276,'Advanced Inputs'!J276)</f>
        <v>0</v>
      </c>
      <c r="BV271" s="272">
        <v>630</v>
      </c>
      <c r="BW271" s="8">
        <v>150.836</v>
      </c>
      <c r="BX271" s="8">
        <v>83.2886</v>
      </c>
      <c r="CC271" s="8">
        <v>1</v>
      </c>
    </row>
    <row r="272" hidden="1" spans="8:81">
      <c r="H272" s="8">
        <v>631</v>
      </c>
      <c r="I272" s="261"/>
      <c r="J272" s="261"/>
      <c r="K272" s="261"/>
      <c r="L272" s="261"/>
      <c r="M272" s="261"/>
      <c r="N272" s="261"/>
      <c r="O272" s="261"/>
      <c r="P272" s="261"/>
      <c r="Q272" s="261"/>
      <c r="R272" s="261"/>
      <c r="S272" s="261">
        <v>8.80767706419316</v>
      </c>
      <c r="T272" s="261"/>
      <c r="V272" s="8">
        <v>631</v>
      </c>
      <c r="W272" s="261"/>
      <c r="X272" s="261"/>
      <c r="Y272" s="261"/>
      <c r="Z272" s="261"/>
      <c r="AA272" s="261"/>
      <c r="AB272" s="261"/>
      <c r="AC272" s="261"/>
      <c r="AD272" s="261"/>
      <c r="AF272" s="8">
        <v>631</v>
      </c>
      <c r="AG272" s="261"/>
      <c r="AH272" s="261"/>
      <c r="AI272" s="261"/>
      <c r="AJ272" s="261"/>
      <c r="AK272" s="261"/>
      <c r="AL272" s="261"/>
      <c r="AM272" s="261"/>
      <c r="AO272" s="12">
        <v>631</v>
      </c>
      <c r="AP272" s="264"/>
      <c r="AQ272" s="264"/>
      <c r="AR272" s="264">
        <v>13.3175213443491</v>
      </c>
      <c r="AS272" s="264"/>
      <c r="AT272" s="264"/>
      <c r="AU272" s="264"/>
      <c r="AV272" s="264"/>
      <c r="AW272" s="264"/>
      <c r="AX272" s="264"/>
      <c r="BP272" s="272">
        <f>Inputs!B275</f>
        <v>631</v>
      </c>
      <c r="BQ272" s="272">
        <f>IF(LEFT(Inputs!$C$11,6)="photon",10^Inputs!C275,Inputs!C275)</f>
        <v>16.7234212372488</v>
      </c>
      <c r="BR272" s="272"/>
      <c r="BS272" s="272">
        <f>'Advanced Inputs'!I277</f>
        <v>631</v>
      </c>
      <c r="BT272" s="272">
        <f>IF('Advanced Inputs'!J$19="Photon system",10^'Advanced Inputs'!J277,'Advanced Inputs'!J277)</f>
        <v>0</v>
      </c>
      <c r="BV272" s="272">
        <v>631</v>
      </c>
      <c r="BW272" s="8">
        <v>151.554</v>
      </c>
      <c r="BX272" s="8">
        <v>83.3297</v>
      </c>
      <c r="CC272" s="8">
        <v>1</v>
      </c>
    </row>
    <row r="273" hidden="1" spans="8:81">
      <c r="H273" s="8">
        <v>632</v>
      </c>
      <c r="I273" s="261"/>
      <c r="J273" s="261"/>
      <c r="K273" s="261"/>
      <c r="L273" s="261"/>
      <c r="M273" s="261"/>
      <c r="N273" s="261"/>
      <c r="O273" s="261"/>
      <c r="P273" s="261"/>
      <c r="Q273" s="261"/>
      <c r="R273" s="261"/>
      <c r="S273" s="261">
        <v>7.623888125</v>
      </c>
      <c r="T273" s="261"/>
      <c r="V273" s="8">
        <v>632</v>
      </c>
      <c r="W273" s="261"/>
      <c r="X273" s="261"/>
      <c r="Y273" s="261"/>
      <c r="Z273" s="261"/>
      <c r="AA273" s="261"/>
      <c r="AB273" s="261"/>
      <c r="AC273" s="261"/>
      <c r="AD273" s="261"/>
      <c r="AF273" s="8">
        <v>632</v>
      </c>
      <c r="AG273" s="261"/>
      <c r="AH273" s="261"/>
      <c r="AI273" s="261"/>
      <c r="AJ273" s="261"/>
      <c r="AK273" s="261"/>
      <c r="AL273" s="261"/>
      <c r="AM273" s="261"/>
      <c r="AO273" s="12">
        <v>632</v>
      </c>
      <c r="AP273" s="264"/>
      <c r="AQ273" s="264"/>
      <c r="AR273" s="264">
        <v>13.1481702741211</v>
      </c>
      <c r="AS273" s="264"/>
      <c r="AT273" s="264"/>
      <c r="AU273" s="264"/>
      <c r="AV273" s="264"/>
      <c r="AW273" s="264"/>
      <c r="AX273" s="264"/>
      <c r="BP273" s="272">
        <f>Inputs!B276</f>
        <v>632</v>
      </c>
      <c r="BQ273" s="272">
        <f>IF(LEFT(Inputs!$C$11,6)="photon",10^Inputs!C276,Inputs!C276)</f>
        <v>15.9501657702916</v>
      </c>
      <c r="BR273" s="272"/>
      <c r="BS273" s="272">
        <f>'Advanced Inputs'!I278</f>
        <v>632</v>
      </c>
      <c r="BT273" s="272">
        <f>IF('Advanced Inputs'!J$19="Photon system",10^'Advanced Inputs'!J278,'Advanced Inputs'!J278)</f>
        <v>0</v>
      </c>
      <c r="BV273" s="272">
        <v>632</v>
      </c>
      <c r="BW273" s="8">
        <v>152.271</v>
      </c>
      <c r="BX273" s="8">
        <v>83.3707</v>
      </c>
      <c r="CC273" s="8">
        <v>1</v>
      </c>
    </row>
    <row r="274" hidden="1" spans="8:81">
      <c r="H274" s="8">
        <v>633</v>
      </c>
      <c r="I274" s="261"/>
      <c r="J274" s="261"/>
      <c r="K274" s="261"/>
      <c r="L274" s="261"/>
      <c r="M274" s="261"/>
      <c r="N274" s="261"/>
      <c r="O274" s="261"/>
      <c r="P274" s="261"/>
      <c r="Q274" s="261"/>
      <c r="R274" s="261"/>
      <c r="S274" s="261">
        <v>6.75965875</v>
      </c>
      <c r="T274" s="261"/>
      <c r="V274" s="8">
        <v>633</v>
      </c>
      <c r="W274" s="261"/>
      <c r="X274" s="261"/>
      <c r="Y274" s="261"/>
      <c r="Z274" s="261"/>
      <c r="AA274" s="261"/>
      <c r="AB274" s="261"/>
      <c r="AC274" s="261"/>
      <c r="AD274" s="261"/>
      <c r="AF274" s="8">
        <v>633</v>
      </c>
      <c r="AG274" s="261"/>
      <c r="AH274" s="261"/>
      <c r="AI274" s="261"/>
      <c r="AJ274" s="261"/>
      <c r="AK274" s="261"/>
      <c r="AL274" s="261"/>
      <c r="AM274" s="261"/>
      <c r="AO274" s="12">
        <v>633</v>
      </c>
      <c r="AP274" s="264"/>
      <c r="AQ274" s="264"/>
      <c r="AR274" s="264">
        <v>12.97510757243</v>
      </c>
      <c r="AS274" s="264"/>
      <c r="AT274" s="264"/>
      <c r="AU274" s="264"/>
      <c r="AV274" s="264"/>
      <c r="AW274" s="264"/>
      <c r="AX274" s="264"/>
      <c r="BP274" s="272">
        <f>Inputs!B277</f>
        <v>633</v>
      </c>
      <c r="BQ274" s="272">
        <f>IF(LEFT(Inputs!$C$11,6)="photon",10^Inputs!C277,Inputs!C277)</f>
        <v>15.2884473089901</v>
      </c>
      <c r="BR274" s="272"/>
      <c r="BS274" s="272">
        <f>'Advanced Inputs'!I279</f>
        <v>633</v>
      </c>
      <c r="BT274" s="272">
        <f>IF('Advanced Inputs'!J$19="Photon system",10^'Advanced Inputs'!J279,'Advanced Inputs'!J279)</f>
        <v>0</v>
      </c>
      <c r="BV274" s="272">
        <v>633</v>
      </c>
      <c r="BW274" s="8">
        <v>152.988</v>
      </c>
      <c r="BX274" s="8">
        <v>83.4118</v>
      </c>
      <c r="CC274" s="8">
        <v>1</v>
      </c>
    </row>
    <row r="275" hidden="1" spans="8:81">
      <c r="H275" s="8">
        <v>634</v>
      </c>
      <c r="I275" s="261"/>
      <c r="J275" s="261"/>
      <c r="K275" s="261"/>
      <c r="L275" s="261"/>
      <c r="M275" s="261"/>
      <c r="N275" s="261"/>
      <c r="O275" s="261"/>
      <c r="P275" s="261"/>
      <c r="Q275" s="261"/>
      <c r="R275" s="261"/>
      <c r="S275" s="261">
        <v>5.91723546875</v>
      </c>
      <c r="T275" s="261"/>
      <c r="V275" s="8">
        <v>634</v>
      </c>
      <c r="W275" s="261"/>
      <c r="X275" s="261"/>
      <c r="Y275" s="261"/>
      <c r="Z275" s="261"/>
      <c r="AA275" s="261"/>
      <c r="AB275" s="261"/>
      <c r="AC275" s="261"/>
      <c r="AD275" s="261"/>
      <c r="AF275" s="8">
        <v>634</v>
      </c>
      <c r="AG275" s="261"/>
      <c r="AH275" s="261"/>
      <c r="AI275" s="261"/>
      <c r="AJ275" s="261"/>
      <c r="AK275" s="261"/>
      <c r="AL275" s="261"/>
      <c r="AM275" s="261"/>
      <c r="AO275" s="12">
        <v>634</v>
      </c>
      <c r="AP275" s="264"/>
      <c r="AQ275" s="264"/>
      <c r="AR275" s="264">
        <v>12.7996619017417</v>
      </c>
      <c r="AS275" s="264"/>
      <c r="AT275" s="264"/>
      <c r="AU275" s="264"/>
      <c r="AV275" s="264"/>
      <c r="AW275" s="264"/>
      <c r="AX275" s="264"/>
      <c r="BP275" s="272">
        <f>Inputs!B278</f>
        <v>634</v>
      </c>
      <c r="BQ275" s="272">
        <f>IF(LEFT(Inputs!$C$11,6)="photon",10^Inputs!C278,Inputs!C278)</f>
        <v>14.6724315615107</v>
      </c>
      <c r="BR275" s="272"/>
      <c r="BS275" s="272">
        <f>'Advanced Inputs'!I280</f>
        <v>634</v>
      </c>
      <c r="BT275" s="272">
        <f>IF('Advanced Inputs'!J$19="Photon system",10^'Advanced Inputs'!J280,'Advanced Inputs'!J280)</f>
        <v>0</v>
      </c>
      <c r="BV275" s="272">
        <v>634</v>
      </c>
      <c r="BW275" s="8">
        <v>153.704</v>
      </c>
      <c r="BX275" s="8">
        <v>83.4528</v>
      </c>
      <c r="CC275" s="8">
        <v>1</v>
      </c>
    </row>
    <row r="276" hidden="1" spans="8:81">
      <c r="H276" s="8">
        <v>635</v>
      </c>
      <c r="I276" s="261"/>
      <c r="J276" s="261"/>
      <c r="K276" s="261"/>
      <c r="L276" s="261"/>
      <c r="M276" s="261"/>
      <c r="N276" s="261"/>
      <c r="O276" s="261"/>
      <c r="P276" s="261"/>
      <c r="Q276" s="261"/>
      <c r="R276" s="261"/>
      <c r="S276" s="261">
        <v>5.11</v>
      </c>
      <c r="T276" s="261"/>
      <c r="V276" s="8">
        <v>635</v>
      </c>
      <c r="W276" s="261"/>
      <c r="X276" s="261"/>
      <c r="Y276" s="261"/>
      <c r="Z276" s="261"/>
      <c r="AA276" s="261"/>
      <c r="AB276" s="261"/>
      <c r="AC276" s="261"/>
      <c r="AD276" s="261"/>
      <c r="AF276" s="8">
        <v>635</v>
      </c>
      <c r="AG276" s="261"/>
      <c r="AH276" s="261"/>
      <c r="AI276" s="261"/>
      <c r="AJ276" s="261"/>
      <c r="AK276" s="261"/>
      <c r="AL276" s="261"/>
      <c r="AM276" s="261"/>
      <c r="AO276" s="12">
        <v>635</v>
      </c>
      <c r="AP276" s="264"/>
      <c r="AQ276" s="264"/>
      <c r="AR276" s="264">
        <v>12.6226372563603</v>
      </c>
      <c r="AS276" s="264"/>
      <c r="AT276" s="264"/>
      <c r="AU276" s="264"/>
      <c r="AV276" s="264"/>
      <c r="AW276" s="264"/>
      <c r="AX276" s="264"/>
      <c r="BP276" s="272">
        <f>Inputs!B279</f>
        <v>635</v>
      </c>
      <c r="BQ276" s="272">
        <f>IF(LEFT(Inputs!$C$11,6)="photon",10^Inputs!C279,Inputs!C279)</f>
        <v>14.1859965749222</v>
      </c>
      <c r="BR276" s="272"/>
      <c r="BS276" s="272">
        <f>'Advanced Inputs'!I281</f>
        <v>635</v>
      </c>
      <c r="BT276" s="272">
        <f>IF('Advanced Inputs'!J$19="Photon system",10^'Advanced Inputs'!J281,'Advanced Inputs'!J281)</f>
        <v>0</v>
      </c>
      <c r="BV276" s="272">
        <v>635</v>
      </c>
      <c r="BW276" s="8">
        <v>154.418</v>
      </c>
      <c r="BX276" s="8">
        <v>83.4939</v>
      </c>
      <c r="CC276" s="8">
        <v>1</v>
      </c>
    </row>
    <row r="277" hidden="1" spans="8:81">
      <c r="H277" s="8">
        <v>636</v>
      </c>
      <c r="I277" s="261"/>
      <c r="J277" s="261"/>
      <c r="K277" s="261"/>
      <c r="L277" s="261"/>
      <c r="M277" s="261"/>
      <c r="N277" s="261"/>
      <c r="O277" s="261"/>
      <c r="P277" s="261"/>
      <c r="Q277" s="261"/>
      <c r="R277" s="261"/>
      <c r="S277" s="261">
        <v>4.3377965625</v>
      </c>
      <c r="T277" s="261"/>
      <c r="V277" s="8">
        <v>636</v>
      </c>
      <c r="W277" s="261"/>
      <c r="X277" s="261"/>
      <c r="Y277" s="261"/>
      <c r="Z277" s="261"/>
      <c r="AA277" s="261"/>
      <c r="AB277" s="261"/>
      <c r="AC277" s="261"/>
      <c r="AD277" s="261"/>
      <c r="AF277" s="8">
        <v>636</v>
      </c>
      <c r="AG277" s="261"/>
      <c r="AH277" s="261"/>
      <c r="AI277" s="261"/>
      <c r="AJ277" s="261"/>
      <c r="AK277" s="261"/>
      <c r="AL277" s="261"/>
      <c r="AM277" s="261"/>
      <c r="AO277" s="12">
        <v>636</v>
      </c>
      <c r="AP277" s="264"/>
      <c r="AQ277" s="264"/>
      <c r="AR277" s="264">
        <v>12.4434763695485</v>
      </c>
      <c r="AS277" s="264"/>
      <c r="AT277" s="264"/>
      <c r="AU277" s="264"/>
      <c r="AV277" s="264"/>
      <c r="AW277" s="264"/>
      <c r="AX277" s="264"/>
      <c r="BP277" s="272">
        <f>Inputs!B280</f>
        <v>636</v>
      </c>
      <c r="BQ277" s="272">
        <f>IF(LEFT(Inputs!$C$11,6)="photon",10^Inputs!C280,Inputs!C280)</f>
        <v>13.7480624799047</v>
      </c>
      <c r="BR277" s="272"/>
      <c r="BS277" s="272">
        <f>'Advanced Inputs'!I282</f>
        <v>636</v>
      </c>
      <c r="BT277" s="272">
        <f>IF('Advanced Inputs'!J$19="Photon system",10^'Advanced Inputs'!J282,'Advanced Inputs'!J282)</f>
        <v>0</v>
      </c>
      <c r="BV277" s="272">
        <v>636</v>
      </c>
      <c r="BW277" s="8">
        <v>155.132</v>
      </c>
      <c r="BX277" s="8">
        <v>83.535</v>
      </c>
      <c r="CC277" s="8">
        <v>1</v>
      </c>
    </row>
    <row r="278" hidden="1" spans="8:81">
      <c r="H278" s="8">
        <v>637</v>
      </c>
      <c r="I278" s="261"/>
      <c r="J278" s="261"/>
      <c r="K278" s="261"/>
      <c r="L278" s="261"/>
      <c r="M278" s="261"/>
      <c r="N278" s="261"/>
      <c r="O278" s="261"/>
      <c r="P278" s="261"/>
      <c r="Q278" s="261"/>
      <c r="R278" s="261"/>
      <c r="S278" s="261">
        <v>3.63092875</v>
      </c>
      <c r="T278" s="261"/>
      <c r="V278" s="8">
        <v>637</v>
      </c>
      <c r="W278" s="261"/>
      <c r="X278" s="261"/>
      <c r="Y278" s="261"/>
      <c r="Z278" s="261"/>
      <c r="AA278" s="261"/>
      <c r="AB278" s="261"/>
      <c r="AC278" s="261"/>
      <c r="AD278" s="261"/>
      <c r="AF278" s="8">
        <v>637</v>
      </c>
      <c r="AG278" s="261"/>
      <c r="AH278" s="261"/>
      <c r="AI278" s="261"/>
      <c r="AJ278" s="261"/>
      <c r="AK278" s="261"/>
      <c r="AL278" s="261"/>
      <c r="AM278" s="261"/>
      <c r="AO278" s="12">
        <v>637</v>
      </c>
      <c r="AP278" s="264"/>
      <c r="AQ278" s="264"/>
      <c r="AR278" s="264">
        <v>12.262655319903</v>
      </c>
      <c r="AS278" s="264"/>
      <c r="AT278" s="264"/>
      <c r="AU278" s="264"/>
      <c r="AV278" s="264"/>
      <c r="AW278" s="264"/>
      <c r="AX278" s="264"/>
      <c r="BP278" s="272">
        <f>Inputs!B281</f>
        <v>637</v>
      </c>
      <c r="BQ278" s="272">
        <f>IF(LEFT(Inputs!$C$11,6)="photon",10^Inputs!C281,Inputs!C281)</f>
        <v>13.3647557349541</v>
      </c>
      <c r="BR278" s="272"/>
      <c r="BS278" s="272">
        <f>'Advanced Inputs'!I283</f>
        <v>637</v>
      </c>
      <c r="BT278" s="272">
        <f>IF('Advanced Inputs'!J$19="Photon system",10^'Advanced Inputs'!J283,'Advanced Inputs'!J283)</f>
        <v>0</v>
      </c>
      <c r="BV278" s="272">
        <v>637</v>
      </c>
      <c r="BW278" s="8">
        <v>155.845</v>
      </c>
      <c r="BX278" s="8">
        <v>83.576</v>
      </c>
      <c r="CC278" s="8">
        <v>1</v>
      </c>
    </row>
    <row r="279" hidden="1" spans="8:81">
      <c r="H279" s="8">
        <v>638</v>
      </c>
      <c r="I279" s="261"/>
      <c r="J279" s="261"/>
      <c r="K279" s="261"/>
      <c r="L279" s="261"/>
      <c r="M279" s="261"/>
      <c r="N279" s="261"/>
      <c r="O279" s="261"/>
      <c r="P279" s="261"/>
      <c r="Q279" s="261"/>
      <c r="R279" s="261"/>
      <c r="S279" s="261">
        <v>3.00616265625</v>
      </c>
      <c r="T279" s="261"/>
      <c r="V279" s="8">
        <v>638</v>
      </c>
      <c r="W279" s="261"/>
      <c r="X279" s="261"/>
      <c r="Y279" s="261"/>
      <c r="Z279" s="261"/>
      <c r="AA279" s="261"/>
      <c r="AB279" s="261"/>
      <c r="AC279" s="261"/>
      <c r="AD279" s="261"/>
      <c r="AF279" s="8">
        <v>638</v>
      </c>
      <c r="AG279" s="261"/>
      <c r="AH279" s="261"/>
      <c r="AI279" s="261"/>
      <c r="AJ279" s="261"/>
      <c r="AK279" s="261"/>
      <c r="AL279" s="261"/>
      <c r="AM279" s="261"/>
      <c r="AO279" s="12">
        <v>638</v>
      </c>
      <c r="AP279" s="264"/>
      <c r="AQ279" s="264"/>
      <c r="AR279" s="264">
        <v>12.08001576575</v>
      </c>
      <c r="AS279" s="264"/>
      <c r="AT279" s="264"/>
      <c r="AU279" s="264"/>
      <c r="AV279" s="264"/>
      <c r="AW279" s="264"/>
      <c r="AX279" s="264"/>
      <c r="BP279" s="272">
        <f>Inputs!B282</f>
        <v>638</v>
      </c>
      <c r="BQ279" s="272">
        <f>IF(LEFT(Inputs!$C$11,6)="photon",10^Inputs!C282,Inputs!C282)</f>
        <v>13.0140648813602</v>
      </c>
      <c r="BR279" s="272"/>
      <c r="BS279" s="272">
        <f>'Advanced Inputs'!I284</f>
        <v>638</v>
      </c>
      <c r="BT279" s="272">
        <f>IF('Advanced Inputs'!J$19="Photon system",10^'Advanced Inputs'!J284,'Advanced Inputs'!J284)</f>
        <v>0</v>
      </c>
      <c r="BV279" s="272">
        <v>638</v>
      </c>
      <c r="BW279" s="8">
        <v>156.558</v>
      </c>
      <c r="BX279" s="8">
        <v>83.6171</v>
      </c>
      <c r="CC279" s="8">
        <v>1</v>
      </c>
    </row>
    <row r="280" hidden="1" spans="8:81">
      <c r="H280" s="8">
        <v>639</v>
      </c>
      <c r="I280" s="261"/>
      <c r="J280" s="261"/>
      <c r="K280" s="261"/>
      <c r="L280" s="261"/>
      <c r="M280" s="261"/>
      <c r="N280" s="261"/>
      <c r="O280" s="261"/>
      <c r="P280" s="261"/>
      <c r="Q280" s="261"/>
      <c r="R280" s="261"/>
      <c r="S280" s="261">
        <v>2.480264375</v>
      </c>
      <c r="T280" s="261"/>
      <c r="V280" s="8">
        <v>639</v>
      </c>
      <c r="W280" s="261"/>
      <c r="X280" s="261"/>
      <c r="Y280" s="261"/>
      <c r="Z280" s="261"/>
      <c r="AA280" s="261"/>
      <c r="AB280" s="261"/>
      <c r="AC280" s="261"/>
      <c r="AD280" s="261"/>
      <c r="AF280" s="8">
        <v>639</v>
      </c>
      <c r="AG280" s="261"/>
      <c r="AH280" s="261"/>
      <c r="AI280" s="261"/>
      <c r="AJ280" s="261"/>
      <c r="AK280" s="261"/>
      <c r="AL280" s="261"/>
      <c r="AM280" s="261"/>
      <c r="AO280" s="12">
        <v>639</v>
      </c>
      <c r="AP280" s="264"/>
      <c r="AQ280" s="264"/>
      <c r="AR280" s="264">
        <v>11.8962145357127</v>
      </c>
      <c r="AS280" s="264"/>
      <c r="AT280" s="264"/>
      <c r="AU280" s="264"/>
      <c r="AV280" s="264"/>
      <c r="AW280" s="264"/>
      <c r="AX280" s="264"/>
      <c r="BP280" s="272">
        <f>Inputs!B283</f>
        <v>639</v>
      </c>
      <c r="BQ280" s="272">
        <f>IF(LEFT(Inputs!$C$11,6)="photon",10^Inputs!C283,Inputs!C283)</f>
        <v>12.7172963092157</v>
      </c>
      <c r="BR280" s="272"/>
      <c r="BS280" s="272">
        <f>'Advanced Inputs'!I285</f>
        <v>639</v>
      </c>
      <c r="BT280" s="272">
        <f>IF('Advanced Inputs'!J$19="Photon system",10^'Advanced Inputs'!J285,'Advanced Inputs'!J285)</f>
        <v>0</v>
      </c>
      <c r="BV280" s="272">
        <v>639</v>
      </c>
      <c r="BW280" s="8">
        <v>157.269</v>
      </c>
      <c r="BX280" s="8">
        <v>83.6581</v>
      </c>
      <c r="CC280" s="8">
        <v>1</v>
      </c>
    </row>
    <row r="281" hidden="1" spans="8:81">
      <c r="H281" s="8">
        <v>640</v>
      </c>
      <c r="I281" s="261"/>
      <c r="J281" s="261"/>
      <c r="K281" s="261"/>
      <c r="L281" s="261"/>
      <c r="M281" s="261"/>
      <c r="N281" s="261"/>
      <c r="O281" s="261"/>
      <c r="P281" s="261"/>
      <c r="Q281" s="261"/>
      <c r="R281" s="261"/>
      <c r="S281" s="261">
        <v>2.07</v>
      </c>
      <c r="T281" s="261"/>
      <c r="V281" s="8">
        <v>640</v>
      </c>
      <c r="W281" s="261"/>
      <c r="X281" s="261"/>
      <c r="Y281" s="261"/>
      <c r="Z281" s="261"/>
      <c r="AA281" s="261"/>
      <c r="AB281" s="261"/>
      <c r="AC281" s="261"/>
      <c r="AD281" s="261"/>
      <c r="AF281" s="8">
        <v>640</v>
      </c>
      <c r="AG281" s="261"/>
      <c r="AH281" s="261"/>
      <c r="AI281" s="261"/>
      <c r="AJ281" s="261"/>
      <c r="AK281" s="261"/>
      <c r="AL281" s="261"/>
      <c r="AM281" s="261"/>
      <c r="AO281" s="12">
        <v>640</v>
      </c>
      <c r="AP281" s="264"/>
      <c r="AQ281" s="264"/>
      <c r="AR281" s="264">
        <v>11.7122045381938</v>
      </c>
      <c r="AS281" s="264"/>
      <c r="AT281" s="264"/>
      <c r="AU281" s="264"/>
      <c r="AV281" s="264"/>
      <c r="AW281" s="264"/>
      <c r="AX281" s="264"/>
      <c r="BP281" s="272">
        <f>Inputs!B284</f>
        <v>640</v>
      </c>
      <c r="BQ281" s="272">
        <f>IF(LEFT(Inputs!$C$11,6)="photon",10^Inputs!C284,Inputs!C284)</f>
        <v>12.463739645725</v>
      </c>
      <c r="BR281" s="272"/>
      <c r="BS281" s="272">
        <f>'Advanced Inputs'!I286</f>
        <v>640</v>
      </c>
      <c r="BT281" s="272">
        <f>IF('Advanced Inputs'!J$19="Photon system",10^'Advanced Inputs'!J286,'Advanced Inputs'!J286)</f>
        <v>0</v>
      </c>
      <c r="BV281" s="272">
        <v>640</v>
      </c>
      <c r="BW281" s="8">
        <v>157.979</v>
      </c>
      <c r="BX281" s="8">
        <v>83.6992</v>
      </c>
      <c r="CC281" s="8">
        <v>1</v>
      </c>
    </row>
    <row r="282" hidden="1" spans="8:81">
      <c r="H282" s="8">
        <v>641</v>
      </c>
      <c r="I282" s="261"/>
      <c r="J282" s="261"/>
      <c r="K282" s="261"/>
      <c r="L282" s="261"/>
      <c r="M282" s="261"/>
      <c r="N282" s="261"/>
      <c r="O282" s="261"/>
      <c r="P282" s="261"/>
      <c r="Q282" s="261"/>
      <c r="R282" s="261"/>
      <c r="S282" s="261">
        <v>1.93408</v>
      </c>
      <c r="T282" s="261"/>
      <c r="V282" s="8">
        <v>641</v>
      </c>
      <c r="W282" s="261"/>
      <c r="X282" s="261"/>
      <c r="Y282" s="261"/>
      <c r="Z282" s="261"/>
      <c r="AA282" s="261"/>
      <c r="AB282" s="261"/>
      <c r="AC282" s="261"/>
      <c r="AD282" s="261"/>
      <c r="AF282" s="8">
        <v>641</v>
      </c>
      <c r="AG282" s="261"/>
      <c r="AH282" s="261"/>
      <c r="AI282" s="261"/>
      <c r="AJ282" s="261"/>
      <c r="AK282" s="261"/>
      <c r="AL282" s="261"/>
      <c r="AM282" s="261"/>
      <c r="AO282" s="12">
        <v>641</v>
      </c>
      <c r="AP282" s="264"/>
      <c r="AQ282" s="264"/>
      <c r="AR282" s="264">
        <v>11.5268935728893</v>
      </c>
      <c r="AS282" s="264"/>
      <c r="AT282" s="264"/>
      <c r="AU282" s="264"/>
      <c r="AV282" s="264"/>
      <c r="AW282" s="264"/>
      <c r="AX282" s="264"/>
      <c r="BP282" s="272">
        <f>Inputs!B285</f>
        <v>641</v>
      </c>
      <c r="BQ282" s="272">
        <f>IF(LEFT(Inputs!$C$11,6)="photon",10^Inputs!C285,Inputs!C285)</f>
        <v>12.2005820328195</v>
      </c>
      <c r="BR282" s="272"/>
      <c r="BS282" s="272">
        <f>'Advanced Inputs'!I287</f>
        <v>641</v>
      </c>
      <c r="BT282" s="272">
        <f>IF('Advanced Inputs'!J$19="Photon system",10^'Advanced Inputs'!J287,'Advanced Inputs'!J287)</f>
        <v>0</v>
      </c>
      <c r="BV282" s="272">
        <v>641</v>
      </c>
      <c r="BW282" s="8">
        <v>158.689</v>
      </c>
      <c r="BX282" s="8">
        <v>83.332</v>
      </c>
      <c r="CC282" s="8">
        <v>1</v>
      </c>
    </row>
    <row r="283" hidden="1" spans="8:81">
      <c r="H283" s="8">
        <v>642</v>
      </c>
      <c r="I283" s="261"/>
      <c r="J283" s="261"/>
      <c r="K283" s="261"/>
      <c r="L283" s="261"/>
      <c r="M283" s="261"/>
      <c r="N283" s="261"/>
      <c r="O283" s="261"/>
      <c r="P283" s="261"/>
      <c r="Q283" s="261"/>
      <c r="R283" s="261"/>
      <c r="S283" s="261">
        <v>1.91184</v>
      </c>
      <c r="T283" s="261"/>
      <c r="V283" s="8">
        <v>642</v>
      </c>
      <c r="W283" s="261"/>
      <c r="X283" s="261"/>
      <c r="Y283" s="261"/>
      <c r="Z283" s="261"/>
      <c r="AA283" s="261"/>
      <c r="AB283" s="261"/>
      <c r="AC283" s="261"/>
      <c r="AD283" s="261"/>
      <c r="AF283" s="8">
        <v>642</v>
      </c>
      <c r="AG283" s="261"/>
      <c r="AH283" s="261"/>
      <c r="AI283" s="261"/>
      <c r="AJ283" s="261"/>
      <c r="AK283" s="261"/>
      <c r="AL283" s="261"/>
      <c r="AM283" s="261"/>
      <c r="AO283" s="12">
        <v>642</v>
      </c>
      <c r="AP283" s="264"/>
      <c r="AQ283" s="264"/>
      <c r="AR283" s="264">
        <v>11.3409799733748</v>
      </c>
      <c r="AS283" s="264"/>
      <c r="AT283" s="264"/>
      <c r="AU283" s="264"/>
      <c r="AV283" s="264"/>
      <c r="AW283" s="264"/>
      <c r="AX283" s="264"/>
      <c r="BP283" s="272">
        <f>Inputs!B286</f>
        <v>642</v>
      </c>
      <c r="BQ283" s="272">
        <f>IF(LEFT(Inputs!$C$11,6)="photon",10^Inputs!C286,Inputs!C286)</f>
        <v>11.9448026830897</v>
      </c>
      <c r="BR283" s="272"/>
      <c r="BS283" s="272">
        <f>'Advanced Inputs'!I288</f>
        <v>642</v>
      </c>
      <c r="BT283" s="272">
        <f>IF('Advanced Inputs'!J$19="Photon system",10^'Advanced Inputs'!J288,'Advanced Inputs'!J288)</f>
        <v>0</v>
      </c>
      <c r="BV283" s="272">
        <v>642</v>
      </c>
      <c r="BW283" s="8">
        <v>159.397</v>
      </c>
      <c r="BX283" s="8">
        <v>82.9647</v>
      </c>
      <c r="CC283" s="8">
        <v>1</v>
      </c>
    </row>
    <row r="284" hidden="1" spans="8:81">
      <c r="H284" s="8">
        <v>643</v>
      </c>
      <c r="I284" s="261"/>
      <c r="J284" s="261"/>
      <c r="K284" s="261"/>
      <c r="L284" s="261"/>
      <c r="M284" s="261"/>
      <c r="N284" s="261"/>
      <c r="O284" s="261"/>
      <c r="P284" s="261"/>
      <c r="Q284" s="261"/>
      <c r="R284" s="261"/>
      <c r="S284" s="261">
        <v>1.98456</v>
      </c>
      <c r="T284" s="261"/>
      <c r="V284" s="8">
        <v>643</v>
      </c>
      <c r="W284" s="261"/>
      <c r="X284" s="261"/>
      <c r="Y284" s="261"/>
      <c r="Z284" s="261"/>
      <c r="AA284" s="261"/>
      <c r="AB284" s="261"/>
      <c r="AC284" s="261"/>
      <c r="AD284" s="261"/>
      <c r="AF284" s="8">
        <v>643</v>
      </c>
      <c r="AG284" s="261"/>
      <c r="AH284" s="261"/>
      <c r="AI284" s="261"/>
      <c r="AJ284" s="261"/>
      <c r="AK284" s="261"/>
      <c r="AL284" s="261"/>
      <c r="AM284" s="261"/>
      <c r="AO284" s="12">
        <v>643</v>
      </c>
      <c r="AP284" s="264"/>
      <c r="AQ284" s="264"/>
      <c r="AR284" s="264">
        <v>11.1540688564312</v>
      </c>
      <c r="AS284" s="264"/>
      <c r="AT284" s="264"/>
      <c r="AU284" s="264"/>
      <c r="AV284" s="264"/>
      <c r="AW284" s="264"/>
      <c r="AX284" s="264"/>
      <c r="BP284" s="272">
        <f>Inputs!B287</f>
        <v>643</v>
      </c>
      <c r="BQ284" s="272">
        <f>IF(LEFT(Inputs!$C$11,6)="photon",10^Inputs!C287,Inputs!C287)</f>
        <v>11.7845331165384</v>
      </c>
      <c r="BR284" s="272"/>
      <c r="BS284" s="272">
        <f>'Advanced Inputs'!I289</f>
        <v>643</v>
      </c>
      <c r="BT284" s="272">
        <f>IF('Advanced Inputs'!J$19="Photon system",10^'Advanced Inputs'!J289,'Advanced Inputs'!J289)</f>
        <v>0</v>
      </c>
      <c r="BV284" s="272">
        <v>643</v>
      </c>
      <c r="BW284" s="8">
        <v>160.104</v>
      </c>
      <c r="BX284" s="8">
        <v>82.5975</v>
      </c>
      <c r="CC284" s="8">
        <v>1</v>
      </c>
    </row>
    <row r="285" hidden="1" spans="8:81">
      <c r="H285" s="8">
        <v>644</v>
      </c>
      <c r="I285" s="261"/>
      <c r="J285" s="261"/>
      <c r="K285" s="261"/>
      <c r="L285" s="261"/>
      <c r="M285" s="261"/>
      <c r="N285" s="261"/>
      <c r="O285" s="261"/>
      <c r="P285" s="261"/>
      <c r="Q285" s="261"/>
      <c r="R285" s="261"/>
      <c r="S285" s="261">
        <v>2.13352</v>
      </c>
      <c r="T285" s="261"/>
      <c r="V285" s="8">
        <v>644</v>
      </c>
      <c r="W285" s="261"/>
      <c r="X285" s="261"/>
      <c r="Y285" s="261"/>
      <c r="Z285" s="261"/>
      <c r="AA285" s="261"/>
      <c r="AB285" s="261"/>
      <c r="AC285" s="261"/>
      <c r="AD285" s="261"/>
      <c r="AF285" s="8">
        <v>644</v>
      </c>
      <c r="AG285" s="261"/>
      <c r="AH285" s="261"/>
      <c r="AI285" s="261"/>
      <c r="AJ285" s="261"/>
      <c r="AK285" s="261"/>
      <c r="AL285" s="261"/>
      <c r="AM285" s="261"/>
      <c r="AO285" s="12">
        <v>644</v>
      </c>
      <c r="AP285" s="264"/>
      <c r="AQ285" s="264"/>
      <c r="AR285" s="264">
        <v>10.9668211056616</v>
      </c>
      <c r="AS285" s="264"/>
      <c r="AT285" s="264"/>
      <c r="AU285" s="264"/>
      <c r="AV285" s="264"/>
      <c r="AW285" s="264"/>
      <c r="AX285" s="264"/>
      <c r="BP285" s="272">
        <f>Inputs!B288</f>
        <v>644</v>
      </c>
      <c r="BQ285" s="272">
        <f>IF(LEFT(Inputs!$C$11,6)="photon",10^Inputs!C288,Inputs!C288)</f>
        <v>11.5593619678365</v>
      </c>
      <c r="BR285" s="272"/>
      <c r="BS285" s="272">
        <f>'Advanced Inputs'!I290</f>
        <v>644</v>
      </c>
      <c r="BT285" s="272">
        <f>IF('Advanced Inputs'!J$19="Photon system",10^'Advanced Inputs'!J290,'Advanced Inputs'!J290)</f>
        <v>0</v>
      </c>
      <c r="BV285" s="272">
        <v>644</v>
      </c>
      <c r="BW285" s="8">
        <v>160.811</v>
      </c>
      <c r="BX285" s="8">
        <v>82.2302</v>
      </c>
      <c r="CC285" s="8">
        <v>1</v>
      </c>
    </row>
    <row r="286" hidden="1" spans="8:81">
      <c r="H286" s="8">
        <v>645</v>
      </c>
      <c r="I286" s="261"/>
      <c r="J286" s="261"/>
      <c r="K286" s="261"/>
      <c r="L286" s="261"/>
      <c r="M286" s="261"/>
      <c r="N286" s="261"/>
      <c r="O286" s="261"/>
      <c r="P286" s="261"/>
      <c r="Q286" s="261"/>
      <c r="R286" s="261"/>
      <c r="S286" s="261">
        <v>2.34</v>
      </c>
      <c r="T286" s="261"/>
      <c r="V286" s="8">
        <v>645</v>
      </c>
      <c r="W286" s="261"/>
      <c r="X286" s="261"/>
      <c r="Y286" s="261"/>
      <c r="Z286" s="261"/>
      <c r="AA286" s="261"/>
      <c r="AB286" s="261"/>
      <c r="AC286" s="261"/>
      <c r="AD286" s="261"/>
      <c r="AF286" s="8">
        <v>645</v>
      </c>
      <c r="AG286" s="261"/>
      <c r="AH286" s="261"/>
      <c r="AI286" s="261"/>
      <c r="AJ286" s="261"/>
      <c r="AK286" s="261"/>
      <c r="AL286" s="261"/>
      <c r="AM286" s="261"/>
      <c r="AO286" s="12">
        <v>645</v>
      </c>
      <c r="AP286" s="264"/>
      <c r="AQ286" s="264"/>
      <c r="AR286" s="264">
        <v>10.7794142370211</v>
      </c>
      <c r="AS286" s="264"/>
      <c r="AT286" s="264"/>
      <c r="AU286" s="264"/>
      <c r="AV286" s="264"/>
      <c r="AW286" s="264"/>
      <c r="AX286" s="264"/>
      <c r="BP286" s="272">
        <f>Inputs!B289</f>
        <v>645</v>
      </c>
      <c r="BQ286" s="272">
        <f>IF(LEFT(Inputs!$C$11,6)="photon",10^Inputs!C289,Inputs!C289)</f>
        <v>11.385670506693</v>
      </c>
      <c r="BR286" s="272"/>
      <c r="BS286" s="272">
        <f>'Advanced Inputs'!I291</f>
        <v>645</v>
      </c>
      <c r="BT286" s="272">
        <f>IF('Advanced Inputs'!J$19="Photon system",10^'Advanced Inputs'!J291,'Advanced Inputs'!J291)</f>
        <v>0</v>
      </c>
      <c r="BV286" s="272">
        <v>645</v>
      </c>
      <c r="BW286" s="8">
        <v>161.516</v>
      </c>
      <c r="BX286" s="8">
        <v>81.863</v>
      </c>
      <c r="CC286" s="8">
        <v>1</v>
      </c>
    </row>
    <row r="287" hidden="1" spans="8:81">
      <c r="H287" s="8">
        <v>646</v>
      </c>
      <c r="I287" s="261"/>
      <c r="J287" s="261"/>
      <c r="K287" s="261"/>
      <c r="L287" s="261"/>
      <c r="M287" s="261"/>
      <c r="N287" s="261"/>
      <c r="O287" s="261"/>
      <c r="P287" s="261"/>
      <c r="Q287" s="261"/>
      <c r="R287" s="261"/>
      <c r="S287" s="261">
        <v>2.59936</v>
      </c>
      <c r="T287" s="261"/>
      <c r="V287" s="8">
        <v>646</v>
      </c>
      <c r="W287" s="261"/>
      <c r="X287" s="261"/>
      <c r="Y287" s="261"/>
      <c r="Z287" s="261"/>
      <c r="AA287" s="261"/>
      <c r="AB287" s="261"/>
      <c r="AC287" s="261"/>
      <c r="AD287" s="261"/>
      <c r="AF287" s="8">
        <v>646</v>
      </c>
      <c r="AG287" s="261"/>
      <c r="AH287" s="261"/>
      <c r="AI287" s="261"/>
      <c r="AJ287" s="261"/>
      <c r="AK287" s="261"/>
      <c r="AL287" s="261"/>
      <c r="AM287" s="261"/>
      <c r="AO287" s="12">
        <v>646</v>
      </c>
      <c r="AP287" s="264"/>
      <c r="AQ287" s="264"/>
      <c r="AR287" s="264">
        <v>10.5922195228246</v>
      </c>
      <c r="AS287" s="264"/>
      <c r="AT287" s="264"/>
      <c r="AU287" s="264"/>
      <c r="AV287" s="264"/>
      <c r="AW287" s="264"/>
      <c r="AX287" s="264"/>
      <c r="BP287" s="272">
        <f>Inputs!B290</f>
        <v>646</v>
      </c>
      <c r="BQ287" s="272">
        <f>IF(LEFT(Inputs!$C$11,6)="photon",10^Inputs!C290,Inputs!C290)</f>
        <v>11.2307899844429</v>
      </c>
      <c r="BR287" s="272"/>
      <c r="BS287" s="272">
        <f>'Advanced Inputs'!I292</f>
        <v>646</v>
      </c>
      <c r="BT287" s="272">
        <f>IF('Advanced Inputs'!J$19="Photon system",10^'Advanced Inputs'!J292,'Advanced Inputs'!J292)</f>
        <v>0</v>
      </c>
      <c r="BV287" s="272">
        <v>646</v>
      </c>
      <c r="BW287" s="8">
        <v>162.221</v>
      </c>
      <c r="BX287" s="8">
        <v>81.4958</v>
      </c>
      <c r="CC287" s="8">
        <v>1</v>
      </c>
    </row>
    <row r="288" hidden="1" spans="8:81">
      <c r="H288" s="8">
        <v>647</v>
      </c>
      <c r="I288" s="261"/>
      <c r="J288" s="261"/>
      <c r="K288" s="261"/>
      <c r="L288" s="261"/>
      <c r="M288" s="261"/>
      <c r="N288" s="261"/>
      <c r="O288" s="261"/>
      <c r="P288" s="261"/>
      <c r="Q288" s="261"/>
      <c r="R288" s="261"/>
      <c r="S288" s="261">
        <v>2.87528</v>
      </c>
      <c r="T288" s="261"/>
      <c r="V288" s="8">
        <v>647</v>
      </c>
      <c r="W288" s="261"/>
      <c r="X288" s="261"/>
      <c r="Y288" s="261"/>
      <c r="Z288" s="261"/>
      <c r="AA288" s="261"/>
      <c r="AB288" s="261"/>
      <c r="AC288" s="261"/>
      <c r="AD288" s="261"/>
      <c r="AF288" s="8">
        <v>647</v>
      </c>
      <c r="AG288" s="261"/>
      <c r="AH288" s="261"/>
      <c r="AI288" s="261"/>
      <c r="AJ288" s="261"/>
      <c r="AK288" s="261"/>
      <c r="AL288" s="261"/>
      <c r="AM288" s="261"/>
      <c r="AO288" s="12">
        <v>647</v>
      </c>
      <c r="AP288" s="264"/>
      <c r="AQ288" s="264"/>
      <c r="AR288" s="264">
        <v>10.4055953984935</v>
      </c>
      <c r="AS288" s="264"/>
      <c r="AT288" s="264"/>
      <c r="AU288" s="264"/>
      <c r="AV288" s="264"/>
      <c r="AW288" s="264"/>
      <c r="AX288" s="264"/>
      <c r="BP288" s="272">
        <f>Inputs!B291</f>
        <v>647</v>
      </c>
      <c r="BQ288" s="272">
        <f>IF(LEFT(Inputs!$C$11,6)="photon",10^Inputs!C291,Inputs!C291)</f>
        <v>11.0731106761155</v>
      </c>
      <c r="BR288" s="272"/>
      <c r="BS288" s="272">
        <f>'Advanced Inputs'!I293</f>
        <v>647</v>
      </c>
      <c r="BT288" s="272">
        <f>IF('Advanced Inputs'!J$19="Photon system",10^'Advanced Inputs'!J293,'Advanced Inputs'!J293)</f>
        <v>0</v>
      </c>
      <c r="BV288" s="272">
        <v>647</v>
      </c>
      <c r="BW288" s="8">
        <v>162.924</v>
      </c>
      <c r="BX288" s="8">
        <v>81.1285</v>
      </c>
      <c r="CC288" s="8">
        <v>1</v>
      </c>
    </row>
    <row r="289" hidden="1" spans="8:81">
      <c r="H289" s="8">
        <v>648</v>
      </c>
      <c r="I289" s="261"/>
      <c r="J289" s="261"/>
      <c r="K289" s="261"/>
      <c r="L289" s="261"/>
      <c r="M289" s="261"/>
      <c r="N289" s="261"/>
      <c r="O289" s="261"/>
      <c r="P289" s="261"/>
      <c r="Q289" s="261"/>
      <c r="R289" s="261"/>
      <c r="S289" s="261">
        <v>3.14552</v>
      </c>
      <c r="T289" s="261"/>
      <c r="V289" s="8">
        <v>648</v>
      </c>
      <c r="W289" s="261"/>
      <c r="X289" s="261"/>
      <c r="Y289" s="261"/>
      <c r="Z289" s="261"/>
      <c r="AA289" s="261"/>
      <c r="AB289" s="261"/>
      <c r="AC289" s="261"/>
      <c r="AD289" s="261"/>
      <c r="AF289" s="8">
        <v>648</v>
      </c>
      <c r="AG289" s="261"/>
      <c r="AH289" s="261"/>
      <c r="AI289" s="261"/>
      <c r="AJ289" s="261"/>
      <c r="AK289" s="261"/>
      <c r="AL289" s="261"/>
      <c r="AM289" s="261"/>
      <c r="AO289" s="12">
        <v>648</v>
      </c>
      <c r="AP289" s="264"/>
      <c r="AQ289" s="264"/>
      <c r="AR289" s="264">
        <v>10.2199999832372</v>
      </c>
      <c r="AS289" s="264"/>
      <c r="AT289" s="264"/>
      <c r="AU289" s="264"/>
      <c r="AV289" s="264"/>
      <c r="AW289" s="264"/>
      <c r="AX289" s="264"/>
      <c r="BP289" s="272">
        <f>Inputs!B292</f>
        <v>648</v>
      </c>
      <c r="BQ289" s="272">
        <f>IF(LEFT(Inputs!$C$11,6)="photon",10^Inputs!C292,Inputs!C292)</f>
        <v>10.873154262209</v>
      </c>
      <c r="BR289" s="272"/>
      <c r="BS289" s="272">
        <f>'Advanced Inputs'!I294</f>
        <v>648</v>
      </c>
      <c r="BT289" s="272">
        <f>IF('Advanced Inputs'!J$19="Photon system",10^'Advanced Inputs'!J294,'Advanced Inputs'!J294)</f>
        <v>0</v>
      </c>
      <c r="BV289" s="272">
        <v>648</v>
      </c>
      <c r="BW289" s="8">
        <v>163.626</v>
      </c>
      <c r="BX289" s="8">
        <v>80.7613</v>
      </c>
      <c r="CC289" s="8">
        <v>1</v>
      </c>
    </row>
    <row r="290" hidden="1" spans="8:81">
      <c r="H290" s="8">
        <v>649</v>
      </c>
      <c r="I290" s="261"/>
      <c r="J290" s="261"/>
      <c r="K290" s="261"/>
      <c r="L290" s="261"/>
      <c r="M290" s="261"/>
      <c r="N290" s="261"/>
      <c r="O290" s="261"/>
      <c r="P290" s="261"/>
      <c r="Q290" s="261"/>
      <c r="R290" s="261"/>
      <c r="S290" s="261">
        <v>3.38784</v>
      </c>
      <c r="T290" s="261"/>
      <c r="V290" s="8">
        <v>649</v>
      </c>
      <c r="W290" s="261"/>
      <c r="X290" s="261"/>
      <c r="Y290" s="261"/>
      <c r="Z290" s="261"/>
      <c r="AA290" s="261"/>
      <c r="AB290" s="261"/>
      <c r="AC290" s="261"/>
      <c r="AD290" s="261"/>
      <c r="AF290" s="8">
        <v>649</v>
      </c>
      <c r="AG290" s="261"/>
      <c r="AH290" s="261"/>
      <c r="AI290" s="261"/>
      <c r="AJ290" s="261"/>
      <c r="AK290" s="261"/>
      <c r="AL290" s="261"/>
      <c r="AM290" s="261"/>
      <c r="AO290" s="12">
        <v>649</v>
      </c>
      <c r="AP290" s="264"/>
      <c r="AQ290" s="264"/>
      <c r="AR290" s="264">
        <v>10.0340160384605</v>
      </c>
      <c r="AS290" s="264"/>
      <c r="AT290" s="264"/>
      <c r="AU290" s="264"/>
      <c r="AV290" s="264"/>
      <c r="AW290" s="264"/>
      <c r="AX290" s="264"/>
      <c r="BP290" s="272">
        <f>Inputs!B293</f>
        <v>649</v>
      </c>
      <c r="BQ290" s="272">
        <f>IF(LEFT(Inputs!$C$11,6)="photon",10^Inputs!C293,Inputs!C293)</f>
        <v>10.6907593014405</v>
      </c>
      <c r="BR290" s="272"/>
      <c r="BS290" s="272">
        <f>'Advanced Inputs'!I295</f>
        <v>649</v>
      </c>
      <c r="BT290" s="272">
        <f>IF('Advanced Inputs'!J$19="Photon system",10^'Advanced Inputs'!J295,'Advanced Inputs'!J295)</f>
        <v>0</v>
      </c>
      <c r="BV290" s="272">
        <v>649</v>
      </c>
      <c r="BW290" s="8">
        <v>164.327</v>
      </c>
      <c r="BX290" s="8">
        <v>80.394</v>
      </c>
      <c r="CC290" s="8">
        <v>1</v>
      </c>
    </row>
    <row r="291" hidden="1" spans="8:81">
      <c r="H291" s="8">
        <v>650</v>
      </c>
      <c r="I291" s="261"/>
      <c r="J291" s="261"/>
      <c r="K291" s="261"/>
      <c r="L291" s="261"/>
      <c r="M291" s="261"/>
      <c r="N291" s="261"/>
      <c r="O291" s="261"/>
      <c r="P291" s="261"/>
      <c r="Q291" s="261"/>
      <c r="R291" s="261"/>
      <c r="S291" s="261">
        <v>3.58</v>
      </c>
      <c r="T291" s="261"/>
      <c r="V291" s="8">
        <v>650</v>
      </c>
      <c r="W291" s="261"/>
      <c r="X291" s="261"/>
      <c r="Y291" s="261"/>
      <c r="Z291" s="261"/>
      <c r="AA291" s="261"/>
      <c r="AB291" s="261"/>
      <c r="AC291" s="261"/>
      <c r="AD291" s="261"/>
      <c r="AF291" s="8">
        <v>650</v>
      </c>
      <c r="AG291" s="261"/>
      <c r="AH291" s="261"/>
      <c r="AI291" s="261"/>
      <c r="AJ291" s="261"/>
      <c r="AK291" s="261"/>
      <c r="AL291" s="261"/>
      <c r="AM291" s="261"/>
      <c r="AO291" s="12">
        <v>650</v>
      </c>
      <c r="AP291" s="264"/>
      <c r="AQ291" s="264"/>
      <c r="AR291" s="264">
        <v>9.848369131422</v>
      </c>
      <c r="AS291" s="264"/>
      <c r="AT291" s="264"/>
      <c r="AU291" s="264"/>
      <c r="AV291" s="264"/>
      <c r="AW291" s="264"/>
      <c r="AX291" s="264"/>
      <c r="BP291" s="272">
        <f>Inputs!B294</f>
        <v>650</v>
      </c>
      <c r="BQ291" s="272">
        <f>IF(LEFT(Inputs!$C$11,6)="photon",10^Inputs!C294,Inputs!C294)</f>
        <v>10.5662873114981</v>
      </c>
      <c r="BR291" s="272"/>
      <c r="BS291" s="272">
        <f>'Advanced Inputs'!I296</f>
        <v>650</v>
      </c>
      <c r="BT291" s="272">
        <f>IF('Advanced Inputs'!J$19="Photon system",10^'Advanced Inputs'!J296,'Advanced Inputs'!J296)</f>
        <v>0</v>
      </c>
      <c r="BV291" s="272">
        <v>650</v>
      </c>
      <c r="BW291" s="8">
        <v>165.028</v>
      </c>
      <c r="BX291" s="8">
        <v>80.0268</v>
      </c>
      <c r="CC291" s="8">
        <v>1</v>
      </c>
    </row>
    <row r="292" hidden="1" spans="8:81">
      <c r="H292" s="8">
        <v>651</v>
      </c>
      <c r="I292" s="261"/>
      <c r="J292" s="261"/>
      <c r="K292" s="261"/>
      <c r="L292" s="261"/>
      <c r="M292" s="261"/>
      <c r="N292" s="261"/>
      <c r="O292" s="261"/>
      <c r="P292" s="261"/>
      <c r="Q292" s="261"/>
      <c r="R292" s="261"/>
      <c r="S292" s="261">
        <v>3.5516</v>
      </c>
      <c r="T292" s="261"/>
      <c r="V292" s="8">
        <v>651</v>
      </c>
      <c r="W292" s="261"/>
      <c r="X292" s="261"/>
      <c r="Y292" s="261"/>
      <c r="Z292" s="261"/>
      <c r="AA292" s="261"/>
      <c r="AB292" s="261"/>
      <c r="AC292" s="261"/>
      <c r="AD292" s="261"/>
      <c r="AF292" s="8">
        <v>651</v>
      </c>
      <c r="AG292" s="261"/>
      <c r="AH292" s="261"/>
      <c r="AI292" s="261"/>
      <c r="AJ292" s="261"/>
      <c r="AK292" s="261"/>
      <c r="AL292" s="261"/>
      <c r="AM292" s="261"/>
      <c r="AO292" s="12">
        <v>651</v>
      </c>
      <c r="AP292" s="264"/>
      <c r="AQ292" s="264"/>
      <c r="AR292" s="264">
        <v>9.66216374415177</v>
      </c>
      <c r="AS292" s="264"/>
      <c r="AT292" s="264"/>
      <c r="AU292" s="264"/>
      <c r="AV292" s="264"/>
      <c r="AW292" s="264"/>
      <c r="AX292" s="264"/>
      <c r="BP292" s="272">
        <f>Inputs!B295</f>
        <v>651</v>
      </c>
      <c r="BQ292" s="272">
        <f>IF(LEFT(Inputs!$C$11,6)="photon",10^Inputs!C295,Inputs!C295)</f>
        <v>10.3765491849845</v>
      </c>
      <c r="BR292" s="272"/>
      <c r="BS292" s="272">
        <f>'Advanced Inputs'!I297</f>
        <v>651</v>
      </c>
      <c r="BT292" s="272">
        <f>IF('Advanced Inputs'!J$19="Photon system",10^'Advanced Inputs'!J297,'Advanced Inputs'!J297)</f>
        <v>0</v>
      </c>
      <c r="BV292" s="272">
        <v>651</v>
      </c>
      <c r="BW292" s="8">
        <v>165.726</v>
      </c>
      <c r="BX292" s="8">
        <v>80.0456</v>
      </c>
      <c r="CC292" s="8">
        <v>1</v>
      </c>
    </row>
    <row r="293" hidden="1" spans="8:81">
      <c r="H293" s="8">
        <v>652</v>
      </c>
      <c r="I293" s="261"/>
      <c r="J293" s="261"/>
      <c r="K293" s="261"/>
      <c r="L293" s="261"/>
      <c r="M293" s="261"/>
      <c r="N293" s="261"/>
      <c r="O293" s="261"/>
      <c r="P293" s="261"/>
      <c r="Q293" s="261"/>
      <c r="R293" s="261"/>
      <c r="S293" s="261">
        <v>3.4656</v>
      </c>
      <c r="T293" s="261"/>
      <c r="V293" s="8">
        <v>652</v>
      </c>
      <c r="W293" s="261"/>
      <c r="X293" s="261"/>
      <c r="Y293" s="261"/>
      <c r="Z293" s="261"/>
      <c r="AA293" s="261"/>
      <c r="AB293" s="261"/>
      <c r="AC293" s="261"/>
      <c r="AD293" s="261"/>
      <c r="AF293" s="8">
        <v>652</v>
      </c>
      <c r="AG293" s="261"/>
      <c r="AH293" s="261"/>
      <c r="AI293" s="261"/>
      <c r="AJ293" s="261"/>
      <c r="AK293" s="261"/>
      <c r="AL293" s="261"/>
      <c r="AM293" s="261"/>
      <c r="AO293" s="12">
        <v>652</v>
      </c>
      <c r="AP293" s="264"/>
      <c r="AQ293" s="264"/>
      <c r="AR293" s="264">
        <v>9.47687083427607</v>
      </c>
      <c r="AS293" s="264"/>
      <c r="AT293" s="264"/>
      <c r="AU293" s="264"/>
      <c r="AV293" s="264"/>
      <c r="AW293" s="264"/>
      <c r="AX293" s="264"/>
      <c r="BP293" s="272">
        <f>Inputs!B296</f>
        <v>652</v>
      </c>
      <c r="BQ293" s="272">
        <f>IF(LEFT(Inputs!$C$11,6)="photon",10^Inputs!C296,Inputs!C296)</f>
        <v>10.2468707036746</v>
      </c>
      <c r="BR293" s="272"/>
      <c r="BS293" s="272">
        <f>'Advanced Inputs'!I298</f>
        <v>652</v>
      </c>
      <c r="BT293" s="272">
        <f>IF('Advanced Inputs'!J$19="Photon system",10^'Advanced Inputs'!J298,'Advanced Inputs'!J298)</f>
        <v>0</v>
      </c>
      <c r="BV293" s="272">
        <v>652</v>
      </c>
      <c r="BW293" s="8">
        <v>166.424</v>
      </c>
      <c r="BX293" s="8">
        <v>80.0644</v>
      </c>
      <c r="CC293" s="8">
        <v>1</v>
      </c>
    </row>
    <row r="294" hidden="1" spans="8:81">
      <c r="H294" s="8">
        <v>653</v>
      </c>
      <c r="I294" s="261"/>
      <c r="J294" s="261"/>
      <c r="K294" s="261"/>
      <c r="L294" s="261"/>
      <c r="M294" s="261"/>
      <c r="N294" s="261"/>
      <c r="O294" s="261"/>
      <c r="P294" s="261"/>
      <c r="Q294" s="261"/>
      <c r="R294" s="261"/>
      <c r="S294" s="261">
        <v>3.3368</v>
      </c>
      <c r="T294" s="261"/>
      <c r="V294" s="8">
        <v>653</v>
      </c>
      <c r="W294" s="261"/>
      <c r="X294" s="261"/>
      <c r="Y294" s="261"/>
      <c r="Z294" s="261"/>
      <c r="AA294" s="261"/>
      <c r="AB294" s="261"/>
      <c r="AC294" s="261"/>
      <c r="AD294" s="261"/>
      <c r="AF294" s="8">
        <v>653</v>
      </c>
      <c r="AG294" s="261"/>
      <c r="AH294" s="261"/>
      <c r="AI294" s="261"/>
      <c r="AJ294" s="261"/>
      <c r="AK294" s="261"/>
      <c r="AL294" s="261"/>
      <c r="AM294" s="261"/>
      <c r="AO294" s="12">
        <v>653</v>
      </c>
      <c r="AP294" s="264"/>
      <c r="AQ294" s="264"/>
      <c r="AR294" s="264">
        <v>9.29187411589413</v>
      </c>
      <c r="AS294" s="264"/>
      <c r="AT294" s="264"/>
      <c r="AU294" s="264"/>
      <c r="AV294" s="264"/>
      <c r="AW294" s="264"/>
      <c r="AX294" s="264"/>
      <c r="BP294" s="272">
        <f>Inputs!B297</f>
        <v>653</v>
      </c>
      <c r="BQ294" s="272">
        <f>IF(LEFT(Inputs!$C$11,6)="photon",10^Inputs!C297,Inputs!C297)</f>
        <v>10.1322110413467</v>
      </c>
      <c r="BR294" s="272"/>
      <c r="BS294" s="272">
        <f>'Advanced Inputs'!I299</f>
        <v>653</v>
      </c>
      <c r="BT294" s="272">
        <f>IF('Advanced Inputs'!J$19="Photon system",10^'Advanced Inputs'!J299,'Advanced Inputs'!J299)</f>
        <v>0</v>
      </c>
      <c r="BV294" s="272">
        <v>653</v>
      </c>
      <c r="BW294" s="8">
        <v>167.121</v>
      </c>
      <c r="BX294" s="8">
        <v>80.0831</v>
      </c>
      <c r="CC294" s="8">
        <v>1</v>
      </c>
    </row>
    <row r="295" hidden="1" spans="8:81">
      <c r="H295" s="8">
        <v>654</v>
      </c>
      <c r="I295" s="261"/>
      <c r="J295" s="261"/>
      <c r="K295" s="261"/>
      <c r="L295" s="261"/>
      <c r="M295" s="261"/>
      <c r="N295" s="261"/>
      <c r="O295" s="261"/>
      <c r="P295" s="261"/>
      <c r="Q295" s="261"/>
      <c r="R295" s="261"/>
      <c r="S295" s="261">
        <v>3.18</v>
      </c>
      <c r="T295" s="261"/>
      <c r="V295" s="8">
        <v>654</v>
      </c>
      <c r="W295" s="261"/>
      <c r="X295" s="261"/>
      <c r="Y295" s="261"/>
      <c r="Z295" s="261"/>
      <c r="AA295" s="261"/>
      <c r="AB295" s="261"/>
      <c r="AC295" s="261"/>
      <c r="AD295" s="261"/>
      <c r="AF295" s="8">
        <v>654</v>
      </c>
      <c r="AG295" s="261"/>
      <c r="AH295" s="261"/>
      <c r="AI295" s="261"/>
      <c r="AJ295" s="261"/>
      <c r="AK295" s="261"/>
      <c r="AL295" s="261"/>
      <c r="AM295" s="261"/>
      <c r="AO295" s="12">
        <v>654</v>
      </c>
      <c r="AP295" s="264"/>
      <c r="AQ295" s="264"/>
      <c r="AR295" s="264">
        <v>9.1097102638502</v>
      </c>
      <c r="AS295" s="264"/>
      <c r="AT295" s="264"/>
      <c r="AU295" s="264"/>
      <c r="AV295" s="264"/>
      <c r="AW295" s="264"/>
      <c r="AX295" s="264"/>
      <c r="BP295" s="272">
        <f>Inputs!B298</f>
        <v>654</v>
      </c>
      <c r="BQ295" s="272">
        <f>IF(LEFT(Inputs!$C$11,6)="photon",10^Inputs!C298,Inputs!C298)</f>
        <v>9.97796679345373</v>
      </c>
      <c r="BR295" s="272"/>
      <c r="BS295" s="272">
        <f>'Advanced Inputs'!I300</f>
        <v>654</v>
      </c>
      <c r="BT295" s="272">
        <f>IF('Advanced Inputs'!J$19="Photon system",10^'Advanced Inputs'!J300,'Advanced Inputs'!J300)</f>
        <v>0</v>
      </c>
      <c r="BV295" s="272">
        <v>654</v>
      </c>
      <c r="BW295" s="8">
        <v>167.816</v>
      </c>
      <c r="BX295" s="8">
        <v>80.1019</v>
      </c>
      <c r="CC295" s="8">
        <v>1</v>
      </c>
    </row>
    <row r="296" hidden="1" spans="8:81">
      <c r="H296" s="8">
        <v>655</v>
      </c>
      <c r="I296" s="261"/>
      <c r="J296" s="261"/>
      <c r="K296" s="261"/>
      <c r="L296" s="261"/>
      <c r="M296" s="261"/>
      <c r="N296" s="261"/>
      <c r="O296" s="261"/>
      <c r="P296" s="261"/>
      <c r="Q296" s="261"/>
      <c r="R296" s="261"/>
      <c r="S296" s="261">
        <v>3.01</v>
      </c>
      <c r="T296" s="261"/>
      <c r="V296" s="8">
        <v>655</v>
      </c>
      <c r="W296" s="261"/>
      <c r="X296" s="261"/>
      <c r="Y296" s="261"/>
      <c r="Z296" s="261"/>
      <c r="AA296" s="261"/>
      <c r="AB296" s="261"/>
      <c r="AC296" s="261"/>
      <c r="AD296" s="261"/>
      <c r="AF296" s="8">
        <v>655</v>
      </c>
      <c r="AG296" s="261"/>
      <c r="AH296" s="261"/>
      <c r="AI296" s="261"/>
      <c r="AJ296" s="261"/>
      <c r="AK296" s="261"/>
      <c r="AL296" s="261"/>
      <c r="AM296" s="261"/>
      <c r="AO296" s="12">
        <v>655</v>
      </c>
      <c r="AP296" s="264"/>
      <c r="AQ296" s="264"/>
      <c r="AR296" s="264">
        <v>8.9285392683097</v>
      </c>
      <c r="AS296" s="264"/>
      <c r="AT296" s="264"/>
      <c r="AU296" s="264"/>
      <c r="AV296" s="264"/>
      <c r="AW296" s="264"/>
      <c r="AX296" s="264"/>
      <c r="BP296" s="272">
        <f>Inputs!B299</f>
        <v>655</v>
      </c>
      <c r="BQ296" s="272">
        <f>IF(LEFT(Inputs!$C$11,6)="photon",10^Inputs!C299,Inputs!C299)</f>
        <v>9.79049514252479</v>
      </c>
      <c r="BR296" s="272"/>
      <c r="BS296" s="272">
        <f>'Advanced Inputs'!I301</f>
        <v>655</v>
      </c>
      <c r="BT296" s="272">
        <f>IF('Advanced Inputs'!J$19="Photon system",10^'Advanced Inputs'!J301,'Advanced Inputs'!J301)</f>
        <v>0</v>
      </c>
      <c r="BV296" s="272">
        <v>655</v>
      </c>
      <c r="BW296" s="8">
        <v>168.51</v>
      </c>
      <c r="BX296" s="8">
        <v>80.1207</v>
      </c>
      <c r="CC296" s="8">
        <v>1</v>
      </c>
    </row>
    <row r="297" hidden="1" spans="8:81">
      <c r="H297" s="8">
        <v>656</v>
      </c>
      <c r="I297" s="261"/>
      <c r="J297" s="261"/>
      <c r="K297" s="261"/>
      <c r="L297" s="261"/>
      <c r="M297" s="261"/>
      <c r="N297" s="261"/>
      <c r="O297" s="261"/>
      <c r="P297" s="261"/>
      <c r="Q297" s="261"/>
      <c r="R297" s="261"/>
      <c r="S297" s="261">
        <v>2.896</v>
      </c>
      <c r="T297" s="261"/>
      <c r="V297" s="8">
        <v>656</v>
      </c>
      <c r="W297" s="261"/>
      <c r="X297" s="261"/>
      <c r="Y297" s="261"/>
      <c r="Z297" s="261"/>
      <c r="AA297" s="261"/>
      <c r="AB297" s="261"/>
      <c r="AC297" s="261"/>
      <c r="AD297" s="261"/>
      <c r="AF297" s="8">
        <v>656</v>
      </c>
      <c r="AG297" s="261"/>
      <c r="AH297" s="261"/>
      <c r="AI297" s="261"/>
      <c r="AJ297" s="261"/>
      <c r="AK297" s="261"/>
      <c r="AL297" s="261"/>
      <c r="AM297" s="261"/>
      <c r="AO297" s="12">
        <v>656</v>
      </c>
      <c r="AP297" s="264"/>
      <c r="AQ297" s="264"/>
      <c r="AR297" s="264">
        <v>8.74796614845416</v>
      </c>
      <c r="AS297" s="264"/>
      <c r="AT297" s="264"/>
      <c r="AU297" s="264"/>
      <c r="AV297" s="264"/>
      <c r="AW297" s="264"/>
      <c r="AX297" s="264"/>
      <c r="BP297" s="272">
        <f>Inputs!B300</f>
        <v>656</v>
      </c>
      <c r="BQ297" s="272">
        <f>IF(LEFT(Inputs!$C$11,6)="photon",10^Inputs!C300,Inputs!C300)</f>
        <v>9.67364168086019</v>
      </c>
      <c r="BR297" s="272"/>
      <c r="BS297" s="272">
        <f>'Advanced Inputs'!I302</f>
        <v>656</v>
      </c>
      <c r="BT297" s="272">
        <f>IF('Advanced Inputs'!J$19="Photon system",10^'Advanced Inputs'!J302,'Advanced Inputs'!J302)</f>
        <v>0</v>
      </c>
      <c r="BV297" s="272">
        <v>656</v>
      </c>
      <c r="BW297" s="8">
        <v>169.203</v>
      </c>
      <c r="BX297" s="8">
        <v>80.1395</v>
      </c>
      <c r="CC297" s="8">
        <v>1</v>
      </c>
    </row>
    <row r="298" hidden="1" spans="8:81">
      <c r="H298" s="8">
        <v>657</v>
      </c>
      <c r="I298" s="261"/>
      <c r="J298" s="261"/>
      <c r="K298" s="261"/>
      <c r="L298" s="261"/>
      <c r="M298" s="261"/>
      <c r="N298" s="261"/>
      <c r="O298" s="261"/>
      <c r="P298" s="261"/>
      <c r="Q298" s="261"/>
      <c r="R298" s="261"/>
      <c r="S298" s="261">
        <v>2.7848</v>
      </c>
      <c r="T298" s="261"/>
      <c r="V298" s="8">
        <v>657</v>
      </c>
      <c r="W298" s="261"/>
      <c r="X298" s="261"/>
      <c r="Y298" s="261"/>
      <c r="Z298" s="261"/>
      <c r="AA298" s="261"/>
      <c r="AB298" s="261"/>
      <c r="AC298" s="261"/>
      <c r="AD298" s="261"/>
      <c r="AF298" s="8">
        <v>657</v>
      </c>
      <c r="AG298" s="261"/>
      <c r="AH298" s="261"/>
      <c r="AI298" s="261"/>
      <c r="AJ298" s="261"/>
      <c r="AK298" s="261"/>
      <c r="AL298" s="261"/>
      <c r="AM298" s="261"/>
      <c r="AO298" s="12">
        <v>657</v>
      </c>
      <c r="AP298" s="264"/>
      <c r="AQ298" s="264"/>
      <c r="AR298" s="264">
        <v>8.56932734248985</v>
      </c>
      <c r="AS298" s="264"/>
      <c r="AT298" s="264"/>
      <c r="AU298" s="264"/>
      <c r="AV298" s="264"/>
      <c r="AW298" s="264"/>
      <c r="AX298" s="264"/>
      <c r="BP298" s="272">
        <f>Inputs!B301</f>
        <v>657</v>
      </c>
      <c r="BQ298" s="272">
        <f>IF(LEFT(Inputs!$C$11,6)="photon",10^Inputs!C301,Inputs!C301)</f>
        <v>9.52543825564907</v>
      </c>
      <c r="BR298" s="272"/>
      <c r="BS298" s="272">
        <f>'Advanced Inputs'!I303</f>
        <v>657</v>
      </c>
      <c r="BT298" s="272">
        <f>IF('Advanced Inputs'!J$19="Photon system",10^'Advanced Inputs'!J303,'Advanced Inputs'!J303)</f>
        <v>0</v>
      </c>
      <c r="BV298" s="272">
        <v>657</v>
      </c>
      <c r="BW298" s="8">
        <v>169.895</v>
      </c>
      <c r="BX298" s="8">
        <v>80.1583</v>
      </c>
      <c r="CC298" s="8">
        <v>1</v>
      </c>
    </row>
    <row r="299" hidden="1" spans="8:81">
      <c r="H299" s="8">
        <v>658</v>
      </c>
      <c r="I299" s="261"/>
      <c r="J299" s="261"/>
      <c r="K299" s="261"/>
      <c r="L299" s="261"/>
      <c r="M299" s="261"/>
      <c r="N299" s="261"/>
      <c r="O299" s="261"/>
      <c r="P299" s="261"/>
      <c r="Q299" s="261"/>
      <c r="R299" s="261"/>
      <c r="S299" s="261">
        <v>2.6776</v>
      </c>
      <c r="T299" s="261"/>
      <c r="V299" s="8">
        <v>658</v>
      </c>
      <c r="W299" s="261"/>
      <c r="X299" s="261"/>
      <c r="Y299" s="261"/>
      <c r="Z299" s="261"/>
      <c r="AA299" s="261"/>
      <c r="AB299" s="261"/>
      <c r="AC299" s="261"/>
      <c r="AD299" s="261"/>
      <c r="AF299" s="8">
        <v>658</v>
      </c>
      <c r="AG299" s="261"/>
      <c r="AH299" s="261"/>
      <c r="AI299" s="261"/>
      <c r="AJ299" s="261"/>
      <c r="AK299" s="261"/>
      <c r="AL299" s="261"/>
      <c r="AM299" s="261"/>
      <c r="AO299" s="12">
        <v>658</v>
      </c>
      <c r="AP299" s="264"/>
      <c r="AQ299" s="264"/>
      <c r="AR299" s="264">
        <v>8.39166106908107</v>
      </c>
      <c r="AS299" s="264"/>
      <c r="AT299" s="264"/>
      <c r="AU299" s="264"/>
      <c r="AV299" s="264"/>
      <c r="AW299" s="264"/>
      <c r="AX299" s="264"/>
      <c r="BP299" s="272">
        <f>Inputs!B302</f>
        <v>658</v>
      </c>
      <c r="BQ299" s="272">
        <f>IF(LEFT(Inputs!$C$11,6)="photon",10^Inputs!C302,Inputs!C302)</f>
        <v>9.33661572303197</v>
      </c>
      <c r="BR299" s="272"/>
      <c r="BS299" s="272">
        <f>'Advanced Inputs'!I304</f>
        <v>658</v>
      </c>
      <c r="BT299" s="272">
        <f>IF('Advanced Inputs'!J$19="Photon system",10^'Advanced Inputs'!J304,'Advanced Inputs'!J304)</f>
        <v>0</v>
      </c>
      <c r="BV299" s="272">
        <v>658</v>
      </c>
      <c r="BW299" s="8">
        <v>170.586</v>
      </c>
      <c r="BX299" s="8">
        <v>80.177</v>
      </c>
      <c r="CC299" s="8">
        <v>1</v>
      </c>
    </row>
    <row r="300" hidden="1" spans="8:81">
      <c r="H300" s="8">
        <v>659</v>
      </c>
      <c r="I300" s="261"/>
      <c r="J300" s="261"/>
      <c r="K300" s="261"/>
      <c r="L300" s="261"/>
      <c r="M300" s="261"/>
      <c r="N300" s="261"/>
      <c r="O300" s="261"/>
      <c r="P300" s="261"/>
      <c r="Q300" s="261"/>
      <c r="R300" s="261"/>
      <c r="S300" s="261">
        <v>2.5756</v>
      </c>
      <c r="T300" s="261"/>
      <c r="V300" s="8">
        <v>659</v>
      </c>
      <c r="W300" s="261"/>
      <c r="X300" s="261"/>
      <c r="Y300" s="261"/>
      <c r="Z300" s="261"/>
      <c r="AA300" s="261"/>
      <c r="AB300" s="261"/>
      <c r="AC300" s="261"/>
      <c r="AD300" s="261"/>
      <c r="AF300" s="8">
        <v>659</v>
      </c>
      <c r="AG300" s="261"/>
      <c r="AH300" s="261"/>
      <c r="AI300" s="261"/>
      <c r="AJ300" s="261"/>
      <c r="AK300" s="261"/>
      <c r="AL300" s="261"/>
      <c r="AM300" s="261"/>
      <c r="AO300" s="12">
        <v>659</v>
      </c>
      <c r="AP300" s="264"/>
      <c r="AQ300" s="264"/>
      <c r="AR300" s="264">
        <v>8.21612738018163</v>
      </c>
      <c r="AS300" s="264"/>
      <c r="AT300" s="264"/>
      <c r="AU300" s="264"/>
      <c r="AV300" s="264"/>
      <c r="AW300" s="264"/>
      <c r="AX300" s="264"/>
      <c r="BP300" s="272">
        <f>Inputs!B303</f>
        <v>659</v>
      </c>
      <c r="BQ300" s="272">
        <f>IF(LEFT(Inputs!$C$11,6)="photon",10^Inputs!C303,Inputs!C303)</f>
        <v>9.18925548826821</v>
      </c>
      <c r="BR300" s="272"/>
      <c r="BS300" s="272">
        <f>'Advanced Inputs'!I305</f>
        <v>659</v>
      </c>
      <c r="BT300" s="272">
        <f>IF('Advanced Inputs'!J$19="Photon system",10^'Advanced Inputs'!J305,'Advanced Inputs'!J305)</f>
        <v>0</v>
      </c>
      <c r="BV300" s="272">
        <v>659</v>
      </c>
      <c r="BW300" s="8">
        <v>171.275</v>
      </c>
      <c r="BX300" s="8">
        <v>80.1958</v>
      </c>
      <c r="CC300" s="8">
        <v>1</v>
      </c>
    </row>
    <row r="301" hidden="1" spans="8:81">
      <c r="H301" s="8">
        <v>660</v>
      </c>
      <c r="I301" s="261"/>
      <c r="J301" s="261"/>
      <c r="K301" s="261"/>
      <c r="L301" s="261"/>
      <c r="M301" s="261"/>
      <c r="N301" s="261"/>
      <c r="O301" s="261"/>
      <c r="P301" s="261"/>
      <c r="Q301" s="261"/>
      <c r="R301" s="261"/>
      <c r="S301" s="261">
        <v>2.48</v>
      </c>
      <c r="T301" s="261"/>
      <c r="V301" s="8">
        <v>660</v>
      </c>
      <c r="W301" s="261"/>
      <c r="X301" s="261"/>
      <c r="Y301" s="261"/>
      <c r="Z301" s="261"/>
      <c r="AA301" s="261"/>
      <c r="AB301" s="261"/>
      <c r="AC301" s="261"/>
      <c r="AD301" s="261"/>
      <c r="AF301" s="8">
        <v>660</v>
      </c>
      <c r="AG301" s="261"/>
      <c r="AH301" s="261"/>
      <c r="AI301" s="261"/>
      <c r="AJ301" s="261"/>
      <c r="AK301" s="261"/>
      <c r="AL301" s="261"/>
      <c r="AM301" s="261"/>
      <c r="AO301" s="12">
        <v>660</v>
      </c>
      <c r="AP301" s="264"/>
      <c r="AQ301" s="264"/>
      <c r="AR301" s="264">
        <v>8.0419567483482</v>
      </c>
      <c r="AS301" s="264"/>
      <c r="AT301" s="264"/>
      <c r="AU301" s="264"/>
      <c r="AV301" s="264"/>
      <c r="AW301" s="264"/>
      <c r="AX301" s="264"/>
      <c r="BP301" s="272">
        <f>Inputs!B304</f>
        <v>660</v>
      </c>
      <c r="BQ301" s="272">
        <f>IF(LEFT(Inputs!$C$11,6)="photon",10^Inputs!C304,Inputs!C304)</f>
        <v>9.06646280868406</v>
      </c>
      <c r="BR301" s="272"/>
      <c r="BS301" s="272">
        <f>'Advanced Inputs'!I306</f>
        <v>660</v>
      </c>
      <c r="BT301" s="272">
        <f>IF('Advanced Inputs'!J$19="Photon system",10^'Advanced Inputs'!J306,'Advanced Inputs'!J306)</f>
        <v>0</v>
      </c>
      <c r="BV301" s="272">
        <v>660</v>
      </c>
      <c r="BW301" s="8">
        <v>171.963</v>
      </c>
      <c r="BX301" s="8">
        <v>80.2146</v>
      </c>
      <c r="CC301" s="8">
        <v>1</v>
      </c>
    </row>
    <row r="302" hidden="1" spans="8:81">
      <c r="H302" s="8">
        <v>661</v>
      </c>
      <c r="I302" s="261"/>
      <c r="J302" s="261"/>
      <c r="K302" s="261"/>
      <c r="L302" s="261"/>
      <c r="M302" s="261"/>
      <c r="N302" s="261"/>
      <c r="O302" s="261"/>
      <c r="P302" s="261"/>
      <c r="Q302" s="261"/>
      <c r="R302" s="261"/>
      <c r="S302" s="261">
        <v>2.4112</v>
      </c>
      <c r="T302" s="261"/>
      <c r="V302" s="8">
        <v>661</v>
      </c>
      <c r="W302" s="261"/>
      <c r="X302" s="261"/>
      <c r="Y302" s="261"/>
      <c r="Z302" s="261"/>
      <c r="AA302" s="261"/>
      <c r="AB302" s="261"/>
      <c r="AC302" s="261"/>
      <c r="AD302" s="261"/>
      <c r="AF302" s="8">
        <v>661</v>
      </c>
      <c r="AG302" s="261"/>
      <c r="AH302" s="261"/>
      <c r="AI302" s="261"/>
      <c r="AJ302" s="261"/>
      <c r="AK302" s="261"/>
      <c r="AL302" s="261"/>
      <c r="AM302" s="261"/>
      <c r="AO302" s="12">
        <v>661</v>
      </c>
      <c r="AP302" s="264"/>
      <c r="AQ302" s="264"/>
      <c r="AR302" s="264">
        <v>7.86939796956177</v>
      </c>
      <c r="AS302" s="264"/>
      <c r="AT302" s="264"/>
      <c r="AU302" s="264"/>
      <c r="AV302" s="264"/>
      <c r="AW302" s="264"/>
      <c r="AX302" s="264"/>
      <c r="BP302" s="272">
        <f>Inputs!B305</f>
        <v>661</v>
      </c>
      <c r="BQ302" s="272">
        <f>IF(LEFT(Inputs!$C$11,6)="photon",10^Inputs!C305,Inputs!C305)</f>
        <v>8.92174159486832</v>
      </c>
      <c r="BR302" s="272"/>
      <c r="BS302" s="272">
        <f>'Advanced Inputs'!I307</f>
        <v>661</v>
      </c>
      <c r="BT302" s="272">
        <f>IF('Advanced Inputs'!J$19="Photon system",10^'Advanced Inputs'!J307,'Advanced Inputs'!J307)</f>
        <v>0</v>
      </c>
      <c r="BV302" s="272">
        <v>661</v>
      </c>
      <c r="BW302" s="8">
        <v>172.65</v>
      </c>
      <c r="BX302" s="8">
        <v>80.4209</v>
      </c>
      <c r="CC302" s="8">
        <v>1</v>
      </c>
    </row>
    <row r="303" hidden="1" spans="8:81">
      <c r="H303" s="8">
        <v>662</v>
      </c>
      <c r="I303" s="261"/>
      <c r="J303" s="261"/>
      <c r="K303" s="261"/>
      <c r="L303" s="261"/>
      <c r="M303" s="261"/>
      <c r="N303" s="261"/>
      <c r="O303" s="261"/>
      <c r="P303" s="261"/>
      <c r="Q303" s="261"/>
      <c r="R303" s="261"/>
      <c r="S303" s="261">
        <v>2.3464</v>
      </c>
      <c r="T303" s="261"/>
      <c r="V303" s="8">
        <v>662</v>
      </c>
      <c r="W303" s="261"/>
      <c r="X303" s="261"/>
      <c r="Y303" s="261"/>
      <c r="Z303" s="261"/>
      <c r="AA303" s="261"/>
      <c r="AB303" s="261"/>
      <c r="AC303" s="261"/>
      <c r="AD303" s="261"/>
      <c r="AF303" s="8">
        <v>662</v>
      </c>
      <c r="AG303" s="261"/>
      <c r="AH303" s="261"/>
      <c r="AI303" s="261"/>
      <c r="AJ303" s="261"/>
      <c r="AK303" s="261"/>
      <c r="AL303" s="261"/>
      <c r="AM303" s="261"/>
      <c r="AO303" s="12">
        <v>662</v>
      </c>
      <c r="AP303" s="264"/>
      <c r="AQ303" s="264"/>
      <c r="AR303" s="264">
        <v>7.69908424876136</v>
      </c>
      <c r="AS303" s="264"/>
      <c r="AT303" s="264"/>
      <c r="AU303" s="264"/>
      <c r="AV303" s="264"/>
      <c r="AW303" s="264"/>
      <c r="AX303" s="264"/>
      <c r="BP303" s="272">
        <f>Inputs!B306</f>
        <v>662</v>
      </c>
      <c r="BQ303" s="272">
        <f>IF(LEFT(Inputs!$C$11,6)="photon",10^Inputs!C306,Inputs!C306)</f>
        <v>8.78907077897767</v>
      </c>
      <c r="BR303" s="272"/>
      <c r="BS303" s="272">
        <f>'Advanced Inputs'!I308</f>
        <v>662</v>
      </c>
      <c r="BT303" s="272">
        <f>IF('Advanced Inputs'!J$19="Photon system",10^'Advanced Inputs'!J308,'Advanced Inputs'!J308)</f>
        <v>0</v>
      </c>
      <c r="BV303" s="272">
        <v>662</v>
      </c>
      <c r="BW303" s="8">
        <v>173.335</v>
      </c>
      <c r="BX303" s="8">
        <v>80.6272</v>
      </c>
      <c r="CC303" s="8">
        <v>1</v>
      </c>
    </row>
    <row r="304" hidden="1" spans="8:81">
      <c r="H304" s="8">
        <v>663</v>
      </c>
      <c r="I304" s="261"/>
      <c r="J304" s="261"/>
      <c r="K304" s="261"/>
      <c r="L304" s="261"/>
      <c r="M304" s="261"/>
      <c r="N304" s="261"/>
      <c r="O304" s="261"/>
      <c r="P304" s="261"/>
      <c r="Q304" s="261"/>
      <c r="R304" s="261"/>
      <c r="S304" s="261">
        <v>2.282</v>
      </c>
      <c r="T304" s="261"/>
      <c r="V304" s="8">
        <v>663</v>
      </c>
      <c r="W304" s="261"/>
      <c r="X304" s="261"/>
      <c r="Y304" s="261"/>
      <c r="Z304" s="261"/>
      <c r="AA304" s="261"/>
      <c r="AB304" s="261"/>
      <c r="AC304" s="261"/>
      <c r="AD304" s="261"/>
      <c r="AF304" s="8">
        <v>663</v>
      </c>
      <c r="AG304" s="261"/>
      <c r="AH304" s="261"/>
      <c r="AI304" s="261"/>
      <c r="AJ304" s="261"/>
      <c r="AK304" s="261"/>
      <c r="AL304" s="261"/>
      <c r="AM304" s="261"/>
      <c r="AO304" s="12">
        <v>663</v>
      </c>
      <c r="AP304" s="264"/>
      <c r="AQ304" s="264"/>
      <c r="AR304" s="264">
        <v>7.53098542052731</v>
      </c>
      <c r="AS304" s="264"/>
      <c r="AT304" s="264"/>
      <c r="AU304" s="264"/>
      <c r="AV304" s="264"/>
      <c r="AW304" s="264"/>
      <c r="AX304" s="264"/>
      <c r="BP304" s="272">
        <f>Inputs!B307</f>
        <v>663</v>
      </c>
      <c r="BQ304" s="272">
        <f>IF(LEFT(Inputs!$C$11,6)="photon",10^Inputs!C307,Inputs!C307)</f>
        <v>8.65967164920324</v>
      </c>
      <c r="BR304" s="272"/>
      <c r="BS304" s="272">
        <f>'Advanced Inputs'!I309</f>
        <v>663</v>
      </c>
      <c r="BT304" s="272">
        <f>IF('Advanced Inputs'!J$19="Photon system",10^'Advanced Inputs'!J309,'Advanced Inputs'!J309)</f>
        <v>0</v>
      </c>
      <c r="BV304" s="272">
        <v>663</v>
      </c>
      <c r="BW304" s="8">
        <v>174.019</v>
      </c>
      <c r="BX304" s="8">
        <v>80.8336</v>
      </c>
      <c r="CC304" s="8">
        <v>1</v>
      </c>
    </row>
    <row r="305" hidden="1" spans="8:81">
      <c r="H305" s="8">
        <v>664</v>
      </c>
      <c r="I305" s="261"/>
      <c r="J305" s="261"/>
      <c r="K305" s="261"/>
      <c r="L305" s="261"/>
      <c r="M305" s="261"/>
      <c r="N305" s="261"/>
      <c r="O305" s="261"/>
      <c r="P305" s="261"/>
      <c r="Q305" s="261"/>
      <c r="R305" s="261"/>
      <c r="S305" s="261">
        <v>2.2144</v>
      </c>
      <c r="T305" s="261"/>
      <c r="V305" s="8">
        <v>664</v>
      </c>
      <c r="W305" s="261"/>
      <c r="X305" s="261"/>
      <c r="Y305" s="261"/>
      <c r="Z305" s="261"/>
      <c r="AA305" s="261"/>
      <c r="AB305" s="261"/>
      <c r="AC305" s="261"/>
      <c r="AD305" s="261"/>
      <c r="AF305" s="8">
        <v>664</v>
      </c>
      <c r="AG305" s="261"/>
      <c r="AH305" s="261"/>
      <c r="AI305" s="261"/>
      <c r="AJ305" s="261"/>
      <c r="AK305" s="261"/>
      <c r="AL305" s="261"/>
      <c r="AM305" s="261"/>
      <c r="AO305" s="12">
        <v>664</v>
      </c>
      <c r="AP305" s="264"/>
      <c r="AQ305" s="264"/>
      <c r="AR305" s="264">
        <v>7.36522182792979</v>
      </c>
      <c r="AS305" s="264"/>
      <c r="AT305" s="264"/>
      <c r="AU305" s="264"/>
      <c r="AV305" s="264"/>
      <c r="AW305" s="264"/>
      <c r="AX305" s="264"/>
      <c r="BP305" s="272">
        <f>Inputs!B308</f>
        <v>664</v>
      </c>
      <c r="BQ305" s="272">
        <f>IF(LEFT(Inputs!$C$11,6)="photon",10^Inputs!C308,Inputs!C308)</f>
        <v>8.50394272941239</v>
      </c>
      <c r="BR305" s="272"/>
      <c r="BS305" s="272">
        <f>'Advanced Inputs'!I310</f>
        <v>664</v>
      </c>
      <c r="BT305" s="272">
        <f>IF('Advanced Inputs'!J$19="Photon system",10^'Advanced Inputs'!J310,'Advanced Inputs'!J310)</f>
        <v>0</v>
      </c>
      <c r="BV305" s="272">
        <v>664</v>
      </c>
      <c r="BW305" s="8">
        <v>174.702</v>
      </c>
      <c r="BX305" s="8">
        <v>81.0399</v>
      </c>
      <c r="CC305" s="8">
        <v>1</v>
      </c>
    </row>
    <row r="306" hidden="1" spans="8:81">
      <c r="H306" s="8">
        <v>665</v>
      </c>
      <c r="I306" s="261"/>
      <c r="J306" s="261"/>
      <c r="K306" s="261"/>
      <c r="L306" s="261"/>
      <c r="M306" s="261"/>
      <c r="N306" s="261"/>
      <c r="O306" s="261"/>
      <c r="P306" s="261"/>
      <c r="Q306" s="261"/>
      <c r="R306" s="261"/>
      <c r="S306" s="261">
        <v>2.14</v>
      </c>
      <c r="T306" s="261"/>
      <c r="V306" s="8">
        <v>665</v>
      </c>
      <c r="W306" s="261"/>
      <c r="X306" s="261"/>
      <c r="Y306" s="261"/>
      <c r="Z306" s="261"/>
      <c r="AA306" s="261"/>
      <c r="AB306" s="261"/>
      <c r="AC306" s="261"/>
      <c r="AD306" s="261"/>
      <c r="AF306" s="8">
        <v>665</v>
      </c>
      <c r="AG306" s="261"/>
      <c r="AH306" s="261"/>
      <c r="AI306" s="261"/>
      <c r="AJ306" s="261"/>
      <c r="AK306" s="261"/>
      <c r="AL306" s="261"/>
      <c r="AM306" s="261"/>
      <c r="AO306" s="12">
        <v>665</v>
      </c>
      <c r="AP306" s="264"/>
      <c r="AQ306" s="264"/>
      <c r="AR306" s="264">
        <v>7.2009102277964</v>
      </c>
      <c r="AS306" s="264"/>
      <c r="AT306" s="264"/>
      <c r="AU306" s="264"/>
      <c r="AV306" s="264"/>
      <c r="AW306" s="264"/>
      <c r="AX306" s="264"/>
      <c r="BP306" s="272">
        <f>Inputs!B309</f>
        <v>665</v>
      </c>
      <c r="BQ306" s="272">
        <f>IF(LEFT(Inputs!$C$11,6)="photon",10^Inputs!C309,Inputs!C309)</f>
        <v>8.3482965478233</v>
      </c>
      <c r="BR306" s="272"/>
      <c r="BS306" s="272">
        <f>'Advanced Inputs'!I311</f>
        <v>665</v>
      </c>
      <c r="BT306" s="272">
        <f>IF('Advanced Inputs'!J$19="Photon system",10^'Advanced Inputs'!J311,'Advanced Inputs'!J311)</f>
        <v>0</v>
      </c>
      <c r="BV306" s="272">
        <v>665</v>
      </c>
      <c r="BW306" s="8">
        <v>175.383</v>
      </c>
      <c r="BX306" s="8">
        <v>81.2462</v>
      </c>
      <c r="CC306" s="8">
        <v>1</v>
      </c>
    </row>
    <row r="307" hidden="1" spans="8:81">
      <c r="H307" s="8">
        <v>666</v>
      </c>
      <c r="I307" s="261"/>
      <c r="J307" s="261"/>
      <c r="K307" s="261"/>
      <c r="L307" s="261"/>
      <c r="M307" s="261"/>
      <c r="N307" s="261"/>
      <c r="O307" s="261"/>
      <c r="P307" s="261"/>
      <c r="Q307" s="261"/>
      <c r="R307" s="261"/>
      <c r="S307" s="261">
        <v>2.02</v>
      </c>
      <c r="T307" s="261"/>
      <c r="V307" s="8">
        <v>666</v>
      </c>
      <c r="W307" s="261"/>
      <c r="X307" s="261"/>
      <c r="Y307" s="261"/>
      <c r="Z307" s="261"/>
      <c r="AA307" s="261"/>
      <c r="AB307" s="261"/>
      <c r="AC307" s="261"/>
      <c r="AD307" s="261"/>
      <c r="AF307" s="8">
        <v>666</v>
      </c>
      <c r="AG307" s="261"/>
      <c r="AH307" s="261"/>
      <c r="AI307" s="261"/>
      <c r="AJ307" s="261"/>
      <c r="AK307" s="261"/>
      <c r="AL307" s="261"/>
      <c r="AM307" s="261"/>
      <c r="AO307" s="12">
        <v>666</v>
      </c>
      <c r="AP307" s="264"/>
      <c r="AQ307" s="264"/>
      <c r="AR307" s="264">
        <v>7.03888615458905</v>
      </c>
      <c r="AS307" s="264"/>
      <c r="AT307" s="264"/>
      <c r="AU307" s="264"/>
      <c r="AV307" s="264"/>
      <c r="AW307" s="264"/>
      <c r="AX307" s="264"/>
      <c r="BP307" s="272">
        <f>Inputs!B310</f>
        <v>666</v>
      </c>
      <c r="BQ307" s="272">
        <f>IF(LEFT(Inputs!$C$11,6)="photon",10^Inputs!C310,Inputs!C310)</f>
        <v>8.19918217474644</v>
      </c>
      <c r="BR307" s="272"/>
      <c r="BS307" s="272">
        <f>'Advanced Inputs'!I312</f>
        <v>666</v>
      </c>
      <c r="BT307" s="272">
        <f>IF('Advanced Inputs'!J$19="Photon system",10^'Advanced Inputs'!J312,'Advanced Inputs'!J312)</f>
        <v>0</v>
      </c>
      <c r="BV307" s="272">
        <v>666</v>
      </c>
      <c r="BW307" s="8">
        <v>176.063</v>
      </c>
      <c r="BX307" s="8">
        <v>81.4525</v>
      </c>
      <c r="CC307" s="8">
        <v>1</v>
      </c>
    </row>
    <row r="308" hidden="1" spans="8:81">
      <c r="H308" s="8">
        <v>667</v>
      </c>
      <c r="I308" s="261"/>
      <c r="J308" s="261"/>
      <c r="K308" s="261"/>
      <c r="L308" s="261"/>
      <c r="M308" s="261"/>
      <c r="N308" s="261"/>
      <c r="O308" s="261"/>
      <c r="P308" s="261"/>
      <c r="Q308" s="261"/>
      <c r="R308" s="261"/>
      <c r="S308" s="261">
        <v>1.8948</v>
      </c>
      <c r="T308" s="261"/>
      <c r="V308" s="8">
        <v>667</v>
      </c>
      <c r="W308" s="261"/>
      <c r="X308" s="261"/>
      <c r="Y308" s="261"/>
      <c r="Z308" s="261"/>
      <c r="AA308" s="261"/>
      <c r="AB308" s="261"/>
      <c r="AC308" s="261"/>
      <c r="AD308" s="261"/>
      <c r="AF308" s="8">
        <v>667</v>
      </c>
      <c r="AG308" s="261"/>
      <c r="AH308" s="261"/>
      <c r="AI308" s="261"/>
      <c r="AJ308" s="261"/>
      <c r="AK308" s="261"/>
      <c r="AL308" s="261"/>
      <c r="AM308" s="261"/>
      <c r="AO308" s="12">
        <v>667</v>
      </c>
      <c r="AP308" s="264"/>
      <c r="AQ308" s="264"/>
      <c r="AR308" s="264">
        <v>6.87929364058769</v>
      </c>
      <c r="AS308" s="264"/>
      <c r="AT308" s="264"/>
      <c r="AU308" s="264"/>
      <c r="AV308" s="264"/>
      <c r="AW308" s="264"/>
      <c r="AX308" s="264"/>
      <c r="BP308" s="272">
        <f>Inputs!B311</f>
        <v>667</v>
      </c>
      <c r="BQ308" s="272">
        <f>IF(LEFT(Inputs!$C$11,6)="photon",10^Inputs!C311,Inputs!C311)</f>
        <v>8.06240564765378</v>
      </c>
      <c r="BR308" s="272"/>
      <c r="BS308" s="272">
        <f>'Advanced Inputs'!I313</f>
        <v>667</v>
      </c>
      <c r="BT308" s="272">
        <f>IF('Advanced Inputs'!J$19="Photon system",10^'Advanced Inputs'!J313,'Advanced Inputs'!J313)</f>
        <v>0</v>
      </c>
      <c r="BV308" s="272">
        <v>667</v>
      </c>
      <c r="BW308" s="8">
        <v>176.741</v>
      </c>
      <c r="BX308" s="8">
        <v>81.6588</v>
      </c>
      <c r="CC308" s="8">
        <v>1</v>
      </c>
    </row>
    <row r="309" hidden="1" spans="8:81">
      <c r="H309" s="8">
        <v>668</v>
      </c>
      <c r="I309" s="261"/>
      <c r="J309" s="261"/>
      <c r="K309" s="261"/>
      <c r="L309" s="261"/>
      <c r="M309" s="261"/>
      <c r="N309" s="261"/>
      <c r="O309" s="261"/>
      <c r="P309" s="261"/>
      <c r="Q309" s="261"/>
      <c r="R309" s="261"/>
      <c r="S309" s="261">
        <v>1.7696</v>
      </c>
      <c r="T309" s="261"/>
      <c r="V309" s="8">
        <v>668</v>
      </c>
      <c r="W309" s="261"/>
      <c r="X309" s="261"/>
      <c r="Y309" s="261"/>
      <c r="Z309" s="261"/>
      <c r="AA309" s="261"/>
      <c r="AB309" s="261"/>
      <c r="AC309" s="261"/>
      <c r="AD309" s="261"/>
      <c r="AF309" s="8">
        <v>668</v>
      </c>
      <c r="AG309" s="261"/>
      <c r="AH309" s="261"/>
      <c r="AI309" s="261"/>
      <c r="AJ309" s="261"/>
      <c r="AK309" s="261"/>
      <c r="AL309" s="261"/>
      <c r="AM309" s="261"/>
      <c r="AO309" s="12">
        <v>668</v>
      </c>
      <c r="AP309" s="264"/>
      <c r="AQ309" s="264"/>
      <c r="AR309" s="264">
        <v>6.72255236103085</v>
      </c>
      <c r="AS309" s="264"/>
      <c r="AT309" s="264"/>
      <c r="AU309" s="264"/>
      <c r="AV309" s="264"/>
      <c r="AW309" s="264"/>
      <c r="AX309" s="264"/>
      <c r="BP309" s="272">
        <f>Inputs!B312</f>
        <v>668</v>
      </c>
      <c r="BQ309" s="272">
        <f>IF(LEFT(Inputs!$C$11,6)="photon",10^Inputs!C312,Inputs!C312)</f>
        <v>7.92506139822756</v>
      </c>
      <c r="BR309" s="272"/>
      <c r="BS309" s="272">
        <f>'Advanced Inputs'!I314</f>
        <v>668</v>
      </c>
      <c r="BT309" s="272">
        <f>IF('Advanced Inputs'!J$19="Photon system",10^'Advanced Inputs'!J314,'Advanced Inputs'!J314)</f>
        <v>0</v>
      </c>
      <c r="BV309" s="272">
        <v>668</v>
      </c>
      <c r="BW309" s="8">
        <v>177.419</v>
      </c>
      <c r="BX309" s="8">
        <v>81.8652</v>
      </c>
      <c r="CC309" s="8">
        <v>1</v>
      </c>
    </row>
    <row r="310" hidden="1" spans="8:81">
      <c r="H310" s="8">
        <v>669</v>
      </c>
      <c r="I310" s="261"/>
      <c r="J310" s="261"/>
      <c r="K310" s="261"/>
      <c r="L310" s="261"/>
      <c r="M310" s="261"/>
      <c r="N310" s="261"/>
      <c r="O310" s="261"/>
      <c r="P310" s="261"/>
      <c r="Q310" s="261"/>
      <c r="R310" s="261"/>
      <c r="S310" s="261">
        <v>1.6496</v>
      </c>
      <c r="T310" s="261"/>
      <c r="V310" s="8">
        <v>669</v>
      </c>
      <c r="W310" s="261"/>
      <c r="X310" s="261"/>
      <c r="Y310" s="261"/>
      <c r="Z310" s="261"/>
      <c r="AA310" s="261"/>
      <c r="AB310" s="261"/>
      <c r="AC310" s="261"/>
      <c r="AD310" s="261"/>
      <c r="AF310" s="8">
        <v>669</v>
      </c>
      <c r="AG310" s="261"/>
      <c r="AH310" s="261"/>
      <c r="AI310" s="261"/>
      <c r="AJ310" s="261"/>
      <c r="AK310" s="261"/>
      <c r="AL310" s="261"/>
      <c r="AM310" s="261"/>
      <c r="AO310" s="12">
        <v>669</v>
      </c>
      <c r="AP310" s="264"/>
      <c r="AQ310" s="264"/>
      <c r="AR310" s="264">
        <v>6.56822931799465</v>
      </c>
      <c r="AS310" s="264"/>
      <c r="AT310" s="264"/>
      <c r="AU310" s="264"/>
      <c r="AV310" s="264"/>
      <c r="AW310" s="264"/>
      <c r="AX310" s="264"/>
      <c r="BP310" s="272">
        <f>Inputs!B313</f>
        <v>669</v>
      </c>
      <c r="BQ310" s="272">
        <f>IF(LEFT(Inputs!$C$11,6)="photon",10^Inputs!C313,Inputs!C313)</f>
        <v>7.79975939332108</v>
      </c>
      <c r="BR310" s="272"/>
      <c r="BS310" s="272">
        <f>'Advanced Inputs'!I315</f>
        <v>669</v>
      </c>
      <c r="BT310" s="272">
        <f>IF('Advanced Inputs'!J$19="Photon system",10^'Advanced Inputs'!J315,'Advanced Inputs'!J315)</f>
        <v>0</v>
      </c>
      <c r="BV310" s="272">
        <v>669</v>
      </c>
      <c r="BW310" s="8">
        <v>178.094</v>
      </c>
      <c r="BX310" s="8">
        <v>82.0715</v>
      </c>
      <c r="CC310" s="8">
        <v>1</v>
      </c>
    </row>
    <row r="311" hidden="1" spans="8:81">
      <c r="H311" s="8">
        <v>670</v>
      </c>
      <c r="I311" s="261"/>
      <c r="J311" s="261"/>
      <c r="K311" s="261"/>
      <c r="L311" s="261"/>
      <c r="M311" s="261"/>
      <c r="N311" s="261"/>
      <c r="O311" s="261"/>
      <c r="P311" s="261"/>
      <c r="Q311" s="261"/>
      <c r="R311" s="261"/>
      <c r="S311" s="261">
        <v>1.54</v>
      </c>
      <c r="T311" s="261"/>
      <c r="V311" s="8">
        <v>670</v>
      </c>
      <c r="W311" s="261"/>
      <c r="X311" s="261"/>
      <c r="Y311" s="261"/>
      <c r="Z311" s="261"/>
      <c r="AA311" s="261"/>
      <c r="AB311" s="261"/>
      <c r="AC311" s="261"/>
      <c r="AD311" s="261"/>
      <c r="AF311" s="8">
        <v>670</v>
      </c>
      <c r="AG311" s="261"/>
      <c r="AH311" s="261"/>
      <c r="AI311" s="261"/>
      <c r="AJ311" s="261"/>
      <c r="AK311" s="261"/>
      <c r="AL311" s="261"/>
      <c r="AM311" s="261"/>
      <c r="AO311" s="12">
        <v>670</v>
      </c>
      <c r="AP311" s="264"/>
      <c r="AQ311" s="264"/>
      <c r="AR311" s="264">
        <v>6.41602830025987</v>
      </c>
      <c r="AS311" s="264"/>
      <c r="AT311" s="264"/>
      <c r="AU311" s="264"/>
      <c r="AV311" s="264"/>
      <c r="AW311" s="264"/>
      <c r="AX311" s="264"/>
      <c r="BP311" s="272">
        <f>Inputs!B314</f>
        <v>670</v>
      </c>
      <c r="BQ311" s="272">
        <f>IF(LEFT(Inputs!$C$11,6)="photon",10^Inputs!C314,Inputs!C314)</f>
        <v>7.68334423701224</v>
      </c>
      <c r="BR311" s="272"/>
      <c r="BS311" s="272">
        <f>'Advanced Inputs'!I316</f>
        <v>670</v>
      </c>
      <c r="BT311" s="272">
        <f>IF('Advanced Inputs'!J$19="Photon system",10^'Advanced Inputs'!J316,'Advanced Inputs'!J316)</f>
        <v>0</v>
      </c>
      <c r="BV311" s="272">
        <v>670</v>
      </c>
      <c r="BW311" s="8">
        <v>178.769</v>
      </c>
      <c r="BX311" s="8">
        <v>82.2778</v>
      </c>
      <c r="CC311" s="8">
        <v>1</v>
      </c>
    </row>
    <row r="312" hidden="1" spans="8:81">
      <c r="H312" s="8">
        <v>671</v>
      </c>
      <c r="I312" s="261"/>
      <c r="J312" s="261"/>
      <c r="K312" s="261"/>
      <c r="L312" s="261"/>
      <c r="M312" s="261"/>
      <c r="N312" s="261"/>
      <c r="O312" s="261"/>
      <c r="P312" s="261"/>
      <c r="Q312" s="261"/>
      <c r="R312" s="261"/>
      <c r="S312" s="261">
        <v>1.4684</v>
      </c>
      <c r="T312" s="261"/>
      <c r="V312" s="8">
        <v>671</v>
      </c>
      <c r="W312" s="261"/>
      <c r="X312" s="261"/>
      <c r="Y312" s="261"/>
      <c r="Z312" s="261"/>
      <c r="AA312" s="261"/>
      <c r="AB312" s="261"/>
      <c r="AC312" s="261"/>
      <c r="AD312" s="261"/>
      <c r="AF312" s="8">
        <v>671</v>
      </c>
      <c r="AG312" s="261"/>
      <c r="AH312" s="261"/>
      <c r="AI312" s="261"/>
      <c r="AJ312" s="261"/>
      <c r="AK312" s="261"/>
      <c r="AL312" s="261"/>
      <c r="AM312" s="261"/>
      <c r="AO312" s="12">
        <v>671</v>
      </c>
      <c r="AP312" s="264"/>
      <c r="AQ312" s="264"/>
      <c r="AR312" s="264">
        <v>6.2656879917276</v>
      </c>
      <c r="AS312" s="264"/>
      <c r="AT312" s="264"/>
      <c r="AU312" s="264"/>
      <c r="AV312" s="264"/>
      <c r="AW312" s="264"/>
      <c r="AX312" s="264"/>
      <c r="BP312" s="272">
        <f>Inputs!B315</f>
        <v>671</v>
      </c>
      <c r="BQ312" s="272">
        <f>IF(LEFT(Inputs!$C$11,6)="photon",10^Inputs!C315,Inputs!C315)</f>
        <v>7.55335347138018</v>
      </c>
      <c r="BR312" s="272"/>
      <c r="BS312" s="272">
        <f>'Advanced Inputs'!I317</f>
        <v>671</v>
      </c>
      <c r="BT312" s="272">
        <f>IF('Advanced Inputs'!J$19="Photon system",10^'Advanced Inputs'!J317,'Advanced Inputs'!J317)</f>
        <v>0</v>
      </c>
      <c r="BV312" s="272">
        <v>671</v>
      </c>
      <c r="BW312" s="8">
        <v>179.441</v>
      </c>
      <c r="BX312" s="8">
        <v>81.8784</v>
      </c>
      <c r="CC312" s="8">
        <v>1</v>
      </c>
    </row>
    <row r="313" hidden="1" spans="8:81">
      <c r="H313" s="8">
        <v>672</v>
      </c>
      <c r="I313" s="261"/>
      <c r="J313" s="261"/>
      <c r="K313" s="261"/>
      <c r="L313" s="261"/>
      <c r="M313" s="261"/>
      <c r="N313" s="261"/>
      <c r="O313" s="261"/>
      <c r="P313" s="261"/>
      <c r="Q313" s="261"/>
      <c r="R313" s="261"/>
      <c r="S313" s="261">
        <v>1.412</v>
      </c>
      <c r="T313" s="261"/>
      <c r="V313" s="8">
        <v>672</v>
      </c>
      <c r="W313" s="261"/>
      <c r="X313" s="261"/>
      <c r="Y313" s="261"/>
      <c r="Z313" s="261"/>
      <c r="AA313" s="261"/>
      <c r="AB313" s="261"/>
      <c r="AC313" s="261"/>
      <c r="AD313" s="261"/>
      <c r="AF313" s="8">
        <v>672</v>
      </c>
      <c r="AG313" s="261"/>
      <c r="AH313" s="261"/>
      <c r="AI313" s="261"/>
      <c r="AJ313" s="261"/>
      <c r="AK313" s="261"/>
      <c r="AL313" s="261"/>
      <c r="AM313" s="261"/>
      <c r="AO313" s="12">
        <v>672</v>
      </c>
      <c r="AP313" s="264"/>
      <c r="AQ313" s="264"/>
      <c r="AR313" s="264">
        <v>6.11880195220867</v>
      </c>
      <c r="AS313" s="264"/>
      <c r="AT313" s="264"/>
      <c r="AU313" s="264"/>
      <c r="AV313" s="264"/>
      <c r="AW313" s="264"/>
      <c r="AX313" s="264"/>
      <c r="BP313" s="272">
        <f>Inputs!B316</f>
        <v>672</v>
      </c>
      <c r="BQ313" s="272">
        <f>IF(LEFT(Inputs!$C$11,6)="photon",10^Inputs!C316,Inputs!C316)</f>
        <v>7.42715255543491</v>
      </c>
      <c r="BR313" s="272"/>
      <c r="BS313" s="272">
        <f>'Advanced Inputs'!I318</f>
        <v>672</v>
      </c>
      <c r="BT313" s="272">
        <f>IF('Advanced Inputs'!J$19="Photon system",10^'Advanced Inputs'!J318,'Advanced Inputs'!J318)</f>
        <v>0</v>
      </c>
      <c r="BV313" s="272">
        <v>672</v>
      </c>
      <c r="BW313" s="8">
        <v>180.113</v>
      </c>
      <c r="BX313" s="8">
        <v>81.4791</v>
      </c>
      <c r="CC313" s="8">
        <v>1</v>
      </c>
    </row>
    <row r="314" hidden="1" spans="8:81">
      <c r="H314" s="8">
        <v>673</v>
      </c>
      <c r="I314" s="261"/>
      <c r="J314" s="261"/>
      <c r="K314" s="261"/>
      <c r="L314" s="261"/>
      <c r="M314" s="261"/>
      <c r="N314" s="261"/>
      <c r="O314" s="261"/>
      <c r="P314" s="261"/>
      <c r="Q314" s="261"/>
      <c r="R314" s="261"/>
      <c r="S314" s="261">
        <v>1.3704</v>
      </c>
      <c r="T314" s="261"/>
      <c r="V314" s="8">
        <v>673</v>
      </c>
      <c r="W314" s="261"/>
      <c r="X314" s="261"/>
      <c r="Y314" s="261"/>
      <c r="Z314" s="261"/>
      <c r="AA314" s="261"/>
      <c r="AB314" s="261"/>
      <c r="AC314" s="261"/>
      <c r="AD314" s="261"/>
      <c r="AF314" s="8">
        <v>673</v>
      </c>
      <c r="AG314" s="261"/>
      <c r="AH314" s="261"/>
      <c r="AI314" s="261"/>
      <c r="AJ314" s="261"/>
      <c r="AK314" s="261"/>
      <c r="AL314" s="261"/>
      <c r="AM314" s="261"/>
      <c r="AO314" s="12">
        <v>673</v>
      </c>
      <c r="AP314" s="264"/>
      <c r="AQ314" s="264"/>
      <c r="AR314" s="264">
        <v>5.9743838011476</v>
      </c>
      <c r="AS314" s="264"/>
      <c r="AT314" s="264"/>
      <c r="AU314" s="264"/>
      <c r="AV314" s="264"/>
      <c r="AW314" s="264"/>
      <c r="AX314" s="264"/>
      <c r="BP314" s="272">
        <f>Inputs!B317</f>
        <v>673</v>
      </c>
      <c r="BQ314" s="272">
        <f>IF(LEFT(Inputs!$C$11,6)="photon",10^Inputs!C317,Inputs!C317)</f>
        <v>7.28509384316255</v>
      </c>
      <c r="BR314" s="272"/>
      <c r="BS314" s="272">
        <f>'Advanced Inputs'!I319</f>
        <v>673</v>
      </c>
      <c r="BT314" s="272">
        <f>IF('Advanced Inputs'!J$19="Photon system",10^'Advanced Inputs'!J319,'Advanced Inputs'!J319)</f>
        <v>0</v>
      </c>
      <c r="BV314" s="272">
        <v>673</v>
      </c>
      <c r="BW314" s="8">
        <v>180.783</v>
      </c>
      <c r="BX314" s="8">
        <v>81.0797</v>
      </c>
      <c r="CC314" s="8">
        <v>1</v>
      </c>
    </row>
    <row r="315" hidden="1" spans="8:81">
      <c r="H315" s="8">
        <v>674</v>
      </c>
      <c r="I315" s="261"/>
      <c r="J315" s="261"/>
      <c r="K315" s="261"/>
      <c r="L315" s="261"/>
      <c r="M315" s="261"/>
      <c r="N315" s="261"/>
      <c r="O315" s="261"/>
      <c r="P315" s="261"/>
      <c r="Q315" s="261"/>
      <c r="R315" s="261"/>
      <c r="S315" s="261">
        <v>1.3432</v>
      </c>
      <c r="T315" s="261"/>
      <c r="V315" s="8">
        <v>674</v>
      </c>
      <c r="W315" s="261"/>
      <c r="X315" s="261"/>
      <c r="Y315" s="261"/>
      <c r="Z315" s="261"/>
      <c r="AA315" s="261"/>
      <c r="AB315" s="261"/>
      <c r="AC315" s="261"/>
      <c r="AD315" s="261"/>
      <c r="AF315" s="8">
        <v>674</v>
      </c>
      <c r="AG315" s="261"/>
      <c r="AH315" s="261"/>
      <c r="AI315" s="261"/>
      <c r="AJ315" s="261"/>
      <c r="AK315" s="261"/>
      <c r="AL315" s="261"/>
      <c r="AM315" s="261"/>
      <c r="AO315" s="12">
        <v>674</v>
      </c>
      <c r="AP315" s="264"/>
      <c r="AQ315" s="264"/>
      <c r="AR315" s="264">
        <v>5.83241887328854</v>
      </c>
      <c r="AS315" s="264"/>
      <c r="AT315" s="264"/>
      <c r="AU315" s="264"/>
      <c r="AV315" s="264"/>
      <c r="AW315" s="264"/>
      <c r="AX315" s="264"/>
      <c r="BP315" s="272">
        <f>Inputs!B318</f>
        <v>674</v>
      </c>
      <c r="BQ315" s="272">
        <f>IF(LEFT(Inputs!$C$11,6)="photon",10^Inputs!C318,Inputs!C318)</f>
        <v>7.17064636801013</v>
      </c>
      <c r="BR315" s="272"/>
      <c r="BS315" s="272">
        <f>'Advanced Inputs'!I320</f>
        <v>674</v>
      </c>
      <c r="BT315" s="272">
        <f>IF('Advanced Inputs'!J$19="Photon system",10^'Advanced Inputs'!J320,'Advanced Inputs'!J320)</f>
        <v>0</v>
      </c>
      <c r="BV315" s="272">
        <v>674</v>
      </c>
      <c r="BW315" s="8">
        <v>181.451</v>
      </c>
      <c r="BX315" s="8">
        <v>80.6804</v>
      </c>
      <c r="CC315" s="8">
        <v>1</v>
      </c>
    </row>
    <row r="316" hidden="1" spans="8:81">
      <c r="H316" s="8">
        <v>675</v>
      </c>
      <c r="I316" s="261"/>
      <c r="J316" s="261"/>
      <c r="K316" s="261"/>
      <c r="L316" s="261"/>
      <c r="M316" s="261"/>
      <c r="N316" s="261"/>
      <c r="O316" s="261"/>
      <c r="P316" s="261"/>
      <c r="Q316" s="261"/>
      <c r="R316" s="261"/>
      <c r="S316" s="261">
        <v>1.33</v>
      </c>
      <c r="T316" s="261"/>
      <c r="V316" s="8">
        <v>675</v>
      </c>
      <c r="W316" s="261"/>
      <c r="X316" s="261"/>
      <c r="Y316" s="261"/>
      <c r="Z316" s="261"/>
      <c r="AA316" s="261"/>
      <c r="AB316" s="261"/>
      <c r="AC316" s="261"/>
      <c r="AD316" s="261"/>
      <c r="AF316" s="8">
        <v>675</v>
      </c>
      <c r="AG316" s="261"/>
      <c r="AH316" s="261"/>
      <c r="AI316" s="261"/>
      <c r="AJ316" s="261"/>
      <c r="AK316" s="261"/>
      <c r="AL316" s="261"/>
      <c r="AM316" s="261"/>
      <c r="AO316" s="12">
        <v>675</v>
      </c>
      <c r="AP316" s="264"/>
      <c r="AQ316" s="264"/>
      <c r="AR316" s="264">
        <v>5.69126619564283</v>
      </c>
      <c r="AS316" s="264"/>
      <c r="AT316" s="264"/>
      <c r="AU316" s="264"/>
      <c r="AV316" s="264"/>
      <c r="AW316" s="264"/>
      <c r="AX316" s="264"/>
      <c r="BP316" s="272">
        <f>Inputs!B319</f>
        <v>675</v>
      </c>
      <c r="BQ316" s="272">
        <f>IF(LEFT(Inputs!$C$11,6)="photon",10^Inputs!C319,Inputs!C319)</f>
        <v>7.07447691149651</v>
      </c>
      <c r="BR316" s="272"/>
      <c r="BS316" s="272">
        <f>'Advanced Inputs'!I321</f>
        <v>675</v>
      </c>
      <c r="BT316" s="272">
        <f>IF('Advanced Inputs'!J$19="Photon system",10^'Advanced Inputs'!J321,'Advanced Inputs'!J321)</f>
        <v>0</v>
      </c>
      <c r="BV316" s="272">
        <v>675</v>
      </c>
      <c r="BW316" s="8">
        <v>182.118</v>
      </c>
      <c r="BX316" s="8">
        <v>80.281</v>
      </c>
      <c r="CC316" s="8">
        <v>1</v>
      </c>
    </row>
    <row r="317" hidden="1" spans="8:81">
      <c r="H317" s="8">
        <v>676</v>
      </c>
      <c r="I317" s="261"/>
      <c r="J317" s="261"/>
      <c r="K317" s="261"/>
      <c r="L317" s="261"/>
      <c r="M317" s="261"/>
      <c r="N317" s="261"/>
      <c r="O317" s="261"/>
      <c r="P317" s="261"/>
      <c r="Q317" s="261"/>
      <c r="R317" s="261"/>
      <c r="S317" s="261">
        <v>1.32848</v>
      </c>
      <c r="T317" s="261"/>
      <c r="V317" s="8">
        <v>676</v>
      </c>
      <c r="W317" s="261"/>
      <c r="X317" s="261"/>
      <c r="Y317" s="261"/>
      <c r="Z317" s="261"/>
      <c r="AA317" s="261"/>
      <c r="AB317" s="261"/>
      <c r="AC317" s="261"/>
      <c r="AD317" s="261"/>
      <c r="AF317" s="8">
        <v>676</v>
      </c>
      <c r="AG317" s="261"/>
      <c r="AH317" s="261"/>
      <c r="AI317" s="261"/>
      <c r="AJ317" s="261"/>
      <c r="AK317" s="261"/>
      <c r="AL317" s="261"/>
      <c r="AM317" s="261"/>
      <c r="AO317" s="12">
        <v>676</v>
      </c>
      <c r="AP317" s="264"/>
      <c r="AQ317" s="264"/>
      <c r="AR317" s="264">
        <v>5.55260144019208</v>
      </c>
      <c r="AS317" s="264"/>
      <c r="AT317" s="264"/>
      <c r="AU317" s="264"/>
      <c r="AV317" s="264"/>
      <c r="AW317" s="264"/>
      <c r="AX317" s="264"/>
      <c r="BP317" s="272">
        <f>Inputs!B320</f>
        <v>676</v>
      </c>
      <c r="BQ317" s="272">
        <f>IF(LEFT(Inputs!$C$11,6)="photon",10^Inputs!C320,Inputs!C320)</f>
        <v>6.90164780271233</v>
      </c>
      <c r="BR317" s="272"/>
      <c r="BS317" s="272">
        <f>'Advanced Inputs'!I322</f>
        <v>676</v>
      </c>
      <c r="BT317" s="272">
        <f>IF('Advanced Inputs'!J$19="Photon system",10^'Advanced Inputs'!J322,'Advanced Inputs'!J322)</f>
        <v>0</v>
      </c>
      <c r="BV317" s="272">
        <v>676</v>
      </c>
      <c r="BW317" s="8">
        <v>182.783</v>
      </c>
      <c r="BX317" s="8">
        <v>79.8816</v>
      </c>
      <c r="CC317" s="8">
        <v>1</v>
      </c>
    </row>
    <row r="318" hidden="1" spans="8:81">
      <c r="H318" s="8">
        <v>677</v>
      </c>
      <c r="I318" s="261"/>
      <c r="J318" s="261"/>
      <c r="K318" s="261"/>
      <c r="L318" s="261"/>
      <c r="M318" s="261"/>
      <c r="N318" s="261"/>
      <c r="O318" s="261"/>
      <c r="P318" s="261"/>
      <c r="Q318" s="261"/>
      <c r="R318" s="261"/>
      <c r="S318" s="261">
        <v>1.34064</v>
      </c>
      <c r="T318" s="261"/>
      <c r="V318" s="8">
        <v>677</v>
      </c>
      <c r="W318" s="261"/>
      <c r="X318" s="261"/>
      <c r="Y318" s="261"/>
      <c r="Z318" s="261"/>
      <c r="AA318" s="261"/>
      <c r="AB318" s="261"/>
      <c r="AC318" s="261"/>
      <c r="AD318" s="261"/>
      <c r="AF318" s="8">
        <v>677</v>
      </c>
      <c r="AG318" s="261"/>
      <c r="AH318" s="261"/>
      <c r="AI318" s="261"/>
      <c r="AJ318" s="261"/>
      <c r="AK318" s="261"/>
      <c r="AL318" s="261"/>
      <c r="AM318" s="261"/>
      <c r="AO318" s="12">
        <v>677</v>
      </c>
      <c r="AP318" s="264"/>
      <c r="AQ318" s="264"/>
      <c r="AR318" s="264">
        <v>5.41658081364159</v>
      </c>
      <c r="AS318" s="264"/>
      <c r="AT318" s="264"/>
      <c r="AU318" s="264"/>
      <c r="AV318" s="264"/>
      <c r="AW318" s="264"/>
      <c r="AX318" s="264"/>
      <c r="BP318" s="272">
        <f>Inputs!B321</f>
        <v>677</v>
      </c>
      <c r="BQ318" s="272">
        <f>IF(LEFT(Inputs!$C$11,6)="photon",10^Inputs!C321,Inputs!C321)</f>
        <v>6.765016355317</v>
      </c>
      <c r="BR318" s="272"/>
      <c r="BS318" s="272">
        <f>'Advanced Inputs'!I323</f>
        <v>677</v>
      </c>
      <c r="BT318" s="272">
        <f>IF('Advanced Inputs'!J$19="Photon system",10^'Advanced Inputs'!J323,'Advanced Inputs'!J323)</f>
        <v>0</v>
      </c>
      <c r="BV318" s="272">
        <v>677</v>
      </c>
      <c r="BW318" s="8">
        <v>183.447</v>
      </c>
      <c r="BX318" s="8">
        <v>79.4823</v>
      </c>
      <c r="CC318" s="8">
        <v>1</v>
      </c>
    </row>
    <row r="319" hidden="1" spans="8:81">
      <c r="H319" s="8">
        <v>678</v>
      </c>
      <c r="I319" s="261"/>
      <c r="J319" s="261"/>
      <c r="K319" s="261"/>
      <c r="L319" s="261"/>
      <c r="M319" s="261"/>
      <c r="N319" s="261"/>
      <c r="O319" s="261"/>
      <c r="P319" s="261"/>
      <c r="Q319" s="261"/>
      <c r="R319" s="261"/>
      <c r="S319" s="261">
        <v>1.36656</v>
      </c>
      <c r="T319" s="261"/>
      <c r="V319" s="8">
        <v>678</v>
      </c>
      <c r="W319" s="261"/>
      <c r="X319" s="261"/>
      <c r="Y319" s="261"/>
      <c r="Z319" s="261"/>
      <c r="AA319" s="261"/>
      <c r="AB319" s="261"/>
      <c r="AC319" s="261"/>
      <c r="AD319" s="261"/>
      <c r="AF319" s="8">
        <v>678</v>
      </c>
      <c r="AG319" s="261"/>
      <c r="AH319" s="261"/>
      <c r="AI319" s="261"/>
      <c r="AJ319" s="261"/>
      <c r="AK319" s="261"/>
      <c r="AL319" s="261"/>
      <c r="AM319" s="261"/>
      <c r="AO319" s="12">
        <v>678</v>
      </c>
      <c r="AP319" s="264"/>
      <c r="AQ319" s="264"/>
      <c r="AR319" s="264">
        <v>5.28289339518861</v>
      </c>
      <c r="AS319" s="264"/>
      <c r="AT319" s="264"/>
      <c r="AU319" s="264"/>
      <c r="AV319" s="264"/>
      <c r="AW319" s="264"/>
      <c r="AX319" s="264"/>
      <c r="BP319" s="272">
        <f>Inputs!B322</f>
        <v>678</v>
      </c>
      <c r="BQ319" s="272">
        <f>IF(LEFT(Inputs!$C$11,6)="photon",10^Inputs!C322,Inputs!C322)</f>
        <v>6.63577985395512</v>
      </c>
      <c r="BR319" s="272"/>
      <c r="BS319" s="272">
        <f>'Advanced Inputs'!I324</f>
        <v>678</v>
      </c>
      <c r="BT319" s="272">
        <f>IF('Advanced Inputs'!J$19="Photon system",10^'Advanced Inputs'!J324,'Advanced Inputs'!J324)</f>
        <v>0</v>
      </c>
      <c r="BV319" s="272">
        <v>678</v>
      </c>
      <c r="BW319" s="8">
        <v>184.109</v>
      </c>
      <c r="BX319" s="8">
        <v>79.0829</v>
      </c>
      <c r="CC319" s="8">
        <v>1</v>
      </c>
    </row>
    <row r="320" hidden="1" spans="8:81">
      <c r="H320" s="8">
        <v>679</v>
      </c>
      <c r="I320" s="261"/>
      <c r="J320" s="261"/>
      <c r="K320" s="261"/>
      <c r="L320" s="261"/>
      <c r="M320" s="261"/>
      <c r="N320" s="261"/>
      <c r="O320" s="261"/>
      <c r="P320" s="261"/>
      <c r="Q320" s="261"/>
      <c r="R320" s="261"/>
      <c r="S320" s="261">
        <v>1.40632</v>
      </c>
      <c r="T320" s="261"/>
      <c r="V320" s="8">
        <v>679</v>
      </c>
      <c r="W320" s="261"/>
      <c r="X320" s="261"/>
      <c r="Y320" s="261"/>
      <c r="Z320" s="261"/>
      <c r="AA320" s="261"/>
      <c r="AB320" s="261"/>
      <c r="AC320" s="261"/>
      <c r="AD320" s="261"/>
      <c r="AF320" s="8">
        <v>679</v>
      </c>
      <c r="AG320" s="261"/>
      <c r="AH320" s="261"/>
      <c r="AI320" s="261"/>
      <c r="AJ320" s="261"/>
      <c r="AK320" s="261"/>
      <c r="AL320" s="261"/>
      <c r="AM320" s="261"/>
      <c r="AO320" s="12">
        <v>679</v>
      </c>
      <c r="AP320" s="264"/>
      <c r="AQ320" s="264"/>
      <c r="AR320" s="264">
        <v>5.15166000186602</v>
      </c>
      <c r="AS320" s="264"/>
      <c r="AT320" s="264"/>
      <c r="AU320" s="264"/>
      <c r="AV320" s="264"/>
      <c r="AW320" s="264"/>
      <c r="AX320" s="264"/>
      <c r="BP320" s="272">
        <f>Inputs!B323</f>
        <v>679</v>
      </c>
      <c r="BQ320" s="272">
        <f>IF(LEFT(Inputs!$C$11,6)="photon",10^Inputs!C323,Inputs!C323)</f>
        <v>6.51278438250529</v>
      </c>
      <c r="BR320" s="272"/>
      <c r="BS320" s="272">
        <f>'Advanced Inputs'!I325</f>
        <v>679</v>
      </c>
      <c r="BT320" s="272">
        <f>IF('Advanced Inputs'!J$19="Photon system",10^'Advanced Inputs'!J325,'Advanced Inputs'!J325)</f>
        <v>0</v>
      </c>
      <c r="BV320" s="272">
        <v>679</v>
      </c>
      <c r="BW320" s="8">
        <v>184.77</v>
      </c>
      <c r="BX320" s="8">
        <v>78.6836</v>
      </c>
      <c r="CC320" s="8">
        <v>1</v>
      </c>
    </row>
    <row r="321" hidden="1" spans="8:81">
      <c r="H321" s="8">
        <v>680</v>
      </c>
      <c r="I321" s="261"/>
      <c r="J321" s="261"/>
      <c r="K321" s="261"/>
      <c r="L321" s="261"/>
      <c r="M321" s="261"/>
      <c r="N321" s="261"/>
      <c r="O321" s="261"/>
      <c r="P321" s="261"/>
      <c r="Q321" s="261"/>
      <c r="R321" s="261"/>
      <c r="S321" s="261">
        <v>1.46</v>
      </c>
      <c r="T321" s="261"/>
      <c r="V321" s="8">
        <v>680</v>
      </c>
      <c r="W321" s="261"/>
      <c r="X321" s="261"/>
      <c r="Y321" s="261"/>
      <c r="Z321" s="261"/>
      <c r="AA321" s="261"/>
      <c r="AB321" s="261"/>
      <c r="AC321" s="261"/>
      <c r="AD321" s="261"/>
      <c r="AF321" s="8">
        <v>680</v>
      </c>
      <c r="AG321" s="261"/>
      <c r="AH321" s="261"/>
      <c r="AI321" s="261"/>
      <c r="AJ321" s="261"/>
      <c r="AK321" s="261"/>
      <c r="AL321" s="261"/>
      <c r="AM321" s="261"/>
      <c r="AO321" s="12">
        <v>680</v>
      </c>
      <c r="AP321" s="264"/>
      <c r="AQ321" s="264"/>
      <c r="AR321" s="264">
        <v>5.022539261577</v>
      </c>
      <c r="AS321" s="264"/>
      <c r="AT321" s="264"/>
      <c r="AU321" s="264"/>
      <c r="AV321" s="264"/>
      <c r="AW321" s="264"/>
      <c r="AX321" s="264"/>
      <c r="BP321" s="272">
        <f>Inputs!B324</f>
        <v>680</v>
      </c>
      <c r="BQ321" s="272">
        <f>IF(LEFT(Inputs!$C$11,6)="photon",10^Inputs!C324,Inputs!C324)</f>
        <v>6.38638024176562</v>
      </c>
      <c r="BR321" s="272"/>
      <c r="BS321" s="272">
        <f>'Advanced Inputs'!I326</f>
        <v>680</v>
      </c>
      <c r="BT321" s="272">
        <f>IF('Advanced Inputs'!J$19="Photon system",10^'Advanced Inputs'!J326,'Advanced Inputs'!J326)</f>
        <v>0</v>
      </c>
      <c r="BV321" s="272">
        <v>680</v>
      </c>
      <c r="BW321" s="8">
        <v>185.429</v>
      </c>
      <c r="BX321" s="8">
        <v>78.2842</v>
      </c>
      <c r="CC321" s="8">
        <v>1</v>
      </c>
    </row>
    <row r="322" hidden="1" spans="8:81">
      <c r="H322" s="8">
        <v>681</v>
      </c>
      <c r="I322" s="261"/>
      <c r="J322" s="261"/>
      <c r="K322" s="261"/>
      <c r="L322" s="261"/>
      <c r="M322" s="261"/>
      <c r="N322" s="261"/>
      <c r="O322" s="261"/>
      <c r="P322" s="261"/>
      <c r="Q322" s="261"/>
      <c r="R322" s="261"/>
      <c r="S322" s="261">
        <v>1.55264</v>
      </c>
      <c r="T322" s="261"/>
      <c r="V322" s="8">
        <v>681</v>
      </c>
      <c r="W322" s="261"/>
      <c r="X322" s="261"/>
      <c r="Y322" s="261"/>
      <c r="Z322" s="261"/>
      <c r="AA322" s="261"/>
      <c r="AB322" s="261"/>
      <c r="AC322" s="261"/>
      <c r="AD322" s="261"/>
      <c r="AF322" s="8">
        <v>681</v>
      </c>
      <c r="AG322" s="261"/>
      <c r="AH322" s="261"/>
      <c r="AI322" s="261"/>
      <c r="AJ322" s="261"/>
      <c r="AK322" s="261"/>
      <c r="AL322" s="261"/>
      <c r="AM322" s="261"/>
      <c r="AO322" s="12">
        <v>681</v>
      </c>
      <c r="AP322" s="264"/>
      <c r="AQ322" s="264"/>
      <c r="AR322" s="264">
        <v>4.89601816070974</v>
      </c>
      <c r="AS322" s="264"/>
      <c r="AT322" s="264"/>
      <c r="AU322" s="264"/>
      <c r="AV322" s="264"/>
      <c r="AW322" s="264"/>
      <c r="AX322" s="264"/>
      <c r="BP322" s="272">
        <f>Inputs!B325</f>
        <v>681</v>
      </c>
      <c r="BQ322" s="272">
        <f>IF(LEFT(Inputs!$C$11,6)="photon",10^Inputs!C325,Inputs!C325)</f>
        <v>6.27638585956787</v>
      </c>
      <c r="BR322" s="272"/>
      <c r="BS322" s="272">
        <f>'Advanced Inputs'!I327</f>
        <v>681</v>
      </c>
      <c r="BT322" s="272">
        <f>IF('Advanced Inputs'!J$19="Photon system",10^'Advanced Inputs'!J327,'Advanced Inputs'!J327)</f>
        <v>0</v>
      </c>
      <c r="BV322" s="272">
        <v>681</v>
      </c>
      <c r="BW322" s="8">
        <v>186.087</v>
      </c>
      <c r="BX322" s="8">
        <v>77.4279</v>
      </c>
      <c r="CC322" s="8">
        <v>1</v>
      </c>
    </row>
    <row r="323" hidden="1" spans="8:81">
      <c r="H323" s="8">
        <v>682</v>
      </c>
      <c r="I323" s="261"/>
      <c r="J323" s="261"/>
      <c r="K323" s="261"/>
      <c r="L323" s="261"/>
      <c r="M323" s="261"/>
      <c r="N323" s="261"/>
      <c r="O323" s="261"/>
      <c r="P323" s="261"/>
      <c r="Q323" s="261"/>
      <c r="R323" s="261"/>
      <c r="S323" s="261">
        <v>1.65312</v>
      </c>
      <c r="T323" s="261"/>
      <c r="V323" s="8">
        <v>682</v>
      </c>
      <c r="W323" s="261"/>
      <c r="X323" s="261"/>
      <c r="Y323" s="261"/>
      <c r="Z323" s="261"/>
      <c r="AA323" s="261"/>
      <c r="AB323" s="261"/>
      <c r="AC323" s="261"/>
      <c r="AD323" s="261"/>
      <c r="AF323" s="8">
        <v>682</v>
      </c>
      <c r="AG323" s="261"/>
      <c r="AH323" s="261"/>
      <c r="AI323" s="261"/>
      <c r="AJ323" s="261"/>
      <c r="AK323" s="261"/>
      <c r="AL323" s="261"/>
      <c r="AM323" s="261"/>
      <c r="AO323" s="12">
        <v>682</v>
      </c>
      <c r="AP323" s="264"/>
      <c r="AQ323" s="264"/>
      <c r="AR323" s="264">
        <v>4.77256712081994</v>
      </c>
      <c r="AS323" s="264"/>
      <c r="AT323" s="264"/>
      <c r="AU323" s="264"/>
      <c r="AV323" s="264"/>
      <c r="AW323" s="264"/>
      <c r="AX323" s="264"/>
      <c r="BP323" s="272">
        <f>Inputs!B326</f>
        <v>682</v>
      </c>
      <c r="BQ323" s="272">
        <f>IF(LEFT(Inputs!$C$11,6)="photon",10^Inputs!C326,Inputs!C326)</f>
        <v>6.14920131950875</v>
      </c>
      <c r="BR323" s="272"/>
      <c r="BS323" s="272">
        <f>'Advanced Inputs'!I328</f>
        <v>682</v>
      </c>
      <c r="BT323" s="272">
        <f>IF('Advanced Inputs'!J$19="Photon system",10^'Advanced Inputs'!J328,'Advanced Inputs'!J328)</f>
        <v>0</v>
      </c>
      <c r="BV323" s="272">
        <v>682</v>
      </c>
      <c r="BW323" s="8">
        <v>186.743</v>
      </c>
      <c r="BX323" s="8">
        <v>76.5716</v>
      </c>
      <c r="CC323" s="8">
        <v>1</v>
      </c>
    </row>
    <row r="324" hidden="1" spans="8:81">
      <c r="H324" s="8">
        <v>683</v>
      </c>
      <c r="I324" s="261"/>
      <c r="J324" s="261"/>
      <c r="K324" s="261"/>
      <c r="L324" s="261"/>
      <c r="M324" s="261"/>
      <c r="N324" s="261"/>
      <c r="O324" s="261"/>
      <c r="P324" s="261"/>
      <c r="Q324" s="261"/>
      <c r="R324" s="261"/>
      <c r="S324" s="261">
        <v>1.75528</v>
      </c>
      <c r="T324" s="261"/>
      <c r="V324" s="8">
        <v>683</v>
      </c>
      <c r="W324" s="261"/>
      <c r="X324" s="261"/>
      <c r="Y324" s="261"/>
      <c r="Z324" s="261"/>
      <c r="AA324" s="261"/>
      <c r="AB324" s="261"/>
      <c r="AC324" s="261"/>
      <c r="AD324" s="261"/>
      <c r="AF324" s="8">
        <v>683</v>
      </c>
      <c r="AG324" s="261"/>
      <c r="AH324" s="261"/>
      <c r="AI324" s="261"/>
      <c r="AJ324" s="261"/>
      <c r="AK324" s="261"/>
      <c r="AL324" s="261"/>
      <c r="AM324" s="261"/>
      <c r="AO324" s="12">
        <v>683</v>
      </c>
      <c r="AP324" s="264"/>
      <c r="AQ324" s="264"/>
      <c r="AR324" s="264">
        <v>4.65184940210717</v>
      </c>
      <c r="AS324" s="264"/>
      <c r="AT324" s="264"/>
      <c r="AU324" s="264"/>
      <c r="AV324" s="264"/>
      <c r="AW324" s="264"/>
      <c r="AX324" s="264"/>
      <c r="BP324" s="272">
        <f>Inputs!B327</f>
        <v>683</v>
      </c>
      <c r="BQ324" s="272">
        <f>IF(LEFT(Inputs!$C$11,6)="photon",10^Inputs!C327,Inputs!C327)</f>
        <v>6.01694591558804</v>
      </c>
      <c r="BR324" s="272"/>
      <c r="BS324" s="272">
        <f>'Advanced Inputs'!I329</f>
        <v>683</v>
      </c>
      <c r="BT324" s="272">
        <f>IF('Advanced Inputs'!J$19="Photon system",10^'Advanced Inputs'!J329,'Advanced Inputs'!J329)</f>
        <v>0</v>
      </c>
      <c r="BV324" s="272">
        <v>683</v>
      </c>
      <c r="BW324" s="8">
        <v>187.397</v>
      </c>
      <c r="BX324" s="8">
        <v>75.7153</v>
      </c>
      <c r="CC324" s="8">
        <v>1</v>
      </c>
    </row>
    <row r="325" hidden="1" spans="8:81">
      <c r="H325" s="8">
        <v>684</v>
      </c>
      <c r="I325" s="261"/>
      <c r="J325" s="261"/>
      <c r="K325" s="261"/>
      <c r="L325" s="261"/>
      <c r="M325" s="261"/>
      <c r="N325" s="261"/>
      <c r="O325" s="261"/>
      <c r="P325" s="261"/>
      <c r="Q325" s="261"/>
      <c r="R325" s="261"/>
      <c r="S325" s="261">
        <v>1.85296</v>
      </c>
      <c r="T325" s="261"/>
      <c r="V325" s="8">
        <v>684</v>
      </c>
      <c r="W325" s="261"/>
      <c r="X325" s="261"/>
      <c r="Y325" s="261"/>
      <c r="Z325" s="261"/>
      <c r="AA325" s="261"/>
      <c r="AB325" s="261"/>
      <c r="AC325" s="261"/>
      <c r="AD325" s="261"/>
      <c r="AF325" s="8">
        <v>684</v>
      </c>
      <c r="AG325" s="261"/>
      <c r="AH325" s="261"/>
      <c r="AI325" s="261"/>
      <c r="AJ325" s="261"/>
      <c r="AK325" s="261"/>
      <c r="AL325" s="261"/>
      <c r="AM325" s="261"/>
      <c r="AO325" s="12">
        <v>684</v>
      </c>
      <c r="AP325" s="264"/>
      <c r="AQ325" s="264"/>
      <c r="AR325" s="264">
        <v>4.53291172797566</v>
      </c>
      <c r="AS325" s="264"/>
      <c r="AT325" s="264"/>
      <c r="AU325" s="264"/>
      <c r="AV325" s="264"/>
      <c r="AW325" s="264"/>
      <c r="AX325" s="264"/>
      <c r="BP325" s="272">
        <f>Inputs!B328</f>
        <v>684</v>
      </c>
      <c r="BQ325" s="272">
        <f>IF(LEFT(Inputs!$C$11,6)="photon",10^Inputs!C328,Inputs!C328)</f>
        <v>5.88881921365435</v>
      </c>
      <c r="BR325" s="272"/>
      <c r="BS325" s="272">
        <f>'Advanced Inputs'!I330</f>
        <v>684</v>
      </c>
      <c r="BT325" s="272">
        <f>IF('Advanced Inputs'!J$19="Photon system",10^'Advanced Inputs'!J330,'Advanced Inputs'!J330)</f>
        <v>0</v>
      </c>
      <c r="BV325" s="272">
        <v>684</v>
      </c>
      <c r="BW325" s="8">
        <v>188.05</v>
      </c>
      <c r="BX325" s="8">
        <v>74.859</v>
      </c>
      <c r="CC325" s="8">
        <v>1</v>
      </c>
    </row>
    <row r="326" hidden="1" spans="8:81">
      <c r="H326" s="8">
        <v>685</v>
      </c>
      <c r="I326" s="261"/>
      <c r="J326" s="261"/>
      <c r="K326" s="261"/>
      <c r="L326" s="261"/>
      <c r="M326" s="261"/>
      <c r="N326" s="261"/>
      <c r="O326" s="261"/>
      <c r="P326" s="261"/>
      <c r="Q326" s="261"/>
      <c r="R326" s="261"/>
      <c r="S326" s="261">
        <v>1.94</v>
      </c>
      <c r="T326" s="261"/>
      <c r="V326" s="8">
        <v>685</v>
      </c>
      <c r="W326" s="261"/>
      <c r="X326" s="261"/>
      <c r="Y326" s="261"/>
      <c r="Z326" s="261"/>
      <c r="AA326" s="261"/>
      <c r="AB326" s="261"/>
      <c r="AC326" s="261"/>
      <c r="AD326" s="261"/>
      <c r="AF326" s="8">
        <v>685</v>
      </c>
      <c r="AG326" s="261"/>
      <c r="AH326" s="261"/>
      <c r="AI326" s="261"/>
      <c r="AJ326" s="261"/>
      <c r="AK326" s="261"/>
      <c r="AL326" s="261"/>
      <c r="AM326" s="261"/>
      <c r="AO326" s="12">
        <v>685</v>
      </c>
      <c r="AP326" s="264"/>
      <c r="AQ326" s="264"/>
      <c r="AR326" s="264">
        <v>4.4171392656909</v>
      </c>
      <c r="AS326" s="264"/>
      <c r="AT326" s="264"/>
      <c r="AU326" s="264"/>
      <c r="AV326" s="264"/>
      <c r="AW326" s="264"/>
      <c r="AX326" s="264"/>
      <c r="BP326" s="272">
        <f>Inputs!B329</f>
        <v>685</v>
      </c>
      <c r="BQ326" s="272">
        <f>IF(LEFT(Inputs!$C$11,6)="photon",10^Inputs!C329,Inputs!C329)</f>
        <v>5.76553580433507</v>
      </c>
      <c r="BR326" s="272"/>
      <c r="BS326" s="272">
        <f>'Advanced Inputs'!I331</f>
        <v>685</v>
      </c>
      <c r="BT326" s="272">
        <f>IF('Advanced Inputs'!J$19="Photon system",10^'Advanced Inputs'!J331,'Advanced Inputs'!J331)</f>
        <v>0</v>
      </c>
      <c r="BV326" s="272">
        <v>685</v>
      </c>
      <c r="BW326" s="8">
        <v>188.701</v>
      </c>
      <c r="BX326" s="8">
        <v>74.0027</v>
      </c>
      <c r="CC326" s="8">
        <v>1</v>
      </c>
    </row>
    <row r="327" hidden="1" spans="8:81">
      <c r="H327" s="8">
        <v>686</v>
      </c>
      <c r="I327" s="261"/>
      <c r="J327" s="261"/>
      <c r="K327" s="261"/>
      <c r="L327" s="261"/>
      <c r="M327" s="261"/>
      <c r="N327" s="261"/>
      <c r="O327" s="261"/>
      <c r="P327" s="261"/>
      <c r="Q327" s="261"/>
      <c r="R327" s="261"/>
      <c r="S327" s="261">
        <v>1.99968</v>
      </c>
      <c r="T327" s="261"/>
      <c r="V327" s="8">
        <v>686</v>
      </c>
      <c r="W327" s="261"/>
      <c r="X327" s="261"/>
      <c r="Y327" s="261"/>
      <c r="Z327" s="261"/>
      <c r="AA327" s="261"/>
      <c r="AB327" s="261"/>
      <c r="AC327" s="261"/>
      <c r="AD327" s="261"/>
      <c r="AF327" s="8">
        <v>686</v>
      </c>
      <c r="AG327" s="261"/>
      <c r="AH327" s="261"/>
      <c r="AI327" s="261"/>
      <c r="AJ327" s="261"/>
      <c r="AK327" s="261"/>
      <c r="AL327" s="261"/>
      <c r="AM327" s="261"/>
      <c r="AO327" s="12">
        <v>686</v>
      </c>
      <c r="AP327" s="264"/>
      <c r="AQ327" s="264"/>
      <c r="AR327" s="264">
        <v>4.30397947992599</v>
      </c>
      <c r="AS327" s="264"/>
      <c r="AT327" s="264"/>
      <c r="AU327" s="264"/>
      <c r="AV327" s="264"/>
      <c r="AW327" s="264"/>
      <c r="AX327" s="264"/>
      <c r="BP327" s="272">
        <f>Inputs!B330</f>
        <v>686</v>
      </c>
      <c r="BQ327" s="272">
        <f>IF(LEFT(Inputs!$C$11,6)="photon",10^Inputs!C330,Inputs!C330)</f>
        <v>5.6564817954154</v>
      </c>
      <c r="BR327" s="272"/>
      <c r="BS327" s="272">
        <f>'Advanced Inputs'!I332</f>
        <v>686</v>
      </c>
      <c r="BT327" s="272">
        <f>IF('Advanced Inputs'!J$19="Photon system",10^'Advanced Inputs'!J332,'Advanced Inputs'!J332)</f>
        <v>0</v>
      </c>
      <c r="BV327" s="272">
        <v>686</v>
      </c>
      <c r="BW327" s="8">
        <v>189.35</v>
      </c>
      <c r="BX327" s="8">
        <v>73.1465</v>
      </c>
      <c r="CC327" s="8">
        <v>1</v>
      </c>
    </row>
    <row r="328" hidden="1" spans="8:81">
      <c r="H328" s="8">
        <v>687</v>
      </c>
      <c r="I328" s="261"/>
      <c r="J328" s="261"/>
      <c r="K328" s="261"/>
      <c r="L328" s="261"/>
      <c r="M328" s="261"/>
      <c r="N328" s="261"/>
      <c r="O328" s="261"/>
      <c r="P328" s="261"/>
      <c r="Q328" s="261"/>
      <c r="R328" s="261"/>
      <c r="S328" s="261">
        <v>2.03904</v>
      </c>
      <c r="T328" s="261"/>
      <c r="V328" s="8">
        <v>687</v>
      </c>
      <c r="W328" s="261"/>
      <c r="X328" s="261"/>
      <c r="Y328" s="261"/>
      <c r="Z328" s="261"/>
      <c r="AA328" s="261"/>
      <c r="AB328" s="261"/>
      <c r="AC328" s="261"/>
      <c r="AD328" s="261"/>
      <c r="AF328" s="8">
        <v>687</v>
      </c>
      <c r="AG328" s="261"/>
      <c r="AH328" s="261"/>
      <c r="AI328" s="261"/>
      <c r="AJ328" s="261"/>
      <c r="AK328" s="261"/>
      <c r="AL328" s="261"/>
      <c r="AM328" s="261"/>
      <c r="AO328" s="12">
        <v>687</v>
      </c>
      <c r="AP328" s="264"/>
      <c r="AQ328" s="264"/>
      <c r="AR328" s="264">
        <v>4.1932166383287</v>
      </c>
      <c r="AS328" s="264"/>
      <c r="AT328" s="264"/>
      <c r="AU328" s="264"/>
      <c r="AV328" s="264"/>
      <c r="AW328" s="264"/>
      <c r="AX328" s="264"/>
      <c r="BP328" s="272">
        <f>Inputs!B331</f>
        <v>687</v>
      </c>
      <c r="BQ328" s="272">
        <f>IF(LEFT(Inputs!$C$11,6)="photon",10^Inputs!C331,Inputs!C331)</f>
        <v>5.53662417117244</v>
      </c>
      <c r="BR328" s="272"/>
      <c r="BS328" s="272">
        <f>'Advanced Inputs'!I333</f>
        <v>687</v>
      </c>
      <c r="BT328" s="272">
        <f>IF('Advanced Inputs'!J$19="Photon system",10^'Advanced Inputs'!J333,'Advanced Inputs'!J333)</f>
        <v>0</v>
      </c>
      <c r="BV328" s="272">
        <v>687</v>
      </c>
      <c r="BW328" s="8">
        <v>189.998</v>
      </c>
      <c r="BX328" s="8">
        <v>72.2902</v>
      </c>
      <c r="CC328" s="8">
        <v>1</v>
      </c>
    </row>
    <row r="329" hidden="1" spans="8:81">
      <c r="H329" s="8">
        <v>688</v>
      </c>
      <c r="I329" s="261"/>
      <c r="J329" s="261"/>
      <c r="K329" s="261"/>
      <c r="L329" s="261"/>
      <c r="M329" s="261"/>
      <c r="N329" s="261"/>
      <c r="O329" s="261"/>
      <c r="P329" s="261"/>
      <c r="Q329" s="261"/>
      <c r="R329" s="261"/>
      <c r="S329" s="261">
        <v>2.05456</v>
      </c>
      <c r="T329" s="261"/>
      <c r="V329" s="8">
        <v>688</v>
      </c>
      <c r="W329" s="261"/>
      <c r="X329" s="261"/>
      <c r="Y329" s="261"/>
      <c r="Z329" s="261"/>
      <c r="AA329" s="261"/>
      <c r="AB329" s="261"/>
      <c r="AC329" s="261"/>
      <c r="AD329" s="261"/>
      <c r="AF329" s="8">
        <v>688</v>
      </c>
      <c r="AG329" s="261"/>
      <c r="AH329" s="261"/>
      <c r="AI329" s="261"/>
      <c r="AJ329" s="261"/>
      <c r="AK329" s="261"/>
      <c r="AL329" s="261"/>
      <c r="AM329" s="261"/>
      <c r="AO329" s="12">
        <v>688</v>
      </c>
      <c r="AP329" s="264"/>
      <c r="AQ329" s="264"/>
      <c r="AR329" s="264">
        <v>4.08528213278491</v>
      </c>
      <c r="AS329" s="264"/>
      <c r="AT329" s="264"/>
      <c r="AU329" s="264"/>
      <c r="AV329" s="264"/>
      <c r="AW329" s="264"/>
      <c r="AX329" s="264"/>
      <c r="BP329" s="272">
        <f>Inputs!B332</f>
        <v>688</v>
      </c>
      <c r="BQ329" s="272">
        <f>IF(LEFT(Inputs!$C$11,6)="photon",10^Inputs!C332,Inputs!C332)</f>
        <v>5.40282551732805</v>
      </c>
      <c r="BR329" s="272"/>
      <c r="BS329" s="272">
        <f>'Advanced Inputs'!I334</f>
        <v>688</v>
      </c>
      <c r="BT329" s="272">
        <f>IF('Advanced Inputs'!J$19="Photon system",10^'Advanced Inputs'!J334,'Advanced Inputs'!J334)</f>
        <v>0</v>
      </c>
      <c r="BV329" s="272">
        <v>688</v>
      </c>
      <c r="BW329" s="8">
        <v>190.644</v>
      </c>
      <c r="BX329" s="8">
        <v>71.4339</v>
      </c>
      <c r="CC329" s="8">
        <v>1</v>
      </c>
    </row>
    <row r="330" hidden="1" spans="8:81">
      <c r="H330" s="8">
        <v>689</v>
      </c>
      <c r="I330" s="261"/>
      <c r="J330" s="261"/>
      <c r="K330" s="261"/>
      <c r="L330" s="261"/>
      <c r="M330" s="261"/>
      <c r="N330" s="261"/>
      <c r="O330" s="261"/>
      <c r="P330" s="261"/>
      <c r="Q330" s="261"/>
      <c r="R330" s="261"/>
      <c r="S330" s="261">
        <v>2.04272</v>
      </c>
      <c r="T330" s="261"/>
      <c r="V330" s="8">
        <v>689</v>
      </c>
      <c r="W330" s="261"/>
      <c r="X330" s="261"/>
      <c r="Y330" s="261"/>
      <c r="Z330" s="261"/>
      <c r="AA330" s="261"/>
      <c r="AB330" s="261"/>
      <c r="AC330" s="261"/>
      <c r="AD330" s="261"/>
      <c r="AF330" s="8">
        <v>689</v>
      </c>
      <c r="AG330" s="261"/>
      <c r="AH330" s="261"/>
      <c r="AI330" s="261"/>
      <c r="AJ330" s="261"/>
      <c r="AK330" s="261"/>
      <c r="AL330" s="261"/>
      <c r="AM330" s="261"/>
      <c r="AO330" s="12">
        <v>689</v>
      </c>
      <c r="AP330" s="264"/>
      <c r="AQ330" s="264"/>
      <c r="AR330" s="264">
        <v>3.97973760188696</v>
      </c>
      <c r="AS330" s="264"/>
      <c r="AT330" s="264"/>
      <c r="AU330" s="264"/>
      <c r="AV330" s="264"/>
      <c r="AW330" s="264"/>
      <c r="AX330" s="264"/>
      <c r="BP330" s="272">
        <f>Inputs!B333</f>
        <v>689</v>
      </c>
      <c r="BQ330" s="272">
        <f>IF(LEFT(Inputs!$C$11,6)="photon",10^Inputs!C333,Inputs!C333)</f>
        <v>5.29344933896592</v>
      </c>
      <c r="BR330" s="272"/>
      <c r="BS330" s="272">
        <f>'Advanced Inputs'!I335</f>
        <v>689</v>
      </c>
      <c r="BT330" s="272">
        <f>IF('Advanced Inputs'!J$19="Photon system",10^'Advanced Inputs'!J335,'Advanced Inputs'!J335)</f>
        <v>0</v>
      </c>
      <c r="BV330" s="272">
        <v>689</v>
      </c>
      <c r="BW330" s="8">
        <v>191.288</v>
      </c>
      <c r="BX330" s="8">
        <v>70.5776</v>
      </c>
      <c r="CC330" s="8">
        <v>1</v>
      </c>
    </row>
    <row r="331" hidden="1" spans="8:81">
      <c r="H331" s="8">
        <v>690</v>
      </c>
      <c r="I331" s="261"/>
      <c r="J331" s="261"/>
      <c r="K331" s="261"/>
      <c r="L331" s="261"/>
      <c r="M331" s="261"/>
      <c r="N331" s="261"/>
      <c r="O331" s="261"/>
      <c r="P331" s="261"/>
      <c r="Q331" s="261"/>
      <c r="R331" s="261"/>
      <c r="S331" s="261">
        <v>2</v>
      </c>
      <c r="T331" s="261"/>
      <c r="V331" s="8">
        <v>690</v>
      </c>
      <c r="W331" s="261"/>
      <c r="X331" s="261"/>
      <c r="Y331" s="261"/>
      <c r="Z331" s="261"/>
      <c r="AA331" s="261"/>
      <c r="AB331" s="261"/>
      <c r="AC331" s="261"/>
      <c r="AD331" s="261"/>
      <c r="AF331" s="8">
        <v>690</v>
      </c>
      <c r="AG331" s="261"/>
      <c r="AH331" s="261"/>
      <c r="AI331" s="261"/>
      <c r="AJ331" s="261"/>
      <c r="AK331" s="261"/>
      <c r="AL331" s="261"/>
      <c r="AM331" s="261"/>
      <c r="AO331" s="12">
        <v>690</v>
      </c>
      <c r="AP331" s="264"/>
      <c r="AQ331" s="264"/>
      <c r="AR331" s="264">
        <v>3.87613123092091</v>
      </c>
      <c r="AS331" s="264"/>
      <c r="AT331" s="264"/>
      <c r="AU331" s="264"/>
      <c r="AV331" s="264"/>
      <c r="AW331" s="264"/>
      <c r="AX331" s="264"/>
      <c r="BP331" s="272">
        <f>Inputs!B334</f>
        <v>690</v>
      </c>
      <c r="BQ331" s="272">
        <f>IF(LEFT(Inputs!$C$11,6)="photon",10^Inputs!C334,Inputs!C334)</f>
        <v>5.15982011127164</v>
      </c>
      <c r="BR331" s="272"/>
      <c r="BS331" s="272">
        <f>'Advanced Inputs'!I336</f>
        <v>690</v>
      </c>
      <c r="BT331" s="272">
        <f>IF('Advanced Inputs'!J$19="Photon system",10^'Advanced Inputs'!J336,'Advanced Inputs'!J336)</f>
        <v>0</v>
      </c>
      <c r="BV331" s="272">
        <v>690</v>
      </c>
      <c r="BW331" s="8">
        <v>191.931</v>
      </c>
      <c r="BX331" s="8">
        <v>69.7213</v>
      </c>
      <c r="CC331" s="8">
        <v>1</v>
      </c>
    </row>
    <row r="332" hidden="1" spans="8:81">
      <c r="H332" s="8">
        <v>691</v>
      </c>
      <c r="I332" s="261"/>
      <c r="J332" s="261"/>
      <c r="K332" s="261"/>
      <c r="L332" s="261"/>
      <c r="M332" s="261"/>
      <c r="N332" s="261"/>
      <c r="O332" s="261"/>
      <c r="P332" s="261"/>
      <c r="Q332" s="261"/>
      <c r="R332" s="261"/>
      <c r="S332" s="261">
        <v>1.85088</v>
      </c>
      <c r="T332" s="261"/>
      <c r="V332" s="8">
        <v>691</v>
      </c>
      <c r="W332" s="261"/>
      <c r="X332" s="261"/>
      <c r="Y332" s="261"/>
      <c r="Z332" s="261"/>
      <c r="AA332" s="261"/>
      <c r="AB332" s="261"/>
      <c r="AC332" s="261"/>
      <c r="AD332" s="261"/>
      <c r="AF332" s="8">
        <v>691</v>
      </c>
      <c r="AG332" s="261"/>
      <c r="AH332" s="261"/>
      <c r="AI332" s="261"/>
      <c r="AJ332" s="261"/>
      <c r="AK332" s="261"/>
      <c r="AL332" s="261"/>
      <c r="AM332" s="261"/>
      <c r="AO332" s="12">
        <v>691</v>
      </c>
      <c r="AP332" s="264"/>
      <c r="AQ332" s="264"/>
      <c r="AR332" s="264">
        <v>3.774519895647</v>
      </c>
      <c r="AS332" s="264"/>
      <c r="AT332" s="264"/>
      <c r="AU332" s="264"/>
      <c r="AV332" s="264"/>
      <c r="AW332" s="264"/>
      <c r="AX332" s="264"/>
      <c r="BP332" s="272">
        <f>Inputs!B335</f>
        <v>691</v>
      </c>
      <c r="BQ332" s="272">
        <f>IF(LEFT(Inputs!$C$11,6)="photon",10^Inputs!C335,Inputs!C335)</f>
        <v>5.06336753975284</v>
      </c>
      <c r="BR332" s="272"/>
      <c r="BS332" s="272">
        <f>'Advanced Inputs'!I337</f>
        <v>691</v>
      </c>
      <c r="BT332" s="272">
        <f>IF('Advanced Inputs'!J$19="Photon system",10^'Advanced Inputs'!J337,'Advanced Inputs'!J337)</f>
        <v>0</v>
      </c>
      <c r="BV332" s="272">
        <v>691</v>
      </c>
      <c r="BW332" s="8">
        <v>192.572</v>
      </c>
      <c r="BX332" s="8">
        <v>69.9101</v>
      </c>
      <c r="CC332" s="8">
        <v>1</v>
      </c>
    </row>
    <row r="333" hidden="1" spans="8:81">
      <c r="H333" s="8">
        <v>692</v>
      </c>
      <c r="I333" s="261"/>
      <c r="J333" s="261"/>
      <c r="K333" s="261"/>
      <c r="L333" s="261"/>
      <c r="M333" s="261"/>
      <c r="N333" s="261"/>
      <c r="O333" s="261"/>
      <c r="P333" s="261"/>
      <c r="Q333" s="261"/>
      <c r="R333" s="261"/>
      <c r="S333" s="261">
        <v>1.68184</v>
      </c>
      <c r="T333" s="261"/>
      <c r="V333" s="8">
        <v>692</v>
      </c>
      <c r="W333" s="261"/>
      <c r="X333" s="261"/>
      <c r="Y333" s="261"/>
      <c r="Z333" s="261"/>
      <c r="AA333" s="261"/>
      <c r="AB333" s="261"/>
      <c r="AC333" s="261"/>
      <c r="AD333" s="261"/>
      <c r="AF333" s="8">
        <v>692</v>
      </c>
      <c r="AG333" s="261"/>
      <c r="AH333" s="261"/>
      <c r="AI333" s="261"/>
      <c r="AJ333" s="261"/>
      <c r="AK333" s="261"/>
      <c r="AL333" s="261"/>
      <c r="AM333" s="261"/>
      <c r="AO333" s="12">
        <v>692</v>
      </c>
      <c r="AP333" s="264"/>
      <c r="AQ333" s="264"/>
      <c r="AR333" s="264">
        <v>3.67567505779399</v>
      </c>
      <c r="AS333" s="264"/>
      <c r="AT333" s="264"/>
      <c r="AU333" s="264"/>
      <c r="AV333" s="264"/>
      <c r="AW333" s="264"/>
      <c r="AX333" s="264"/>
      <c r="BP333" s="272">
        <f>Inputs!B336</f>
        <v>692</v>
      </c>
      <c r="BQ333" s="272">
        <f>IF(LEFT(Inputs!$C$11,6)="photon",10^Inputs!C336,Inputs!C336)</f>
        <v>4.94632559327431</v>
      </c>
      <c r="BR333" s="272"/>
      <c r="BS333" s="272">
        <f>'Advanced Inputs'!I338</f>
        <v>692</v>
      </c>
      <c r="BT333" s="272">
        <f>IF('Advanced Inputs'!J$19="Photon system",10^'Advanced Inputs'!J338,'Advanced Inputs'!J338)</f>
        <v>0</v>
      </c>
      <c r="BV333" s="272">
        <v>692</v>
      </c>
      <c r="BW333" s="8">
        <v>193.211</v>
      </c>
      <c r="BX333" s="8">
        <v>70.0989</v>
      </c>
      <c r="CC333" s="8">
        <v>1</v>
      </c>
    </row>
    <row r="334" hidden="1" spans="8:81">
      <c r="H334" s="8">
        <v>693</v>
      </c>
      <c r="I334" s="261"/>
      <c r="J334" s="261"/>
      <c r="K334" s="261"/>
      <c r="L334" s="261"/>
      <c r="M334" s="261"/>
      <c r="N334" s="261"/>
      <c r="O334" s="261"/>
      <c r="P334" s="261"/>
      <c r="Q334" s="261"/>
      <c r="R334" s="261"/>
      <c r="S334" s="261">
        <v>1.50736</v>
      </c>
      <c r="T334" s="261"/>
      <c r="V334" s="8">
        <v>693</v>
      </c>
      <c r="W334" s="261"/>
      <c r="X334" s="261"/>
      <c r="Y334" s="261"/>
      <c r="Z334" s="261"/>
      <c r="AA334" s="261"/>
      <c r="AB334" s="261"/>
      <c r="AC334" s="261"/>
      <c r="AD334" s="261"/>
      <c r="AF334" s="8">
        <v>693</v>
      </c>
      <c r="AG334" s="261"/>
      <c r="AH334" s="261"/>
      <c r="AI334" s="261"/>
      <c r="AJ334" s="261"/>
      <c r="AK334" s="261"/>
      <c r="AL334" s="261"/>
      <c r="AM334" s="261"/>
      <c r="AO334" s="12">
        <v>693</v>
      </c>
      <c r="AP334" s="264"/>
      <c r="AQ334" s="264"/>
      <c r="AR334" s="264">
        <v>3.57783598080277</v>
      </c>
      <c r="AS334" s="264"/>
      <c r="AT334" s="264"/>
      <c r="AU334" s="264"/>
      <c r="AV334" s="264"/>
      <c r="AW334" s="264"/>
      <c r="AX334" s="264"/>
      <c r="BP334" s="272">
        <f>Inputs!B337</f>
        <v>693</v>
      </c>
      <c r="BQ334" s="272">
        <f>IF(LEFT(Inputs!$C$11,6)="photon",10^Inputs!C337,Inputs!C337)</f>
        <v>4.84821082718376</v>
      </c>
      <c r="BR334" s="272"/>
      <c r="BS334" s="272">
        <f>'Advanced Inputs'!I339</f>
        <v>693</v>
      </c>
      <c r="BT334" s="272">
        <f>IF('Advanced Inputs'!J$19="Photon system",10^'Advanced Inputs'!J339,'Advanced Inputs'!J339)</f>
        <v>0</v>
      </c>
      <c r="BV334" s="272">
        <v>693</v>
      </c>
      <c r="BW334" s="8">
        <v>193.849</v>
      </c>
      <c r="BX334" s="8">
        <v>70.2876</v>
      </c>
      <c r="CC334" s="8">
        <v>1</v>
      </c>
    </row>
    <row r="335" hidden="1" spans="8:81">
      <c r="H335" s="8">
        <v>694</v>
      </c>
      <c r="I335" s="261"/>
      <c r="J335" s="261"/>
      <c r="K335" s="261"/>
      <c r="L335" s="261"/>
      <c r="M335" s="261"/>
      <c r="N335" s="261"/>
      <c r="O335" s="261"/>
      <c r="P335" s="261"/>
      <c r="Q335" s="261"/>
      <c r="R335" s="261"/>
      <c r="S335" s="261">
        <v>1.34192</v>
      </c>
      <c r="T335" s="261"/>
      <c r="V335" s="8">
        <v>694</v>
      </c>
      <c r="W335" s="261"/>
      <c r="X335" s="261"/>
      <c r="Y335" s="261"/>
      <c r="Z335" s="261"/>
      <c r="AA335" s="261"/>
      <c r="AB335" s="261"/>
      <c r="AC335" s="261"/>
      <c r="AD335" s="261"/>
      <c r="AF335" s="8">
        <v>694</v>
      </c>
      <c r="AG335" s="261"/>
      <c r="AH335" s="261"/>
      <c r="AI335" s="261"/>
      <c r="AJ335" s="261"/>
      <c r="AK335" s="261"/>
      <c r="AL335" s="261"/>
      <c r="AM335" s="261"/>
      <c r="AO335" s="12">
        <v>694</v>
      </c>
      <c r="AP335" s="264"/>
      <c r="AQ335" s="264"/>
      <c r="AR335" s="264">
        <v>3.48155996095704</v>
      </c>
      <c r="AS335" s="264"/>
      <c r="AT335" s="264"/>
      <c r="AU335" s="264"/>
      <c r="AV335" s="264"/>
      <c r="AW335" s="264"/>
      <c r="AX335" s="264"/>
      <c r="BP335" s="272">
        <f>Inputs!B338</f>
        <v>694</v>
      </c>
      <c r="BQ335" s="272">
        <f>IF(LEFT(Inputs!$C$11,6)="photon",10^Inputs!C338,Inputs!C338)</f>
        <v>4.7222649163211</v>
      </c>
      <c r="BR335" s="272"/>
      <c r="BS335" s="272">
        <f>'Advanced Inputs'!I340</f>
        <v>694</v>
      </c>
      <c r="BT335" s="272">
        <f>IF('Advanced Inputs'!J$19="Photon system",10^'Advanced Inputs'!J340,'Advanced Inputs'!J340)</f>
        <v>0</v>
      </c>
      <c r="BV335" s="272">
        <v>694</v>
      </c>
      <c r="BW335" s="8">
        <v>194.484</v>
      </c>
      <c r="BX335" s="8">
        <v>70.4764</v>
      </c>
      <c r="CC335" s="8">
        <v>1</v>
      </c>
    </row>
    <row r="336" hidden="1" spans="8:81">
      <c r="H336" s="8">
        <v>695</v>
      </c>
      <c r="I336" s="261"/>
      <c r="J336" s="261"/>
      <c r="K336" s="261"/>
      <c r="L336" s="261"/>
      <c r="M336" s="261"/>
      <c r="N336" s="261"/>
      <c r="O336" s="261"/>
      <c r="P336" s="261"/>
      <c r="Q336" s="261"/>
      <c r="R336" s="261"/>
      <c r="S336" s="261">
        <v>1.2</v>
      </c>
      <c r="T336" s="261"/>
      <c r="V336" s="8">
        <v>695</v>
      </c>
      <c r="W336" s="261"/>
      <c r="X336" s="261"/>
      <c r="Y336" s="261"/>
      <c r="Z336" s="261"/>
      <c r="AA336" s="261"/>
      <c r="AB336" s="261"/>
      <c r="AC336" s="261"/>
      <c r="AD336" s="261"/>
      <c r="AF336" s="8">
        <v>695</v>
      </c>
      <c r="AG336" s="261"/>
      <c r="AH336" s="261"/>
      <c r="AI336" s="261"/>
      <c r="AJ336" s="261"/>
      <c r="AK336" s="261"/>
      <c r="AL336" s="261"/>
      <c r="AM336" s="261"/>
      <c r="AO336" s="12">
        <v>695</v>
      </c>
      <c r="AP336" s="264"/>
      <c r="AQ336" s="264"/>
      <c r="AR336" s="264">
        <v>3.38667826814225</v>
      </c>
      <c r="AS336" s="264"/>
      <c r="AT336" s="264"/>
      <c r="AU336" s="264"/>
      <c r="AV336" s="264"/>
      <c r="AW336" s="264"/>
      <c r="AX336" s="264"/>
      <c r="BP336" s="272">
        <f>Inputs!B339</f>
        <v>695</v>
      </c>
      <c r="BQ336" s="272">
        <f>IF(LEFT(Inputs!$C$11,6)="photon",10^Inputs!C339,Inputs!C339)</f>
        <v>4.63039161307131</v>
      </c>
      <c r="BR336" s="272"/>
      <c r="BS336" s="272">
        <f>'Advanced Inputs'!I341</f>
        <v>695</v>
      </c>
      <c r="BT336" s="272">
        <f>IF('Advanced Inputs'!J$19="Photon system",10^'Advanced Inputs'!J341,'Advanced Inputs'!J341)</f>
        <v>0</v>
      </c>
      <c r="BV336" s="272">
        <v>695</v>
      </c>
      <c r="BW336" s="8">
        <v>195.118</v>
      </c>
      <c r="BX336" s="8">
        <v>70.6652</v>
      </c>
      <c r="CC336" s="8">
        <v>1</v>
      </c>
    </row>
    <row r="337" hidden="1" spans="8:81">
      <c r="H337" s="8">
        <v>696</v>
      </c>
      <c r="I337" s="261"/>
      <c r="J337" s="261"/>
      <c r="K337" s="261"/>
      <c r="L337" s="261"/>
      <c r="M337" s="261"/>
      <c r="N337" s="261"/>
      <c r="O337" s="261"/>
      <c r="P337" s="261"/>
      <c r="Q337" s="261"/>
      <c r="R337" s="261"/>
      <c r="S337" s="261">
        <v>1.1012</v>
      </c>
      <c r="T337" s="261"/>
      <c r="V337" s="8">
        <v>696</v>
      </c>
      <c r="W337" s="261"/>
      <c r="X337" s="261"/>
      <c r="Y337" s="261"/>
      <c r="Z337" s="261"/>
      <c r="AA337" s="261"/>
      <c r="AB337" s="261"/>
      <c r="AC337" s="261"/>
      <c r="AD337" s="261"/>
      <c r="AF337" s="8">
        <v>696</v>
      </c>
      <c r="AG337" s="261"/>
      <c r="AH337" s="261"/>
      <c r="AI337" s="261"/>
      <c r="AJ337" s="261"/>
      <c r="AK337" s="261"/>
      <c r="AL337" s="261"/>
      <c r="AM337" s="261"/>
      <c r="AO337" s="12">
        <v>696</v>
      </c>
      <c r="AP337" s="264"/>
      <c r="AQ337" s="264"/>
      <c r="AR337" s="264">
        <v>3.29481293549907</v>
      </c>
      <c r="AS337" s="264"/>
      <c r="AT337" s="264"/>
      <c r="AU337" s="264"/>
      <c r="AV337" s="264"/>
      <c r="AW337" s="264"/>
      <c r="AX337" s="264"/>
      <c r="BP337" s="272">
        <f>Inputs!B340</f>
        <v>696</v>
      </c>
      <c r="BQ337" s="272">
        <f>IF(LEFT(Inputs!$C$11,6)="photon",10^Inputs!C340,Inputs!C340)</f>
        <v>4.51275580920995</v>
      </c>
      <c r="BR337" s="272"/>
      <c r="BS337" s="272">
        <f>'Advanced Inputs'!I342</f>
        <v>696</v>
      </c>
      <c r="BT337" s="272">
        <f>IF('Advanced Inputs'!J$19="Photon system",10^'Advanced Inputs'!J342,'Advanced Inputs'!J342)</f>
        <v>0</v>
      </c>
      <c r="BV337" s="272">
        <v>696</v>
      </c>
      <c r="BW337" s="8">
        <v>195.75</v>
      </c>
      <c r="BX337" s="8">
        <v>70.854</v>
      </c>
      <c r="CC337" s="8">
        <v>1</v>
      </c>
    </row>
    <row r="338" hidden="1" spans="8:81">
      <c r="H338" s="8">
        <v>697</v>
      </c>
      <c r="I338" s="261"/>
      <c r="J338" s="261"/>
      <c r="K338" s="261"/>
      <c r="L338" s="261"/>
      <c r="M338" s="261"/>
      <c r="N338" s="261"/>
      <c r="O338" s="261"/>
      <c r="P338" s="261"/>
      <c r="Q338" s="261"/>
      <c r="R338" s="261"/>
      <c r="S338" s="261">
        <v>1.0536</v>
      </c>
      <c r="T338" s="261"/>
      <c r="V338" s="8">
        <v>697</v>
      </c>
      <c r="W338" s="261"/>
      <c r="X338" s="261"/>
      <c r="Y338" s="261"/>
      <c r="Z338" s="261"/>
      <c r="AA338" s="261"/>
      <c r="AB338" s="261"/>
      <c r="AC338" s="261"/>
      <c r="AD338" s="261"/>
      <c r="AF338" s="8">
        <v>697</v>
      </c>
      <c r="AG338" s="261"/>
      <c r="AH338" s="261"/>
      <c r="AI338" s="261"/>
      <c r="AJ338" s="261"/>
      <c r="AK338" s="261"/>
      <c r="AL338" s="261"/>
      <c r="AM338" s="261"/>
      <c r="AO338" s="12">
        <v>697</v>
      </c>
      <c r="AP338" s="264"/>
      <c r="AQ338" s="264"/>
      <c r="AR338" s="264">
        <v>3.20478421228679</v>
      </c>
      <c r="AS338" s="264"/>
      <c r="AT338" s="264"/>
      <c r="AU338" s="264"/>
      <c r="AV338" s="264"/>
      <c r="AW338" s="264"/>
      <c r="AX338" s="264"/>
      <c r="BP338" s="272">
        <f>Inputs!B341</f>
        <v>697</v>
      </c>
      <c r="BQ338" s="272">
        <f>IF(LEFT(Inputs!$C$11,6)="photon",10^Inputs!C341,Inputs!C341)</f>
        <v>4.41360693750348</v>
      </c>
      <c r="BR338" s="272"/>
      <c r="BS338" s="272">
        <f>'Advanced Inputs'!I343</f>
        <v>697</v>
      </c>
      <c r="BT338" s="272">
        <f>IF('Advanced Inputs'!J$19="Photon system",10^'Advanced Inputs'!J343,'Advanced Inputs'!J343)</f>
        <v>0</v>
      </c>
      <c r="BV338" s="272">
        <v>697</v>
      </c>
      <c r="BW338" s="8">
        <v>196.381</v>
      </c>
      <c r="BX338" s="8">
        <v>71.0428</v>
      </c>
      <c r="CC338" s="8">
        <v>1</v>
      </c>
    </row>
    <row r="339" hidden="1" spans="8:81">
      <c r="H339" s="8">
        <v>698</v>
      </c>
      <c r="I339" s="261"/>
      <c r="J339" s="261"/>
      <c r="K339" s="261"/>
      <c r="L339" s="261"/>
      <c r="M339" s="261"/>
      <c r="N339" s="261"/>
      <c r="O339" s="261"/>
      <c r="P339" s="261"/>
      <c r="Q339" s="261"/>
      <c r="R339" s="261"/>
      <c r="S339" s="261">
        <v>1.0704</v>
      </c>
      <c r="T339" s="261"/>
      <c r="V339" s="8">
        <v>698</v>
      </c>
      <c r="W339" s="261"/>
      <c r="X339" s="261"/>
      <c r="Y339" s="261"/>
      <c r="Z339" s="261"/>
      <c r="AA339" s="261"/>
      <c r="AB339" s="261"/>
      <c r="AC339" s="261"/>
      <c r="AD339" s="261"/>
      <c r="AF339" s="8">
        <v>698</v>
      </c>
      <c r="AG339" s="261"/>
      <c r="AH339" s="261"/>
      <c r="AI339" s="261"/>
      <c r="AJ339" s="261"/>
      <c r="AK339" s="261"/>
      <c r="AL339" s="261"/>
      <c r="AM339" s="261"/>
      <c r="AO339" s="12">
        <v>698</v>
      </c>
      <c r="AP339" s="264"/>
      <c r="AQ339" s="264"/>
      <c r="AR339" s="264">
        <v>3.11635579322745</v>
      </c>
      <c r="AS339" s="264"/>
      <c r="AT339" s="264"/>
      <c r="AU339" s="264"/>
      <c r="AV339" s="264"/>
      <c r="AW339" s="264"/>
      <c r="AX339" s="264"/>
      <c r="BP339" s="272">
        <f>Inputs!B342</f>
        <v>698</v>
      </c>
      <c r="BQ339" s="272">
        <f>IF(LEFT(Inputs!$C$11,6)="photon",10^Inputs!C342,Inputs!C342)</f>
        <v>4.30150022738071</v>
      </c>
      <c r="BR339" s="272"/>
      <c r="BS339" s="272">
        <f>'Advanced Inputs'!I344</f>
        <v>698</v>
      </c>
      <c r="BT339" s="272">
        <f>IF('Advanced Inputs'!J$19="Photon system",10^'Advanced Inputs'!J344,'Advanced Inputs'!J344)</f>
        <v>0</v>
      </c>
      <c r="BV339" s="272">
        <v>698</v>
      </c>
      <c r="BW339" s="8">
        <v>197.009</v>
      </c>
      <c r="BX339" s="8">
        <v>71.2315</v>
      </c>
      <c r="CC339" s="8">
        <v>1</v>
      </c>
    </row>
    <row r="340" hidden="1" spans="8:81">
      <c r="H340" s="8">
        <v>699</v>
      </c>
      <c r="I340" s="261"/>
      <c r="J340" s="261"/>
      <c r="K340" s="261"/>
      <c r="L340" s="261"/>
      <c r="M340" s="261"/>
      <c r="N340" s="261"/>
      <c r="O340" s="261"/>
      <c r="P340" s="261"/>
      <c r="Q340" s="261"/>
      <c r="R340" s="261"/>
      <c r="S340" s="261">
        <v>1.1648</v>
      </c>
      <c r="T340" s="261"/>
      <c r="V340" s="8">
        <v>699</v>
      </c>
      <c r="W340" s="261"/>
      <c r="X340" s="261"/>
      <c r="Y340" s="261"/>
      <c r="Z340" s="261"/>
      <c r="AA340" s="261"/>
      <c r="AB340" s="261"/>
      <c r="AC340" s="261"/>
      <c r="AD340" s="261"/>
      <c r="AF340" s="8">
        <v>699</v>
      </c>
      <c r="AG340" s="261"/>
      <c r="AH340" s="261"/>
      <c r="AI340" s="261"/>
      <c r="AJ340" s="261"/>
      <c r="AK340" s="261"/>
      <c r="AL340" s="261"/>
      <c r="AM340" s="261"/>
      <c r="AO340" s="12">
        <v>699</v>
      </c>
      <c r="AP340" s="264"/>
      <c r="AQ340" s="264"/>
      <c r="AR340" s="264">
        <v>3.03035804047982</v>
      </c>
      <c r="AS340" s="264"/>
      <c r="AT340" s="264"/>
      <c r="AU340" s="264"/>
      <c r="AV340" s="264"/>
      <c r="AW340" s="264"/>
      <c r="AX340" s="264"/>
      <c r="BP340" s="272">
        <f>Inputs!B343</f>
        <v>699</v>
      </c>
      <c r="BQ340" s="272">
        <f>IF(LEFT(Inputs!$C$11,6)="photon",10^Inputs!C343,Inputs!C343)</f>
        <v>4.20031564430055</v>
      </c>
      <c r="BR340" s="272"/>
      <c r="BS340" s="272">
        <f>'Advanced Inputs'!I345</f>
        <v>699</v>
      </c>
      <c r="BT340" s="272">
        <f>IF('Advanced Inputs'!J$19="Photon system",10^'Advanced Inputs'!J345,'Advanced Inputs'!J345)</f>
        <v>0</v>
      </c>
      <c r="BV340" s="272">
        <v>699</v>
      </c>
      <c r="BW340" s="8">
        <v>197.636</v>
      </c>
      <c r="BX340" s="8">
        <v>71.4203</v>
      </c>
      <c r="CC340" s="8">
        <v>1</v>
      </c>
    </row>
    <row r="341" hidden="1" spans="8:81">
      <c r="H341" s="8">
        <v>700</v>
      </c>
      <c r="I341" s="261"/>
      <c r="J341" s="261"/>
      <c r="K341" s="261"/>
      <c r="L341" s="261"/>
      <c r="M341" s="261"/>
      <c r="N341" s="261"/>
      <c r="O341" s="261"/>
      <c r="P341" s="261"/>
      <c r="Q341" s="261"/>
      <c r="R341" s="261"/>
      <c r="S341" s="261">
        <v>1.35</v>
      </c>
      <c r="T341" s="261"/>
      <c r="V341" s="8">
        <v>700</v>
      </c>
      <c r="W341" s="261"/>
      <c r="X341" s="261"/>
      <c r="Y341" s="261"/>
      <c r="Z341" s="261"/>
      <c r="AA341" s="261"/>
      <c r="AB341" s="261"/>
      <c r="AC341" s="261"/>
      <c r="AD341" s="261"/>
      <c r="AF341" s="8">
        <v>700</v>
      </c>
      <c r="AG341" s="261"/>
      <c r="AH341" s="261"/>
      <c r="AI341" s="261"/>
      <c r="AJ341" s="261"/>
      <c r="AK341" s="261"/>
      <c r="AL341" s="261"/>
      <c r="AM341" s="261"/>
      <c r="AO341" s="12">
        <v>700</v>
      </c>
      <c r="AP341" s="264"/>
      <c r="AQ341" s="264"/>
      <c r="AR341" s="264">
        <v>2.94643636888562</v>
      </c>
      <c r="AS341" s="264"/>
      <c r="AT341" s="264"/>
      <c r="AU341" s="264"/>
      <c r="AV341" s="264"/>
      <c r="AW341" s="264"/>
      <c r="AX341" s="264"/>
      <c r="BP341" s="272">
        <f>Inputs!B344</f>
        <v>700</v>
      </c>
      <c r="BQ341" s="272">
        <f>IF(LEFT(Inputs!$C$11,6)="photon",10^Inputs!C344,Inputs!C344)</f>
        <v>4.11137653053453</v>
      </c>
      <c r="BR341" s="272"/>
      <c r="BS341" s="272">
        <f>'Advanced Inputs'!I346</f>
        <v>700</v>
      </c>
      <c r="BT341" s="272">
        <f>IF('Advanced Inputs'!J$19="Photon system",10^'Advanced Inputs'!J346,'Advanced Inputs'!J346)</f>
        <v>0</v>
      </c>
      <c r="BV341" s="272">
        <v>700</v>
      </c>
      <c r="BW341" s="8">
        <v>198.261</v>
      </c>
      <c r="BX341" s="8">
        <v>71.6091</v>
      </c>
      <c r="CC341" s="8">
        <v>1</v>
      </c>
    </row>
    <row r="342" hidden="1" spans="8:81">
      <c r="H342" s="8">
        <v>701</v>
      </c>
      <c r="I342" s="261"/>
      <c r="J342" s="261"/>
      <c r="K342" s="261"/>
      <c r="L342" s="261"/>
      <c r="M342" s="261"/>
      <c r="N342" s="261"/>
      <c r="O342" s="261"/>
      <c r="P342" s="261"/>
      <c r="Q342" s="261"/>
      <c r="R342" s="261"/>
      <c r="S342" s="261">
        <v>1.81584</v>
      </c>
      <c r="T342" s="261"/>
      <c r="V342" s="8">
        <v>701</v>
      </c>
      <c r="W342" s="261"/>
      <c r="X342" s="261"/>
      <c r="Y342" s="261"/>
      <c r="Z342" s="261"/>
      <c r="AA342" s="261"/>
      <c r="AB342" s="261"/>
      <c r="AC342" s="261"/>
      <c r="AD342" s="261"/>
      <c r="AF342" s="8">
        <v>701</v>
      </c>
      <c r="AG342" s="261"/>
      <c r="AH342" s="261"/>
      <c r="AI342" s="261"/>
      <c r="AJ342" s="261"/>
      <c r="AK342" s="261"/>
      <c r="AL342" s="261"/>
      <c r="AM342" s="261"/>
      <c r="AO342" s="12">
        <v>701</v>
      </c>
      <c r="AP342" s="264"/>
      <c r="AQ342" s="264"/>
      <c r="AR342" s="264">
        <v>2.86491192082003</v>
      </c>
      <c r="AS342" s="264"/>
      <c r="AT342" s="264"/>
      <c r="AU342" s="264"/>
      <c r="AV342" s="264"/>
      <c r="AW342" s="264"/>
      <c r="AX342" s="264"/>
      <c r="BP342" s="272">
        <f>Inputs!B345</f>
        <v>701</v>
      </c>
      <c r="BQ342" s="272">
        <f>IF(LEFT(Inputs!$C$11,6)="photon",10^Inputs!C345,Inputs!C345)</f>
        <v>4.00479891415034</v>
      </c>
      <c r="BR342" s="272"/>
      <c r="BS342" s="272">
        <f>'Advanced Inputs'!I347</f>
        <v>701</v>
      </c>
      <c r="BT342" s="272">
        <f>IF('Advanced Inputs'!J$19="Photon system",10^'Advanced Inputs'!J347,'Advanced Inputs'!J347)</f>
        <v>0</v>
      </c>
      <c r="BV342" s="272">
        <v>701</v>
      </c>
      <c r="BW342" s="8">
        <v>198.884</v>
      </c>
      <c r="BX342" s="8">
        <v>71.8831</v>
      </c>
      <c r="CC342" s="8">
        <v>1</v>
      </c>
    </row>
    <row r="343" hidden="1" spans="8:81">
      <c r="H343" s="8">
        <v>702</v>
      </c>
      <c r="I343" s="261"/>
      <c r="J343" s="261"/>
      <c r="K343" s="261"/>
      <c r="L343" s="261"/>
      <c r="M343" s="261"/>
      <c r="N343" s="261"/>
      <c r="O343" s="261"/>
      <c r="P343" s="261"/>
      <c r="Q343" s="261"/>
      <c r="R343" s="261"/>
      <c r="S343" s="261">
        <v>2.35472</v>
      </c>
      <c r="T343" s="261"/>
      <c r="V343" s="8">
        <v>702</v>
      </c>
      <c r="W343" s="261"/>
      <c r="X343" s="261"/>
      <c r="Y343" s="261"/>
      <c r="Z343" s="261"/>
      <c r="AA343" s="261"/>
      <c r="AB343" s="261"/>
      <c r="AC343" s="261"/>
      <c r="AD343" s="261"/>
      <c r="AF343" s="8">
        <v>702</v>
      </c>
      <c r="AG343" s="261"/>
      <c r="AH343" s="261"/>
      <c r="AI343" s="261"/>
      <c r="AJ343" s="261"/>
      <c r="AK343" s="261"/>
      <c r="AL343" s="261"/>
      <c r="AM343" s="261"/>
      <c r="AO343" s="12">
        <v>702</v>
      </c>
      <c r="AP343" s="264"/>
      <c r="AQ343" s="264"/>
      <c r="AR343" s="264">
        <v>2.78513664635038</v>
      </c>
      <c r="AS343" s="264"/>
      <c r="AT343" s="264"/>
      <c r="AU343" s="264"/>
      <c r="AV343" s="264"/>
      <c r="AW343" s="264"/>
      <c r="AX343" s="264"/>
      <c r="BP343" s="272">
        <f>Inputs!B346</f>
        <v>702</v>
      </c>
      <c r="BQ343" s="272">
        <f>IF(LEFT(Inputs!$C$11,6)="photon",10^Inputs!C346,Inputs!C346)</f>
        <v>3.90729512122913</v>
      </c>
      <c r="BR343" s="272"/>
      <c r="BS343" s="272">
        <f>'Advanced Inputs'!I348</f>
        <v>702</v>
      </c>
      <c r="BT343" s="272">
        <f>IF('Advanced Inputs'!J$19="Photon system",10^'Advanced Inputs'!J348,'Advanced Inputs'!J348)</f>
        <v>0</v>
      </c>
      <c r="BV343" s="272">
        <v>702</v>
      </c>
      <c r="BW343" s="8">
        <v>199.506</v>
      </c>
      <c r="BX343" s="8">
        <v>72.1571</v>
      </c>
      <c r="CC343" s="8">
        <v>1</v>
      </c>
    </row>
    <row r="344" hidden="1" spans="8:81">
      <c r="H344" s="8">
        <v>703</v>
      </c>
      <c r="I344" s="261"/>
      <c r="J344" s="261"/>
      <c r="K344" s="261"/>
      <c r="L344" s="261"/>
      <c r="M344" s="261"/>
      <c r="N344" s="261"/>
      <c r="O344" s="261"/>
      <c r="P344" s="261"/>
      <c r="Q344" s="261"/>
      <c r="R344" s="261"/>
      <c r="S344" s="261">
        <v>2.93568</v>
      </c>
      <c r="T344" s="261"/>
      <c r="V344" s="8">
        <v>703</v>
      </c>
      <c r="W344" s="261"/>
      <c r="X344" s="261"/>
      <c r="Y344" s="261"/>
      <c r="Z344" s="261"/>
      <c r="AA344" s="261"/>
      <c r="AB344" s="261"/>
      <c r="AC344" s="261"/>
      <c r="AD344" s="261"/>
      <c r="AF344" s="8">
        <v>703</v>
      </c>
      <c r="AG344" s="261"/>
      <c r="AH344" s="261"/>
      <c r="AI344" s="261"/>
      <c r="AJ344" s="261"/>
      <c r="AK344" s="261"/>
      <c r="AL344" s="261"/>
      <c r="AM344" s="261"/>
      <c r="AO344" s="12">
        <v>703</v>
      </c>
      <c r="AP344" s="264"/>
      <c r="AQ344" s="264"/>
      <c r="AR344" s="264">
        <v>2.70704287505656</v>
      </c>
      <c r="AS344" s="264"/>
      <c r="AT344" s="264"/>
      <c r="AU344" s="264"/>
      <c r="AV344" s="264"/>
      <c r="AW344" s="264"/>
      <c r="AX344" s="264"/>
      <c r="BP344" s="272">
        <f>Inputs!B347</f>
        <v>703</v>
      </c>
      <c r="BQ344" s="272">
        <f>IF(LEFT(Inputs!$C$11,6)="photon",10^Inputs!C347,Inputs!C347)</f>
        <v>3.81092726278538</v>
      </c>
      <c r="BR344" s="272"/>
      <c r="BS344" s="272">
        <f>'Advanced Inputs'!I349</f>
        <v>703</v>
      </c>
      <c r="BT344" s="272">
        <f>IF('Advanced Inputs'!J$19="Photon system",10^'Advanced Inputs'!J349,'Advanced Inputs'!J349)</f>
        <v>0</v>
      </c>
      <c r="BV344" s="272">
        <v>703</v>
      </c>
      <c r="BW344" s="8">
        <v>200.125</v>
      </c>
      <c r="BX344" s="8">
        <v>72.4311</v>
      </c>
      <c r="CC344" s="8">
        <v>1</v>
      </c>
    </row>
    <row r="345" hidden="1" spans="8:81">
      <c r="H345" s="8">
        <v>704</v>
      </c>
      <c r="I345" s="261"/>
      <c r="J345" s="261"/>
      <c r="K345" s="261"/>
      <c r="L345" s="261"/>
      <c r="M345" s="261"/>
      <c r="N345" s="261"/>
      <c r="O345" s="261"/>
      <c r="P345" s="261"/>
      <c r="Q345" s="261"/>
      <c r="R345" s="261"/>
      <c r="S345" s="261">
        <v>3.52776</v>
      </c>
      <c r="T345" s="261"/>
      <c r="V345" s="8">
        <v>704</v>
      </c>
      <c r="W345" s="261"/>
      <c r="X345" s="261"/>
      <c r="Y345" s="261"/>
      <c r="Z345" s="261"/>
      <c r="AA345" s="261"/>
      <c r="AB345" s="261"/>
      <c r="AC345" s="261"/>
      <c r="AD345" s="261"/>
      <c r="AF345" s="8">
        <v>704</v>
      </c>
      <c r="AG345" s="261"/>
      <c r="AH345" s="261"/>
      <c r="AI345" s="261"/>
      <c r="AJ345" s="261"/>
      <c r="AK345" s="261"/>
      <c r="AL345" s="261"/>
      <c r="AM345" s="261"/>
      <c r="AO345" s="12">
        <v>704</v>
      </c>
      <c r="AP345" s="264"/>
      <c r="AQ345" s="264"/>
      <c r="AR345" s="264">
        <v>2.63134117578318</v>
      </c>
      <c r="AS345" s="264"/>
      <c r="AT345" s="264"/>
      <c r="AU345" s="264"/>
      <c r="AV345" s="264"/>
      <c r="AW345" s="264"/>
      <c r="AX345" s="264"/>
      <c r="BP345" s="272">
        <f>Inputs!B348</f>
        <v>704</v>
      </c>
      <c r="BQ345" s="272">
        <f>IF(LEFT(Inputs!$C$11,6)="photon",10^Inputs!C348,Inputs!C348)</f>
        <v>3.73745574568672</v>
      </c>
      <c r="BR345" s="272"/>
      <c r="BS345" s="272">
        <f>'Advanced Inputs'!I350</f>
        <v>704</v>
      </c>
      <c r="BT345" s="272">
        <f>IF('Advanced Inputs'!J$19="Photon system",10^'Advanced Inputs'!J350,'Advanced Inputs'!J350)</f>
        <v>0</v>
      </c>
      <c r="BV345" s="272">
        <v>704</v>
      </c>
      <c r="BW345" s="8">
        <v>200.743</v>
      </c>
      <c r="BX345" s="8">
        <v>72.7051</v>
      </c>
      <c r="CC345" s="8">
        <v>1</v>
      </c>
    </row>
    <row r="346" hidden="1" spans="8:81">
      <c r="H346" s="8">
        <v>705</v>
      </c>
      <c r="I346" s="261"/>
      <c r="J346" s="261"/>
      <c r="K346" s="261"/>
      <c r="L346" s="261"/>
      <c r="M346" s="261"/>
      <c r="N346" s="261"/>
      <c r="O346" s="261"/>
      <c r="P346" s="261"/>
      <c r="Q346" s="261"/>
      <c r="R346" s="261"/>
      <c r="S346" s="261">
        <v>4.1</v>
      </c>
      <c r="T346" s="261"/>
      <c r="V346" s="8">
        <v>705</v>
      </c>
      <c r="W346" s="261"/>
      <c r="X346" s="261"/>
      <c r="Y346" s="261"/>
      <c r="Z346" s="261"/>
      <c r="AA346" s="261"/>
      <c r="AB346" s="261"/>
      <c r="AC346" s="261"/>
      <c r="AD346" s="261"/>
      <c r="AF346" s="8">
        <v>705</v>
      </c>
      <c r="AG346" s="261"/>
      <c r="AH346" s="261"/>
      <c r="AI346" s="261"/>
      <c r="AJ346" s="261"/>
      <c r="AK346" s="261"/>
      <c r="AL346" s="261"/>
      <c r="AM346" s="261"/>
      <c r="AO346" s="12">
        <v>705</v>
      </c>
      <c r="AP346" s="264"/>
      <c r="AQ346" s="264"/>
      <c r="AR346" s="264">
        <v>2.55858773125236</v>
      </c>
      <c r="AS346" s="264"/>
      <c r="AT346" s="264"/>
      <c r="AU346" s="264"/>
      <c r="AV346" s="264"/>
      <c r="AW346" s="264"/>
      <c r="AX346" s="264"/>
      <c r="BP346" s="272">
        <f>Inputs!B349</f>
        <v>705</v>
      </c>
      <c r="BQ346" s="272">
        <f>IF(LEFT(Inputs!$C$11,6)="photon",10^Inputs!C349,Inputs!C349)</f>
        <v>3.63913775480177</v>
      </c>
      <c r="BR346" s="272"/>
      <c r="BS346" s="272">
        <f>'Advanced Inputs'!I351</f>
        <v>705</v>
      </c>
      <c r="BT346" s="272">
        <f>IF('Advanced Inputs'!J$19="Photon system",10^'Advanced Inputs'!J351,'Advanced Inputs'!J351)</f>
        <v>0</v>
      </c>
      <c r="BV346" s="272">
        <v>705</v>
      </c>
      <c r="BW346" s="8">
        <v>201.359</v>
      </c>
      <c r="BX346" s="8">
        <v>72.979</v>
      </c>
      <c r="CC346" s="8">
        <v>1</v>
      </c>
    </row>
    <row r="347" hidden="1" spans="8:81">
      <c r="H347" s="8">
        <v>706</v>
      </c>
      <c r="I347" s="261"/>
      <c r="J347" s="261"/>
      <c r="K347" s="261"/>
      <c r="L347" s="261"/>
      <c r="M347" s="261"/>
      <c r="N347" s="261"/>
      <c r="O347" s="261"/>
      <c r="P347" s="261"/>
      <c r="Q347" s="261"/>
      <c r="R347" s="261"/>
      <c r="S347" s="261">
        <v>4.60256</v>
      </c>
      <c r="T347" s="261"/>
      <c r="V347" s="8">
        <v>706</v>
      </c>
      <c r="W347" s="261"/>
      <c r="X347" s="261"/>
      <c r="Y347" s="261"/>
      <c r="Z347" s="261"/>
      <c r="AA347" s="261"/>
      <c r="AB347" s="261"/>
      <c r="AC347" s="261"/>
      <c r="AD347" s="261"/>
      <c r="AF347" s="8">
        <v>706</v>
      </c>
      <c r="AG347" s="261"/>
      <c r="AH347" s="261"/>
      <c r="AI347" s="261"/>
      <c r="AJ347" s="261"/>
      <c r="AK347" s="261"/>
      <c r="AL347" s="261"/>
      <c r="AM347" s="261"/>
      <c r="AO347" s="12">
        <v>706</v>
      </c>
      <c r="AP347" s="264"/>
      <c r="AQ347" s="264"/>
      <c r="AR347" s="264">
        <v>2.48679343586559</v>
      </c>
      <c r="AS347" s="264"/>
      <c r="AT347" s="264"/>
      <c r="AU347" s="264"/>
      <c r="AV347" s="264"/>
      <c r="AW347" s="264"/>
      <c r="AX347" s="264"/>
      <c r="BP347" s="272">
        <f>Inputs!B350</f>
        <v>706</v>
      </c>
      <c r="BQ347" s="272">
        <f>IF(LEFT(Inputs!$C$11,6)="photon",10^Inputs!C350,Inputs!C350)</f>
        <v>3.55394702848325</v>
      </c>
      <c r="BR347" s="272"/>
      <c r="BS347" s="272">
        <f>'Advanced Inputs'!I352</f>
        <v>706</v>
      </c>
      <c r="BT347" s="272">
        <f>IF('Advanced Inputs'!J$19="Photon system",10^'Advanced Inputs'!J352,'Advanced Inputs'!J352)</f>
        <v>0</v>
      </c>
      <c r="BV347" s="272">
        <v>706</v>
      </c>
      <c r="BW347" s="8">
        <v>201.972</v>
      </c>
      <c r="BX347" s="8">
        <v>73.253</v>
      </c>
      <c r="CC347" s="8">
        <v>1</v>
      </c>
    </row>
    <row r="348" hidden="1" spans="8:81">
      <c r="H348" s="8">
        <v>707</v>
      </c>
      <c r="I348" s="261"/>
      <c r="J348" s="261"/>
      <c r="K348" s="261"/>
      <c r="L348" s="261"/>
      <c r="M348" s="261"/>
      <c r="N348" s="261"/>
      <c r="O348" s="261"/>
      <c r="P348" s="261"/>
      <c r="Q348" s="261"/>
      <c r="R348" s="261"/>
      <c r="S348" s="261">
        <v>5.02808</v>
      </c>
      <c r="T348" s="261"/>
      <c r="V348" s="8">
        <v>707</v>
      </c>
      <c r="W348" s="261"/>
      <c r="X348" s="261"/>
      <c r="Y348" s="261"/>
      <c r="Z348" s="261"/>
      <c r="AA348" s="261"/>
      <c r="AB348" s="261"/>
      <c r="AC348" s="261"/>
      <c r="AD348" s="261"/>
      <c r="AF348" s="8">
        <v>707</v>
      </c>
      <c r="AG348" s="261"/>
      <c r="AH348" s="261"/>
      <c r="AI348" s="261"/>
      <c r="AJ348" s="261"/>
      <c r="AK348" s="261"/>
      <c r="AL348" s="261"/>
      <c r="AM348" s="261"/>
      <c r="AO348" s="12">
        <v>707</v>
      </c>
      <c r="AP348" s="264"/>
      <c r="AQ348" s="264"/>
      <c r="AR348" s="264">
        <v>2.41680974693241</v>
      </c>
      <c r="AS348" s="264"/>
      <c r="AT348" s="264"/>
      <c r="AU348" s="264"/>
      <c r="AV348" s="264"/>
      <c r="AW348" s="264"/>
      <c r="AX348" s="264"/>
      <c r="BP348" s="272">
        <f>Inputs!B351</f>
        <v>707</v>
      </c>
      <c r="BQ348" s="272">
        <f>IF(LEFT(Inputs!$C$11,6)="photon",10^Inputs!C351,Inputs!C351)</f>
        <v>3.46297220334354</v>
      </c>
      <c r="BR348" s="272"/>
      <c r="BS348" s="272">
        <f>'Advanced Inputs'!I353</f>
        <v>707</v>
      </c>
      <c r="BT348" s="272">
        <f>IF('Advanced Inputs'!J$19="Photon system",10^'Advanced Inputs'!J353,'Advanced Inputs'!J353)</f>
        <v>0</v>
      </c>
      <c r="BV348" s="272">
        <v>707</v>
      </c>
      <c r="BW348" s="8">
        <v>202.584</v>
      </c>
      <c r="BX348" s="8">
        <v>73.527</v>
      </c>
      <c r="CC348" s="8">
        <v>1</v>
      </c>
    </row>
    <row r="349" hidden="1" spans="8:81">
      <c r="H349" s="8">
        <v>708</v>
      </c>
      <c r="I349" s="261"/>
      <c r="J349" s="261"/>
      <c r="K349" s="261"/>
      <c r="L349" s="261"/>
      <c r="M349" s="261"/>
      <c r="N349" s="261"/>
      <c r="O349" s="261"/>
      <c r="P349" s="261"/>
      <c r="Q349" s="261"/>
      <c r="R349" s="261"/>
      <c r="S349" s="261">
        <v>5.35032</v>
      </c>
      <c r="T349" s="261"/>
      <c r="V349" s="8">
        <v>708</v>
      </c>
      <c r="W349" s="261"/>
      <c r="X349" s="261"/>
      <c r="Y349" s="261"/>
      <c r="Z349" s="261"/>
      <c r="AA349" s="261"/>
      <c r="AB349" s="261"/>
      <c r="AC349" s="261"/>
      <c r="AD349" s="261"/>
      <c r="AF349" s="8">
        <v>708</v>
      </c>
      <c r="AG349" s="261"/>
      <c r="AH349" s="261"/>
      <c r="AI349" s="261"/>
      <c r="AJ349" s="261"/>
      <c r="AK349" s="261"/>
      <c r="AL349" s="261"/>
      <c r="AM349" s="261"/>
      <c r="AO349" s="12">
        <v>708</v>
      </c>
      <c r="AP349" s="264"/>
      <c r="AQ349" s="264"/>
      <c r="AR349" s="264">
        <v>2.34830439856533</v>
      </c>
      <c r="AS349" s="264"/>
      <c r="AT349" s="264"/>
      <c r="AU349" s="264"/>
      <c r="AV349" s="264"/>
      <c r="AW349" s="264"/>
      <c r="AX349" s="264"/>
      <c r="BP349" s="272">
        <f>Inputs!B352</f>
        <v>708</v>
      </c>
      <c r="BQ349" s="272">
        <f>IF(LEFT(Inputs!$C$11,6)="photon",10^Inputs!C352,Inputs!C352)</f>
        <v>3.38035203482705</v>
      </c>
      <c r="BR349" s="272"/>
      <c r="BS349" s="272">
        <f>'Advanced Inputs'!I354</f>
        <v>708</v>
      </c>
      <c r="BT349" s="272">
        <f>IF('Advanced Inputs'!J$19="Photon system",10^'Advanced Inputs'!J354,'Advanced Inputs'!J354)</f>
        <v>0</v>
      </c>
      <c r="BV349" s="272">
        <v>708</v>
      </c>
      <c r="BW349" s="8">
        <v>203.195</v>
      </c>
      <c r="BX349" s="8">
        <v>73.801</v>
      </c>
      <c r="CC349" s="8">
        <v>1</v>
      </c>
    </row>
    <row r="350" hidden="1" spans="8:81">
      <c r="H350" s="8">
        <v>709</v>
      </c>
      <c r="I350" s="261"/>
      <c r="J350" s="261"/>
      <c r="K350" s="261"/>
      <c r="L350" s="261"/>
      <c r="M350" s="261"/>
      <c r="N350" s="261"/>
      <c r="O350" s="261"/>
      <c r="P350" s="261"/>
      <c r="Q350" s="261"/>
      <c r="R350" s="261"/>
      <c r="S350" s="261">
        <v>5.54304</v>
      </c>
      <c r="T350" s="261"/>
      <c r="V350" s="8">
        <v>709</v>
      </c>
      <c r="W350" s="261"/>
      <c r="X350" s="261"/>
      <c r="Y350" s="261"/>
      <c r="Z350" s="261"/>
      <c r="AA350" s="261"/>
      <c r="AB350" s="261"/>
      <c r="AC350" s="261"/>
      <c r="AD350" s="261"/>
      <c r="AF350" s="8">
        <v>709</v>
      </c>
      <c r="AG350" s="261"/>
      <c r="AH350" s="261"/>
      <c r="AI350" s="261"/>
      <c r="AJ350" s="261"/>
      <c r="AK350" s="261"/>
      <c r="AL350" s="261"/>
      <c r="AM350" s="261"/>
      <c r="AO350" s="12">
        <v>709</v>
      </c>
      <c r="AP350" s="264"/>
      <c r="AQ350" s="264"/>
      <c r="AR350" s="264">
        <v>2.28178160757397</v>
      </c>
      <c r="AS350" s="264"/>
      <c r="AT350" s="264"/>
      <c r="AU350" s="264"/>
      <c r="AV350" s="264"/>
      <c r="AW350" s="264"/>
      <c r="AX350" s="264"/>
      <c r="BP350" s="272">
        <f>Inputs!B353</f>
        <v>709</v>
      </c>
      <c r="BQ350" s="272">
        <f>IF(LEFT(Inputs!$C$11,6)="photon",10^Inputs!C353,Inputs!C353)</f>
        <v>3.28580677784239</v>
      </c>
      <c r="BR350" s="272"/>
      <c r="BS350" s="272">
        <f>'Advanced Inputs'!I355</f>
        <v>709</v>
      </c>
      <c r="BT350" s="272">
        <f>IF('Advanced Inputs'!J$19="Photon system",10^'Advanced Inputs'!J355,'Advanced Inputs'!J355)</f>
        <v>0</v>
      </c>
      <c r="BV350" s="272">
        <v>709</v>
      </c>
      <c r="BW350" s="8">
        <v>203.803</v>
      </c>
      <c r="BX350" s="8">
        <v>74.075</v>
      </c>
      <c r="CC350" s="8">
        <v>1</v>
      </c>
    </row>
    <row r="351" hidden="1" spans="8:81">
      <c r="H351" s="8">
        <v>710</v>
      </c>
      <c r="I351" s="261"/>
      <c r="J351" s="261"/>
      <c r="K351" s="261"/>
      <c r="L351" s="261"/>
      <c r="M351" s="261"/>
      <c r="N351" s="261"/>
      <c r="O351" s="261"/>
      <c r="P351" s="261"/>
      <c r="Q351" s="261"/>
      <c r="R351" s="261"/>
      <c r="S351" s="261">
        <v>5.58</v>
      </c>
      <c r="T351" s="261"/>
      <c r="V351" s="8">
        <v>710</v>
      </c>
      <c r="W351" s="261"/>
      <c r="X351" s="261"/>
      <c r="Y351" s="261"/>
      <c r="Z351" s="261"/>
      <c r="AA351" s="261"/>
      <c r="AB351" s="261"/>
      <c r="AC351" s="261"/>
      <c r="AD351" s="261"/>
      <c r="AF351" s="8">
        <v>710</v>
      </c>
      <c r="AG351" s="261"/>
      <c r="AH351" s="261"/>
      <c r="AI351" s="261"/>
      <c r="AJ351" s="261"/>
      <c r="AK351" s="261"/>
      <c r="AL351" s="261"/>
      <c r="AM351" s="261"/>
      <c r="AO351" s="12">
        <v>710</v>
      </c>
      <c r="AP351" s="264"/>
      <c r="AQ351" s="264"/>
      <c r="AR351" s="264">
        <v>2.21674703348078</v>
      </c>
      <c r="AS351" s="264"/>
      <c r="AT351" s="264"/>
      <c r="AU351" s="264"/>
      <c r="AV351" s="264"/>
      <c r="AW351" s="264"/>
      <c r="AX351" s="264"/>
      <c r="BP351" s="272">
        <f>Inputs!B354</f>
        <v>710</v>
      </c>
      <c r="BQ351" s="272">
        <f>IF(LEFT(Inputs!$C$11,6)="photon",10^Inputs!C354,Inputs!C354)</f>
        <v>3.20027676629493</v>
      </c>
      <c r="BR351" s="272"/>
      <c r="BS351" s="272">
        <f>'Advanced Inputs'!I356</f>
        <v>710</v>
      </c>
      <c r="BT351" s="272">
        <f>IF('Advanced Inputs'!J$19="Photon system",10^'Advanced Inputs'!J356,'Advanced Inputs'!J356)</f>
        <v>0</v>
      </c>
      <c r="BV351" s="272">
        <v>710</v>
      </c>
      <c r="BW351" s="8">
        <v>204.409</v>
      </c>
      <c r="BX351" s="8">
        <v>74.349</v>
      </c>
      <c r="CC351" s="8">
        <v>1</v>
      </c>
    </row>
    <row r="352" hidden="1" spans="8:81">
      <c r="H352" s="8">
        <v>711</v>
      </c>
      <c r="I352" s="261"/>
      <c r="J352" s="261"/>
      <c r="K352" s="261"/>
      <c r="L352" s="261"/>
      <c r="M352" s="261"/>
      <c r="N352" s="261"/>
      <c r="O352" s="261"/>
      <c r="P352" s="261"/>
      <c r="Q352" s="261"/>
      <c r="R352" s="261"/>
      <c r="S352" s="261">
        <v>5.14824</v>
      </c>
      <c r="T352" s="261"/>
      <c r="V352" s="8">
        <v>711</v>
      </c>
      <c r="W352" s="261"/>
      <c r="X352" s="261"/>
      <c r="Y352" s="261"/>
      <c r="Z352" s="261"/>
      <c r="AA352" s="261"/>
      <c r="AB352" s="261"/>
      <c r="AC352" s="261"/>
      <c r="AD352" s="261"/>
      <c r="AF352" s="8">
        <v>711</v>
      </c>
      <c r="AG352" s="261"/>
      <c r="AH352" s="261"/>
      <c r="AI352" s="261"/>
      <c r="AJ352" s="261"/>
      <c r="AK352" s="261"/>
      <c r="AL352" s="261"/>
      <c r="AM352" s="261"/>
      <c r="AO352" s="12">
        <v>711</v>
      </c>
      <c r="AP352" s="264"/>
      <c r="AQ352" s="264"/>
      <c r="AR352" s="264">
        <v>2.15314348435804</v>
      </c>
      <c r="AS352" s="264"/>
      <c r="AT352" s="264"/>
      <c r="AU352" s="264"/>
      <c r="AV352" s="264"/>
      <c r="AW352" s="264"/>
      <c r="AX352" s="264"/>
      <c r="BP352" s="272">
        <f>Inputs!B355</f>
        <v>711</v>
      </c>
      <c r="BQ352" s="272">
        <f>IF(LEFT(Inputs!$C$11,6)="photon",10^Inputs!C355,Inputs!C355)</f>
        <v>3.12685616362704</v>
      </c>
      <c r="BR352" s="272"/>
      <c r="BS352" s="272">
        <f>'Advanced Inputs'!I357</f>
        <v>711</v>
      </c>
      <c r="BT352" s="272">
        <f>IF('Advanced Inputs'!J$19="Photon system",10^'Advanced Inputs'!J357,'Advanced Inputs'!J357)</f>
        <v>0</v>
      </c>
      <c r="BV352" s="272">
        <v>711</v>
      </c>
      <c r="BW352" s="8">
        <v>205.013</v>
      </c>
      <c r="BX352" s="8">
        <v>73.0745</v>
      </c>
      <c r="CC352" s="8">
        <v>1</v>
      </c>
    </row>
    <row r="353" hidden="1" spans="8:81">
      <c r="H353" s="8">
        <v>712</v>
      </c>
      <c r="I353" s="261"/>
      <c r="J353" s="261"/>
      <c r="K353" s="261"/>
      <c r="L353" s="261"/>
      <c r="M353" s="261"/>
      <c r="N353" s="261"/>
      <c r="O353" s="261"/>
      <c r="P353" s="261"/>
      <c r="Q353" s="261"/>
      <c r="R353" s="261"/>
      <c r="S353" s="261">
        <v>4.57992</v>
      </c>
      <c r="T353" s="261"/>
      <c r="V353" s="8">
        <v>712</v>
      </c>
      <c r="W353" s="261"/>
      <c r="X353" s="261"/>
      <c r="Y353" s="261"/>
      <c r="Z353" s="261"/>
      <c r="AA353" s="261"/>
      <c r="AB353" s="261"/>
      <c r="AC353" s="261"/>
      <c r="AD353" s="261"/>
      <c r="AF353" s="8">
        <v>712</v>
      </c>
      <c r="AG353" s="261"/>
      <c r="AH353" s="261"/>
      <c r="AI353" s="261"/>
      <c r="AJ353" s="261"/>
      <c r="AK353" s="261"/>
      <c r="AL353" s="261"/>
      <c r="AM353" s="261"/>
      <c r="AO353" s="12">
        <v>712</v>
      </c>
      <c r="AP353" s="264"/>
      <c r="AQ353" s="264"/>
      <c r="AR353" s="264">
        <v>2.09160205110875</v>
      </c>
      <c r="AS353" s="264"/>
      <c r="AT353" s="264"/>
      <c r="AU353" s="264"/>
      <c r="AV353" s="264"/>
      <c r="AW353" s="264"/>
      <c r="AX353" s="264"/>
      <c r="BP353" s="272">
        <f>Inputs!B356</f>
        <v>712</v>
      </c>
      <c r="BQ353" s="272">
        <f>IF(LEFT(Inputs!$C$11,6)="photon",10^Inputs!C356,Inputs!C356)</f>
        <v>3.03839239552452</v>
      </c>
      <c r="BR353" s="272"/>
      <c r="BS353" s="272">
        <f>'Advanced Inputs'!I358</f>
        <v>712</v>
      </c>
      <c r="BT353" s="272">
        <f>IF('Advanced Inputs'!J$19="Photon system",10^'Advanced Inputs'!J358,'Advanced Inputs'!J358)</f>
        <v>0</v>
      </c>
      <c r="BV353" s="272">
        <v>712</v>
      </c>
      <c r="BW353" s="8">
        <v>205.616</v>
      </c>
      <c r="BX353" s="8">
        <v>71.8</v>
      </c>
      <c r="CC353" s="8">
        <v>1</v>
      </c>
    </row>
    <row r="354" hidden="1" spans="8:81">
      <c r="H354" s="8">
        <v>713</v>
      </c>
      <c r="I354" s="261"/>
      <c r="J354" s="261"/>
      <c r="K354" s="261"/>
      <c r="L354" s="261"/>
      <c r="M354" s="261"/>
      <c r="N354" s="261"/>
      <c r="O354" s="261"/>
      <c r="P354" s="261"/>
      <c r="Q354" s="261"/>
      <c r="R354" s="261"/>
      <c r="S354" s="261">
        <v>3.92048</v>
      </c>
      <c r="T354" s="261"/>
      <c r="V354" s="8">
        <v>713</v>
      </c>
      <c r="W354" s="261"/>
      <c r="X354" s="261"/>
      <c r="Y354" s="261"/>
      <c r="Z354" s="261"/>
      <c r="AA354" s="261"/>
      <c r="AB354" s="261"/>
      <c r="AC354" s="261"/>
      <c r="AD354" s="261"/>
      <c r="AF354" s="8">
        <v>713</v>
      </c>
      <c r="AG354" s="261"/>
      <c r="AH354" s="261"/>
      <c r="AI354" s="261"/>
      <c r="AJ354" s="261"/>
      <c r="AK354" s="261"/>
      <c r="AL354" s="261"/>
      <c r="AM354" s="261"/>
      <c r="AO354" s="12">
        <v>713</v>
      </c>
      <c r="AP354" s="264"/>
      <c r="AQ354" s="264"/>
      <c r="AR354" s="264">
        <v>2.0312821220972</v>
      </c>
      <c r="AS354" s="264"/>
      <c r="AT354" s="264"/>
      <c r="AU354" s="264"/>
      <c r="AV354" s="264"/>
      <c r="AW354" s="264"/>
      <c r="AX354" s="264"/>
      <c r="BP354" s="272">
        <f>Inputs!B357</f>
        <v>713</v>
      </c>
      <c r="BQ354" s="272">
        <f>IF(LEFT(Inputs!$C$11,6)="photon",10^Inputs!C357,Inputs!C357)</f>
        <v>2.96532776094337</v>
      </c>
      <c r="BR354" s="272"/>
      <c r="BS354" s="272">
        <f>'Advanced Inputs'!I359</f>
        <v>713</v>
      </c>
      <c r="BT354" s="272">
        <f>IF('Advanced Inputs'!J$19="Photon system",10^'Advanced Inputs'!J359,'Advanced Inputs'!J359)</f>
        <v>0</v>
      </c>
      <c r="BV354" s="272">
        <v>713</v>
      </c>
      <c r="BW354" s="8">
        <v>206.216</v>
      </c>
      <c r="BX354" s="8">
        <v>70.5255</v>
      </c>
      <c r="CC354" s="8">
        <v>1</v>
      </c>
    </row>
    <row r="355" hidden="1" spans="8:81">
      <c r="H355" s="8">
        <v>714</v>
      </c>
      <c r="I355" s="261"/>
      <c r="J355" s="261"/>
      <c r="K355" s="261"/>
      <c r="L355" s="261"/>
      <c r="M355" s="261"/>
      <c r="N355" s="261"/>
      <c r="O355" s="261"/>
      <c r="P355" s="261"/>
      <c r="Q355" s="261"/>
      <c r="R355" s="261"/>
      <c r="S355" s="261">
        <v>3.21536</v>
      </c>
      <c r="T355" s="261"/>
      <c r="V355" s="8">
        <v>714</v>
      </c>
      <c r="W355" s="261"/>
      <c r="X355" s="261"/>
      <c r="Y355" s="261"/>
      <c r="Z355" s="261"/>
      <c r="AA355" s="261"/>
      <c r="AB355" s="261"/>
      <c r="AC355" s="261"/>
      <c r="AD355" s="261"/>
      <c r="AF355" s="8">
        <v>714</v>
      </c>
      <c r="AG355" s="261"/>
      <c r="AH355" s="261"/>
      <c r="AI355" s="261"/>
      <c r="AJ355" s="261"/>
      <c r="AK355" s="261"/>
      <c r="AL355" s="261"/>
      <c r="AM355" s="261"/>
      <c r="AO355" s="12">
        <v>714</v>
      </c>
      <c r="AP355" s="264"/>
      <c r="AQ355" s="264"/>
      <c r="AR355" s="264">
        <v>1.97249656318601</v>
      </c>
      <c r="AS355" s="264"/>
      <c r="AT355" s="264"/>
      <c r="AU355" s="264"/>
      <c r="AV355" s="264"/>
      <c r="AW355" s="264"/>
      <c r="AX355" s="264"/>
      <c r="BP355" s="272">
        <f>Inputs!B358</f>
        <v>714</v>
      </c>
      <c r="BQ355" s="272">
        <f>IF(LEFT(Inputs!$C$11,6)="photon",10^Inputs!C358,Inputs!C358)</f>
        <v>2.89835184591064</v>
      </c>
      <c r="BR355" s="272"/>
      <c r="BS355" s="272">
        <f>'Advanced Inputs'!I360</f>
        <v>714</v>
      </c>
      <c r="BT355" s="272">
        <f>IF('Advanced Inputs'!J$19="Photon system",10^'Advanced Inputs'!J360,'Advanced Inputs'!J360)</f>
        <v>0</v>
      </c>
      <c r="BV355" s="272">
        <v>714</v>
      </c>
      <c r="BW355" s="8">
        <v>206.815</v>
      </c>
      <c r="BX355" s="8">
        <v>69.251</v>
      </c>
      <c r="CC355" s="8">
        <v>1</v>
      </c>
    </row>
    <row r="356" hidden="1" spans="8:81">
      <c r="H356" s="8">
        <v>715</v>
      </c>
      <c r="I356" s="261"/>
      <c r="J356" s="261"/>
      <c r="K356" s="261"/>
      <c r="L356" s="261"/>
      <c r="M356" s="261"/>
      <c r="N356" s="261"/>
      <c r="O356" s="261"/>
      <c r="P356" s="261"/>
      <c r="Q356" s="261"/>
      <c r="R356" s="261"/>
      <c r="S356" s="261">
        <v>2.51</v>
      </c>
      <c r="T356" s="261"/>
      <c r="V356" s="8">
        <v>715</v>
      </c>
      <c r="W356" s="261"/>
      <c r="X356" s="261"/>
      <c r="Y356" s="261"/>
      <c r="Z356" s="261"/>
      <c r="AA356" s="261"/>
      <c r="AB356" s="261"/>
      <c r="AC356" s="261"/>
      <c r="AD356" s="261"/>
      <c r="AF356" s="8">
        <v>715</v>
      </c>
      <c r="AG356" s="261"/>
      <c r="AH356" s="261"/>
      <c r="AI356" s="261"/>
      <c r="AJ356" s="261"/>
      <c r="AK356" s="261"/>
      <c r="AL356" s="261"/>
      <c r="AM356" s="261"/>
      <c r="AO356" s="12">
        <v>715</v>
      </c>
      <c r="AP356" s="264"/>
      <c r="AQ356" s="264"/>
      <c r="AR356" s="264">
        <v>1.91551419054902</v>
      </c>
      <c r="AS356" s="264"/>
      <c r="AT356" s="264"/>
      <c r="AU356" s="264"/>
      <c r="AV356" s="264"/>
      <c r="AW356" s="264"/>
      <c r="AX356" s="264"/>
      <c r="BP356" s="272">
        <f>Inputs!B359</f>
        <v>715</v>
      </c>
      <c r="BQ356" s="272">
        <f>IF(LEFT(Inputs!$C$11,6)="photon",10^Inputs!C359,Inputs!C359)</f>
        <v>2.81353420346535</v>
      </c>
      <c r="BR356" s="272"/>
      <c r="BS356" s="272">
        <f>'Advanced Inputs'!I361</f>
        <v>715</v>
      </c>
      <c r="BT356" s="272">
        <f>IF('Advanced Inputs'!J$19="Photon system",10^'Advanced Inputs'!J361,'Advanced Inputs'!J361)</f>
        <v>0</v>
      </c>
      <c r="BV356" s="272">
        <v>715</v>
      </c>
      <c r="BW356" s="8">
        <v>207.411</v>
      </c>
      <c r="BX356" s="8">
        <v>67.9765</v>
      </c>
      <c r="CC356" s="8">
        <v>1</v>
      </c>
    </row>
    <row r="357" hidden="1" spans="8:81">
      <c r="H357" s="8">
        <v>716</v>
      </c>
      <c r="I357" s="261"/>
      <c r="J357" s="261"/>
      <c r="K357" s="261"/>
      <c r="L357" s="261"/>
      <c r="M357" s="261"/>
      <c r="N357" s="261"/>
      <c r="O357" s="261"/>
      <c r="P357" s="261"/>
      <c r="Q357" s="261"/>
      <c r="R357" s="261"/>
      <c r="S357" s="261">
        <v>2.01528</v>
      </c>
      <c r="T357" s="261"/>
      <c r="V357" s="8">
        <v>716</v>
      </c>
      <c r="W357" s="261"/>
      <c r="X357" s="261"/>
      <c r="Y357" s="261"/>
      <c r="Z357" s="261"/>
      <c r="AA357" s="261"/>
      <c r="AB357" s="261"/>
      <c r="AC357" s="261"/>
      <c r="AD357" s="261"/>
      <c r="AF357" s="8">
        <v>716</v>
      </c>
      <c r="AG357" s="261"/>
      <c r="AH357" s="261"/>
      <c r="AI357" s="261"/>
      <c r="AJ357" s="261"/>
      <c r="AK357" s="261"/>
      <c r="AL357" s="261"/>
      <c r="AM357" s="261"/>
      <c r="AO357" s="12">
        <v>716</v>
      </c>
      <c r="AP357" s="264"/>
      <c r="AQ357" s="264"/>
      <c r="AR357" s="264">
        <v>1.86015270452563</v>
      </c>
      <c r="AS357" s="264"/>
      <c r="AT357" s="264"/>
      <c r="AU357" s="264"/>
      <c r="AV357" s="264"/>
      <c r="AW357" s="264"/>
      <c r="AX357" s="264"/>
      <c r="BP357" s="272">
        <f>Inputs!B360</f>
        <v>716</v>
      </c>
      <c r="BQ357" s="272">
        <f>IF(LEFT(Inputs!$C$11,6)="photon",10^Inputs!C360,Inputs!C360)</f>
        <v>2.74879722460072</v>
      </c>
      <c r="BR357" s="272"/>
      <c r="BS357" s="272">
        <f>'Advanced Inputs'!I362</f>
        <v>716</v>
      </c>
      <c r="BT357" s="272">
        <f>IF('Advanced Inputs'!J$19="Photon system",10^'Advanced Inputs'!J362,'Advanced Inputs'!J362)</f>
        <v>0</v>
      </c>
      <c r="BV357" s="272">
        <v>716</v>
      </c>
      <c r="BW357" s="8">
        <v>208.006</v>
      </c>
      <c r="BX357" s="8">
        <v>66.702</v>
      </c>
      <c r="CC357" s="8">
        <v>1</v>
      </c>
    </row>
    <row r="358" hidden="1" spans="8:81">
      <c r="H358" s="8">
        <v>717</v>
      </c>
      <c r="I358" s="261"/>
      <c r="J358" s="261"/>
      <c r="K358" s="261"/>
      <c r="L358" s="261"/>
      <c r="M358" s="261"/>
      <c r="N358" s="261"/>
      <c r="O358" s="261"/>
      <c r="P358" s="261"/>
      <c r="Q358" s="261"/>
      <c r="R358" s="261"/>
      <c r="S358" s="261">
        <v>1.56984</v>
      </c>
      <c r="T358" s="261"/>
      <c r="V358" s="8">
        <v>717</v>
      </c>
      <c r="W358" s="261"/>
      <c r="X358" s="261"/>
      <c r="Y358" s="261"/>
      <c r="Z358" s="261"/>
      <c r="AA358" s="261"/>
      <c r="AB358" s="261"/>
      <c r="AC358" s="261"/>
      <c r="AD358" s="261"/>
      <c r="AF358" s="8">
        <v>717</v>
      </c>
      <c r="AG358" s="261"/>
      <c r="AH358" s="261"/>
      <c r="AI358" s="261"/>
      <c r="AJ358" s="261"/>
      <c r="AK358" s="261"/>
      <c r="AL358" s="261"/>
      <c r="AM358" s="261"/>
      <c r="AO358" s="12">
        <v>717</v>
      </c>
      <c r="AP358" s="264"/>
      <c r="AQ358" s="264"/>
      <c r="AR358" s="264">
        <v>1.8058580491381</v>
      </c>
      <c r="AS358" s="264"/>
      <c r="AT358" s="264"/>
      <c r="AU358" s="264"/>
      <c r="AV358" s="264"/>
      <c r="AW358" s="264"/>
      <c r="AX358" s="264"/>
      <c r="BP358" s="272">
        <f>Inputs!B361</f>
        <v>717</v>
      </c>
      <c r="BQ358" s="272">
        <f>IF(LEFT(Inputs!$C$11,6)="photon",10^Inputs!C361,Inputs!C361)</f>
        <v>2.67276503482023</v>
      </c>
      <c r="BR358" s="272"/>
      <c r="BS358" s="272">
        <f>'Advanced Inputs'!I363</f>
        <v>717</v>
      </c>
      <c r="BT358" s="272">
        <f>IF('Advanced Inputs'!J$19="Photon system",10^'Advanced Inputs'!J363,'Advanced Inputs'!J363)</f>
        <v>0</v>
      </c>
      <c r="BV358" s="272">
        <v>717</v>
      </c>
      <c r="BW358" s="8">
        <v>208.599</v>
      </c>
      <c r="BX358" s="8">
        <v>65.4275</v>
      </c>
      <c r="CC358" s="8">
        <v>1</v>
      </c>
    </row>
    <row r="359" hidden="1" spans="8:81">
      <c r="H359" s="8">
        <v>718</v>
      </c>
      <c r="I359" s="261"/>
      <c r="J359" s="261"/>
      <c r="K359" s="261"/>
      <c r="L359" s="261"/>
      <c r="M359" s="261"/>
      <c r="N359" s="261"/>
      <c r="O359" s="261"/>
      <c r="P359" s="261"/>
      <c r="Q359" s="261"/>
      <c r="R359" s="261"/>
      <c r="S359" s="261">
        <v>1.17776</v>
      </c>
      <c r="T359" s="261"/>
      <c r="V359" s="8">
        <v>718</v>
      </c>
      <c r="W359" s="261"/>
      <c r="X359" s="261"/>
      <c r="Y359" s="261"/>
      <c r="Z359" s="261"/>
      <c r="AA359" s="261"/>
      <c r="AB359" s="261"/>
      <c r="AC359" s="261"/>
      <c r="AD359" s="261"/>
      <c r="AF359" s="8">
        <v>718</v>
      </c>
      <c r="AG359" s="261"/>
      <c r="AH359" s="261"/>
      <c r="AI359" s="261"/>
      <c r="AJ359" s="261"/>
      <c r="AK359" s="261"/>
      <c r="AL359" s="261"/>
      <c r="AM359" s="261"/>
      <c r="AO359" s="12">
        <v>718</v>
      </c>
      <c r="AP359" s="264"/>
      <c r="AQ359" s="264"/>
      <c r="AR359" s="264">
        <v>1.75306007312215</v>
      </c>
      <c r="AS359" s="264"/>
      <c r="AT359" s="264"/>
      <c r="AU359" s="264"/>
      <c r="AV359" s="264"/>
      <c r="AW359" s="264"/>
      <c r="AX359" s="264"/>
      <c r="BP359" s="272">
        <f>Inputs!B362</f>
        <v>718</v>
      </c>
      <c r="BQ359" s="272">
        <f>IF(LEFT(Inputs!$C$11,6)="photon",10^Inputs!C362,Inputs!C362)</f>
        <v>2.60587426579128</v>
      </c>
      <c r="BR359" s="272"/>
      <c r="BS359" s="272">
        <f>'Advanced Inputs'!I364</f>
        <v>718</v>
      </c>
      <c r="BT359" s="272">
        <f>IF('Advanced Inputs'!J$19="Photon system",10^'Advanced Inputs'!J364,'Advanced Inputs'!J364)</f>
        <v>0</v>
      </c>
      <c r="BV359" s="272">
        <v>718</v>
      </c>
      <c r="BW359" s="8">
        <v>209.189</v>
      </c>
      <c r="BX359" s="8">
        <v>64.153</v>
      </c>
      <c r="CC359" s="8">
        <v>1</v>
      </c>
    </row>
    <row r="360" hidden="1" spans="8:81">
      <c r="H360" s="8">
        <v>719</v>
      </c>
      <c r="I360" s="261"/>
      <c r="J360" s="261"/>
      <c r="K360" s="261"/>
      <c r="L360" s="261"/>
      <c r="M360" s="261"/>
      <c r="N360" s="261"/>
      <c r="O360" s="261"/>
      <c r="P360" s="261"/>
      <c r="Q360" s="261"/>
      <c r="R360" s="261"/>
      <c r="S360" s="261">
        <v>0.84312</v>
      </c>
      <c r="T360" s="261"/>
      <c r="V360" s="8">
        <v>719</v>
      </c>
      <c r="W360" s="261"/>
      <c r="X360" s="261"/>
      <c r="Y360" s="261"/>
      <c r="Z360" s="261"/>
      <c r="AA360" s="261"/>
      <c r="AB360" s="261"/>
      <c r="AC360" s="261"/>
      <c r="AD360" s="261"/>
      <c r="AF360" s="8">
        <v>719</v>
      </c>
      <c r="AG360" s="261"/>
      <c r="AH360" s="261"/>
      <c r="AI360" s="261"/>
      <c r="AJ360" s="261"/>
      <c r="AK360" s="261"/>
      <c r="AL360" s="261"/>
      <c r="AM360" s="261"/>
      <c r="AO360" s="12">
        <v>719</v>
      </c>
      <c r="AP360" s="264"/>
      <c r="AQ360" s="264"/>
      <c r="AR360" s="264">
        <v>1.70177432872007</v>
      </c>
      <c r="AS360" s="264"/>
      <c r="AT360" s="264"/>
      <c r="AU360" s="264"/>
      <c r="AV360" s="264"/>
      <c r="AW360" s="264"/>
      <c r="AX360" s="264"/>
      <c r="BP360" s="272">
        <f>Inputs!B363</f>
        <v>719</v>
      </c>
      <c r="BQ360" s="272">
        <f>IF(LEFT(Inputs!$C$11,6)="photon",10^Inputs!C363,Inputs!C363)</f>
        <v>2.53367474360464</v>
      </c>
      <c r="BR360" s="272"/>
      <c r="BS360" s="272">
        <f>'Advanced Inputs'!I365</f>
        <v>719</v>
      </c>
      <c r="BT360" s="272">
        <f>IF('Advanced Inputs'!J$19="Photon system",10^'Advanced Inputs'!J365,'Advanced Inputs'!J365)</f>
        <v>0</v>
      </c>
      <c r="BV360" s="272">
        <v>719</v>
      </c>
      <c r="BW360" s="8">
        <v>209.778</v>
      </c>
      <c r="BX360" s="8">
        <v>62.8785</v>
      </c>
      <c r="CC360" s="8">
        <v>1</v>
      </c>
    </row>
    <row r="361" hidden="1" spans="8:81">
      <c r="H361" s="8">
        <v>720</v>
      </c>
      <c r="I361" s="261"/>
      <c r="J361" s="261"/>
      <c r="K361" s="261"/>
      <c r="L361" s="261"/>
      <c r="M361" s="261"/>
      <c r="N361" s="261"/>
      <c r="O361" s="261"/>
      <c r="P361" s="261"/>
      <c r="Q361" s="261"/>
      <c r="R361" s="261"/>
      <c r="S361" s="261">
        <v>0.57</v>
      </c>
      <c r="T361" s="261"/>
      <c r="V361" s="8">
        <v>720</v>
      </c>
      <c r="W361" s="261"/>
      <c r="X361" s="261"/>
      <c r="Y361" s="261"/>
      <c r="Z361" s="261"/>
      <c r="AA361" s="261"/>
      <c r="AB361" s="261"/>
      <c r="AC361" s="261"/>
      <c r="AD361" s="261"/>
      <c r="AF361" s="8">
        <v>720</v>
      </c>
      <c r="AG361" s="261"/>
      <c r="AH361" s="261"/>
      <c r="AI361" s="261"/>
      <c r="AJ361" s="261"/>
      <c r="AK361" s="261"/>
      <c r="AL361" s="261"/>
      <c r="AM361" s="261"/>
      <c r="AO361" s="12">
        <v>720</v>
      </c>
      <c r="AP361" s="264"/>
      <c r="AQ361" s="264"/>
      <c r="AR361" s="264">
        <v>1.65199858960736</v>
      </c>
      <c r="AS361" s="264"/>
      <c r="AT361" s="264"/>
      <c r="AU361" s="264"/>
      <c r="AV361" s="264"/>
      <c r="AW361" s="264"/>
      <c r="AX361" s="264"/>
      <c r="BP361" s="272">
        <f>Inputs!B364</f>
        <v>720</v>
      </c>
      <c r="BQ361" s="272">
        <f>IF(LEFT(Inputs!$C$11,6)="photon",10^Inputs!C364,Inputs!C364)</f>
        <v>2.47210941059116</v>
      </c>
      <c r="BR361" s="272"/>
      <c r="BS361" s="272">
        <f>'Advanced Inputs'!I366</f>
        <v>720</v>
      </c>
      <c r="BT361" s="272">
        <f>IF('Advanced Inputs'!J$19="Photon system",10^'Advanced Inputs'!J366,'Advanced Inputs'!J366)</f>
        <v>0</v>
      </c>
      <c r="BV361" s="272">
        <v>720</v>
      </c>
      <c r="BW361" s="8">
        <v>210.365</v>
      </c>
      <c r="BX361" s="8">
        <v>61.604</v>
      </c>
      <c r="CC361" s="8">
        <v>1</v>
      </c>
    </row>
    <row r="362" hidden="1" spans="8:81">
      <c r="H362" s="8">
        <v>721</v>
      </c>
      <c r="I362" s="261"/>
      <c r="J362" s="261"/>
      <c r="K362" s="261"/>
      <c r="L362" s="261"/>
      <c r="M362" s="261"/>
      <c r="N362" s="261"/>
      <c r="O362" s="261"/>
      <c r="P362" s="261"/>
      <c r="Q362" s="261"/>
      <c r="R362" s="261"/>
      <c r="S362" s="261">
        <v>0.42296</v>
      </c>
      <c r="T362" s="261"/>
      <c r="V362" s="8">
        <v>721</v>
      </c>
      <c r="W362" s="261"/>
      <c r="X362" s="261"/>
      <c r="Y362" s="261"/>
      <c r="Z362" s="261"/>
      <c r="AA362" s="261"/>
      <c r="AB362" s="261"/>
      <c r="AC362" s="261"/>
      <c r="AD362" s="261"/>
      <c r="AF362" s="8">
        <v>721</v>
      </c>
      <c r="AG362" s="261"/>
      <c r="AH362" s="261"/>
      <c r="AI362" s="261"/>
      <c r="AJ362" s="261"/>
      <c r="AK362" s="261"/>
      <c r="AL362" s="261"/>
      <c r="AM362" s="261"/>
      <c r="AO362" s="12">
        <v>721</v>
      </c>
      <c r="AP362" s="264"/>
      <c r="AQ362" s="264"/>
      <c r="AR362" s="264">
        <v>1.60401658216236</v>
      </c>
      <c r="AS362" s="264"/>
      <c r="AT362" s="264"/>
      <c r="AU362" s="264"/>
      <c r="AV362" s="264"/>
      <c r="AW362" s="264"/>
      <c r="AX362" s="264"/>
      <c r="BP362" s="272">
        <f>Inputs!B365</f>
        <v>721</v>
      </c>
      <c r="BQ362" s="272">
        <f>IF(LEFT(Inputs!$C$11,6)="photon",10^Inputs!C365,Inputs!C365)</f>
        <v>2.40513392848715</v>
      </c>
      <c r="BR362" s="272"/>
      <c r="BS362" s="272">
        <f>'Advanced Inputs'!I367</f>
        <v>721</v>
      </c>
      <c r="BT362" s="272">
        <f>IF('Advanced Inputs'!J$19="Photon system",10^'Advanced Inputs'!J367,'Advanced Inputs'!J367)</f>
        <v>0</v>
      </c>
      <c r="BV362" s="272">
        <v>721</v>
      </c>
      <c r="BW362" s="8">
        <v>210.949</v>
      </c>
      <c r="BX362" s="8">
        <v>62.4322</v>
      </c>
      <c r="CC362" s="8">
        <v>1</v>
      </c>
    </row>
    <row r="363" hidden="1" spans="8:81">
      <c r="H363" s="8">
        <v>722</v>
      </c>
      <c r="I363" s="261"/>
      <c r="J363" s="261"/>
      <c r="K363" s="261"/>
      <c r="L363" s="261"/>
      <c r="M363" s="261"/>
      <c r="N363" s="261"/>
      <c r="O363" s="261"/>
      <c r="P363" s="261"/>
      <c r="Q363" s="261"/>
      <c r="R363" s="261"/>
      <c r="S363" s="261">
        <v>0.33048</v>
      </c>
      <c r="T363" s="261"/>
      <c r="V363" s="8">
        <v>722</v>
      </c>
      <c r="W363" s="261"/>
      <c r="X363" s="261"/>
      <c r="Y363" s="261"/>
      <c r="Z363" s="261"/>
      <c r="AA363" s="261"/>
      <c r="AB363" s="261"/>
      <c r="AC363" s="261"/>
      <c r="AD363" s="261"/>
      <c r="AF363" s="8">
        <v>722</v>
      </c>
      <c r="AG363" s="261"/>
      <c r="AH363" s="261"/>
      <c r="AI363" s="261"/>
      <c r="AJ363" s="261"/>
      <c r="AK363" s="261"/>
      <c r="AL363" s="261"/>
      <c r="AM363" s="261"/>
      <c r="AO363" s="12">
        <v>722</v>
      </c>
      <c r="AP363" s="264"/>
      <c r="AQ363" s="264"/>
      <c r="AR363" s="264">
        <v>1.55725512541386</v>
      </c>
      <c r="AS363" s="264"/>
      <c r="AT363" s="264"/>
      <c r="AU363" s="264"/>
      <c r="AV363" s="264"/>
      <c r="AW363" s="264"/>
      <c r="AX363" s="264"/>
      <c r="BP363" s="272">
        <f>Inputs!B366</f>
        <v>722</v>
      </c>
      <c r="BQ363" s="272">
        <f>IF(LEFT(Inputs!$C$11,6)="photon",10^Inputs!C366,Inputs!C366)</f>
        <v>2.34171985896532</v>
      </c>
      <c r="BR363" s="272"/>
      <c r="BS363" s="272">
        <f>'Advanced Inputs'!I368</f>
        <v>722</v>
      </c>
      <c r="BT363" s="272">
        <f>IF('Advanced Inputs'!J$19="Photon system",10^'Advanced Inputs'!J368,'Advanced Inputs'!J368)</f>
        <v>0</v>
      </c>
      <c r="BV363" s="272">
        <v>722</v>
      </c>
      <c r="BW363" s="8">
        <v>211.532</v>
      </c>
      <c r="BX363" s="8">
        <v>63.2603</v>
      </c>
      <c r="CC363" s="8">
        <v>1</v>
      </c>
    </row>
    <row r="364" hidden="1" spans="8:81">
      <c r="H364" s="8">
        <v>723</v>
      </c>
      <c r="I364" s="261"/>
      <c r="J364" s="261"/>
      <c r="K364" s="261"/>
      <c r="L364" s="261"/>
      <c r="M364" s="261"/>
      <c r="N364" s="261"/>
      <c r="O364" s="261"/>
      <c r="P364" s="261"/>
      <c r="Q364" s="261"/>
      <c r="R364" s="261"/>
      <c r="S364" s="261">
        <v>0.28152</v>
      </c>
      <c r="T364" s="261"/>
      <c r="V364" s="8">
        <v>723</v>
      </c>
      <c r="W364" s="261"/>
      <c r="X364" s="261"/>
      <c r="Y364" s="261"/>
      <c r="Z364" s="261"/>
      <c r="AA364" s="261"/>
      <c r="AB364" s="261"/>
      <c r="AC364" s="261"/>
      <c r="AD364" s="261"/>
      <c r="AF364" s="8">
        <v>723</v>
      </c>
      <c r="AG364" s="261"/>
      <c r="AH364" s="261"/>
      <c r="AI364" s="261"/>
      <c r="AJ364" s="261"/>
      <c r="AK364" s="261"/>
      <c r="AL364" s="261"/>
      <c r="AM364" s="261"/>
      <c r="AO364" s="12">
        <v>723</v>
      </c>
      <c r="AP364" s="264"/>
      <c r="AQ364" s="264"/>
      <c r="AR364" s="264">
        <v>1.51233845816018</v>
      </c>
      <c r="AS364" s="264"/>
      <c r="AT364" s="264"/>
      <c r="AU364" s="264"/>
      <c r="AV364" s="264"/>
      <c r="AW364" s="264"/>
      <c r="AX364" s="264"/>
      <c r="BP364" s="272">
        <f>Inputs!B367</f>
        <v>723</v>
      </c>
      <c r="BQ364" s="272">
        <f>IF(LEFT(Inputs!$C$11,6)="photon",10^Inputs!C367,Inputs!C367)</f>
        <v>2.27677965530628</v>
      </c>
      <c r="BR364" s="272"/>
      <c r="BS364" s="272">
        <f>'Advanced Inputs'!I369</f>
        <v>723</v>
      </c>
      <c r="BT364" s="272">
        <f>IF('Advanced Inputs'!J$19="Photon system",10^'Advanced Inputs'!J369,'Advanced Inputs'!J369)</f>
        <v>0</v>
      </c>
      <c r="BV364" s="272">
        <v>723</v>
      </c>
      <c r="BW364" s="8">
        <v>212.112</v>
      </c>
      <c r="BX364" s="8">
        <v>64.0885</v>
      </c>
      <c r="CC364" s="8">
        <v>1</v>
      </c>
    </row>
    <row r="365" hidden="1" spans="8:81">
      <c r="H365" s="8">
        <v>724</v>
      </c>
      <c r="I365" s="261"/>
      <c r="J365" s="261"/>
      <c r="K365" s="261"/>
      <c r="L365" s="261"/>
      <c r="M365" s="261"/>
      <c r="N365" s="261"/>
      <c r="O365" s="261"/>
      <c r="P365" s="261"/>
      <c r="Q365" s="261"/>
      <c r="R365" s="261"/>
      <c r="S365" s="261">
        <v>0.26504</v>
      </c>
      <c r="T365" s="261"/>
      <c r="V365" s="8">
        <v>724</v>
      </c>
      <c r="W365" s="261"/>
      <c r="X365" s="261"/>
      <c r="Y365" s="261"/>
      <c r="Z365" s="261"/>
      <c r="AA365" s="261"/>
      <c r="AB365" s="261"/>
      <c r="AC365" s="261"/>
      <c r="AD365" s="261"/>
      <c r="AF365" s="8">
        <v>724</v>
      </c>
      <c r="AG365" s="261"/>
      <c r="AH365" s="261"/>
      <c r="AI365" s="261"/>
      <c r="AJ365" s="261"/>
      <c r="AK365" s="261"/>
      <c r="AL365" s="261"/>
      <c r="AM365" s="261"/>
      <c r="AO365" s="12">
        <v>724</v>
      </c>
      <c r="AP365" s="264"/>
      <c r="AQ365" s="264"/>
      <c r="AR365" s="264">
        <v>1.46873622295533</v>
      </c>
      <c r="AS365" s="264"/>
      <c r="AT365" s="264"/>
      <c r="AU365" s="264"/>
      <c r="AV365" s="264"/>
      <c r="AW365" s="264"/>
      <c r="AX365" s="264"/>
      <c r="BP365" s="272">
        <f>Inputs!B368</f>
        <v>724</v>
      </c>
      <c r="BQ365" s="272">
        <f>IF(LEFT(Inputs!$C$11,6)="photon",10^Inputs!C368,Inputs!C368)</f>
        <v>2.21772451347257</v>
      </c>
      <c r="BR365" s="272"/>
      <c r="BS365" s="272">
        <f>'Advanced Inputs'!I370</f>
        <v>724</v>
      </c>
      <c r="BT365" s="272">
        <f>IF('Advanced Inputs'!J$19="Photon system",10^'Advanced Inputs'!J370,'Advanced Inputs'!J370)</f>
        <v>0</v>
      </c>
      <c r="BV365" s="272">
        <v>724</v>
      </c>
      <c r="BW365" s="8">
        <v>212.691</v>
      </c>
      <c r="BX365" s="8">
        <v>64.9166</v>
      </c>
      <c r="CC365" s="8">
        <v>1</v>
      </c>
    </row>
    <row r="366" hidden="1" spans="8:81">
      <c r="H366" s="8">
        <v>725</v>
      </c>
      <c r="I366" s="261"/>
      <c r="J366" s="261"/>
      <c r="K366" s="261"/>
      <c r="L366" s="261"/>
      <c r="M366" s="261"/>
      <c r="N366" s="261"/>
      <c r="O366" s="261"/>
      <c r="P366" s="261"/>
      <c r="Q366" s="261"/>
      <c r="R366" s="261"/>
      <c r="S366" s="261">
        <v>0.27</v>
      </c>
      <c r="T366" s="261"/>
      <c r="V366" s="8">
        <v>725</v>
      </c>
      <c r="W366" s="261"/>
      <c r="X366" s="261"/>
      <c r="Y366" s="261"/>
      <c r="Z366" s="261"/>
      <c r="AA366" s="261"/>
      <c r="AB366" s="261"/>
      <c r="AC366" s="261"/>
      <c r="AD366" s="261"/>
      <c r="AF366" s="8">
        <v>725</v>
      </c>
      <c r="AG366" s="261"/>
      <c r="AH366" s="261"/>
      <c r="AI366" s="261"/>
      <c r="AJ366" s="261"/>
      <c r="AK366" s="261"/>
      <c r="AL366" s="261"/>
      <c r="AM366" s="261"/>
      <c r="AO366" s="12">
        <v>725</v>
      </c>
      <c r="AP366" s="264"/>
      <c r="AQ366" s="264"/>
      <c r="AR366" s="264">
        <v>1.42637775988433</v>
      </c>
      <c r="AS366" s="264"/>
      <c r="AT366" s="264"/>
      <c r="AU366" s="264"/>
      <c r="AV366" s="264"/>
      <c r="AW366" s="264"/>
      <c r="AX366" s="264"/>
      <c r="BP366" s="272">
        <f>Inputs!B369</f>
        <v>725</v>
      </c>
      <c r="BQ366" s="272">
        <f>IF(LEFT(Inputs!$C$11,6)="photon",10^Inputs!C369,Inputs!C369)</f>
        <v>2.16995070843166</v>
      </c>
      <c r="BR366" s="272"/>
      <c r="BS366" s="272">
        <f>'Advanced Inputs'!I371</f>
        <v>725</v>
      </c>
      <c r="BT366" s="272">
        <f>IF('Advanced Inputs'!J$19="Photon system",10^'Advanced Inputs'!J371,'Advanced Inputs'!J371)</f>
        <v>0</v>
      </c>
      <c r="BV366" s="272">
        <v>725</v>
      </c>
      <c r="BW366" s="8">
        <v>213.268</v>
      </c>
      <c r="BX366" s="8">
        <v>65.7448</v>
      </c>
      <c r="CC366" s="8">
        <v>1</v>
      </c>
    </row>
    <row r="367" hidden="1" spans="8:81">
      <c r="H367" s="8">
        <v>726</v>
      </c>
      <c r="I367" s="261"/>
      <c r="J367" s="261"/>
      <c r="K367" s="261"/>
      <c r="L367" s="261"/>
      <c r="M367" s="261"/>
      <c r="N367" s="261"/>
      <c r="O367" s="261"/>
      <c r="P367" s="261"/>
      <c r="Q367" s="261"/>
      <c r="R367" s="261"/>
      <c r="S367" s="261">
        <v>0.24888</v>
      </c>
      <c r="T367" s="261"/>
      <c r="V367" s="8">
        <v>726</v>
      </c>
      <c r="W367" s="261"/>
      <c r="X367" s="261"/>
      <c r="Y367" s="261"/>
      <c r="Z367" s="261"/>
      <c r="AA367" s="261"/>
      <c r="AB367" s="261"/>
      <c r="AC367" s="261"/>
      <c r="AD367" s="261"/>
      <c r="AF367" s="8">
        <v>726</v>
      </c>
      <c r="AG367" s="261"/>
      <c r="AH367" s="261"/>
      <c r="AI367" s="261"/>
      <c r="AJ367" s="261"/>
      <c r="AK367" s="261"/>
      <c r="AL367" s="261"/>
      <c r="AM367" s="261"/>
      <c r="AO367" s="12">
        <v>726</v>
      </c>
      <c r="AP367" s="264"/>
      <c r="AQ367" s="264"/>
      <c r="AR367" s="264">
        <v>1.38475999411859</v>
      </c>
      <c r="AS367" s="264"/>
      <c r="AT367" s="264"/>
      <c r="AU367" s="264"/>
      <c r="AV367" s="264"/>
      <c r="AW367" s="264"/>
      <c r="AX367" s="264"/>
      <c r="BP367" s="272">
        <f>Inputs!B370</f>
        <v>726</v>
      </c>
      <c r="BQ367" s="272">
        <f>IF(LEFT(Inputs!$C$11,6)="photon",10^Inputs!C370,Inputs!C370)</f>
        <v>2.10302289909497</v>
      </c>
      <c r="BR367" s="272"/>
      <c r="BS367" s="272">
        <f>'Advanced Inputs'!I372</f>
        <v>726</v>
      </c>
      <c r="BT367" s="272">
        <f>IF('Advanced Inputs'!J$19="Photon system",10^'Advanced Inputs'!J372,'Advanced Inputs'!J372)</f>
        <v>0</v>
      </c>
      <c r="BV367" s="272">
        <v>726</v>
      </c>
      <c r="BW367" s="8">
        <v>213.842</v>
      </c>
      <c r="BX367" s="8">
        <v>66.573</v>
      </c>
      <c r="CC367" s="8">
        <v>1</v>
      </c>
    </row>
    <row r="368" hidden="1" spans="8:81">
      <c r="H368" s="8">
        <v>727</v>
      </c>
      <c r="I368" s="261"/>
      <c r="J368" s="261"/>
      <c r="K368" s="261"/>
      <c r="L368" s="261"/>
      <c r="M368" s="261"/>
      <c r="N368" s="261"/>
      <c r="O368" s="261"/>
      <c r="P368" s="261"/>
      <c r="Q368" s="261"/>
      <c r="R368" s="261"/>
      <c r="S368" s="261">
        <v>0.23624</v>
      </c>
      <c r="T368" s="261"/>
      <c r="V368" s="8">
        <v>727</v>
      </c>
      <c r="W368" s="261"/>
      <c r="X368" s="261"/>
      <c r="Y368" s="261"/>
      <c r="Z368" s="261"/>
      <c r="AA368" s="261"/>
      <c r="AB368" s="261"/>
      <c r="AC368" s="261"/>
      <c r="AD368" s="261"/>
      <c r="AF368" s="8">
        <v>727</v>
      </c>
      <c r="AG368" s="261"/>
      <c r="AH368" s="261"/>
      <c r="AI368" s="261"/>
      <c r="AJ368" s="261"/>
      <c r="AK368" s="261"/>
      <c r="AL368" s="261"/>
      <c r="AM368" s="261"/>
      <c r="AO368" s="12">
        <v>727</v>
      </c>
      <c r="AP368" s="264"/>
      <c r="AQ368" s="264"/>
      <c r="AR368" s="264">
        <v>1.34443082770178</v>
      </c>
      <c r="AS368" s="264"/>
      <c r="AT368" s="264"/>
      <c r="AU368" s="264"/>
      <c r="AV368" s="264"/>
      <c r="AW368" s="264"/>
      <c r="AX368" s="264"/>
      <c r="BP368" s="272">
        <f>Inputs!B371</f>
        <v>727</v>
      </c>
      <c r="BQ368" s="272">
        <f>IF(LEFT(Inputs!$C$11,6)="photon",10^Inputs!C371,Inputs!C371)</f>
        <v>2.05203317722888</v>
      </c>
      <c r="BR368" s="272"/>
      <c r="BS368" s="272">
        <f>'Advanced Inputs'!I373</f>
        <v>727</v>
      </c>
      <c r="BT368" s="272">
        <f>IF('Advanced Inputs'!J$19="Photon system",10^'Advanced Inputs'!J373,'Advanced Inputs'!J373)</f>
        <v>0</v>
      </c>
      <c r="BV368" s="272">
        <v>727</v>
      </c>
      <c r="BW368" s="8">
        <v>214.415</v>
      </c>
      <c r="BX368" s="8">
        <v>67.4011</v>
      </c>
      <c r="CC368" s="8">
        <v>1</v>
      </c>
    </row>
    <row r="369" hidden="1" spans="8:81">
      <c r="H369" s="8">
        <v>728</v>
      </c>
      <c r="I369" s="261"/>
      <c r="J369" s="261"/>
      <c r="K369" s="261"/>
      <c r="L369" s="261"/>
      <c r="M369" s="261"/>
      <c r="N369" s="261"/>
      <c r="O369" s="261"/>
      <c r="P369" s="261"/>
      <c r="Q369" s="261"/>
      <c r="R369" s="261"/>
      <c r="S369" s="261">
        <v>0.23016</v>
      </c>
      <c r="T369" s="261"/>
      <c r="V369" s="8">
        <v>728</v>
      </c>
      <c r="W369" s="261"/>
      <c r="X369" s="261"/>
      <c r="Y369" s="261"/>
      <c r="Z369" s="261"/>
      <c r="AA369" s="261"/>
      <c r="AB369" s="261"/>
      <c r="AC369" s="261"/>
      <c r="AD369" s="261"/>
      <c r="AF369" s="8">
        <v>728</v>
      </c>
      <c r="AG369" s="261"/>
      <c r="AH369" s="261"/>
      <c r="AI369" s="261"/>
      <c r="AJ369" s="261"/>
      <c r="AK369" s="261"/>
      <c r="AL369" s="261"/>
      <c r="AM369" s="261"/>
      <c r="AO369" s="12">
        <v>728</v>
      </c>
      <c r="AP369" s="264"/>
      <c r="AQ369" s="264"/>
      <c r="AR369" s="264">
        <v>1.3050823675739</v>
      </c>
      <c r="AS369" s="264"/>
      <c r="AT369" s="264"/>
      <c r="AU369" s="264"/>
      <c r="AV369" s="264"/>
      <c r="AW369" s="264"/>
      <c r="AX369" s="264"/>
      <c r="BP369" s="272">
        <f>Inputs!B372</f>
        <v>728</v>
      </c>
      <c r="BQ369" s="272">
        <f>IF(LEFT(Inputs!$C$11,6)="photon",10^Inputs!C372,Inputs!C372)</f>
        <v>2.01032995581164</v>
      </c>
      <c r="BR369" s="272"/>
      <c r="BS369" s="272">
        <f>'Advanced Inputs'!I374</f>
        <v>728</v>
      </c>
      <c r="BT369" s="272">
        <f>IF('Advanced Inputs'!J$19="Photon system",10^'Advanced Inputs'!J374,'Advanced Inputs'!J374)</f>
        <v>0</v>
      </c>
      <c r="BV369" s="272">
        <v>728</v>
      </c>
      <c r="BW369" s="8">
        <v>214.985</v>
      </c>
      <c r="BX369" s="8">
        <v>68.2293</v>
      </c>
      <c r="CC369" s="8">
        <v>1</v>
      </c>
    </row>
    <row r="370" hidden="1" spans="8:81">
      <c r="H370" s="8">
        <v>729</v>
      </c>
      <c r="I370" s="261"/>
      <c r="J370" s="261"/>
      <c r="K370" s="261"/>
      <c r="L370" s="261"/>
      <c r="M370" s="261"/>
      <c r="N370" s="261"/>
      <c r="O370" s="261"/>
      <c r="P370" s="261"/>
      <c r="Q370" s="261"/>
      <c r="R370" s="261"/>
      <c r="S370" s="261">
        <v>0.22872</v>
      </c>
      <c r="T370" s="261"/>
      <c r="V370" s="8">
        <v>729</v>
      </c>
      <c r="W370" s="261"/>
      <c r="X370" s="261"/>
      <c r="Y370" s="261"/>
      <c r="Z370" s="261"/>
      <c r="AA370" s="261"/>
      <c r="AB370" s="261"/>
      <c r="AC370" s="261"/>
      <c r="AD370" s="261"/>
      <c r="AF370" s="8">
        <v>729</v>
      </c>
      <c r="AG370" s="261"/>
      <c r="AH370" s="261"/>
      <c r="AI370" s="261"/>
      <c r="AJ370" s="261"/>
      <c r="AK370" s="261"/>
      <c r="AL370" s="261"/>
      <c r="AM370" s="261"/>
      <c r="AO370" s="12">
        <v>729</v>
      </c>
      <c r="AP370" s="264"/>
      <c r="AQ370" s="264"/>
      <c r="AR370" s="264">
        <v>1.26712359513167</v>
      </c>
      <c r="AS370" s="264"/>
      <c r="AT370" s="264"/>
      <c r="AU370" s="264"/>
      <c r="AV370" s="264"/>
      <c r="AW370" s="264"/>
      <c r="AX370" s="264"/>
      <c r="BP370" s="272">
        <f>Inputs!B373</f>
        <v>729</v>
      </c>
      <c r="BQ370" s="272">
        <f>IF(LEFT(Inputs!$C$11,6)="photon",10^Inputs!C373,Inputs!C373)</f>
        <v>1.95422389772299</v>
      </c>
      <c r="BR370" s="272"/>
      <c r="BS370" s="272">
        <f>'Advanced Inputs'!I375</f>
        <v>729</v>
      </c>
      <c r="BT370" s="272">
        <f>IF('Advanced Inputs'!J$19="Photon system",10^'Advanced Inputs'!J375,'Advanced Inputs'!J375)</f>
        <v>0</v>
      </c>
      <c r="BV370" s="272">
        <v>729</v>
      </c>
      <c r="BW370" s="8">
        <v>215.553</v>
      </c>
      <c r="BX370" s="8">
        <v>69.0574</v>
      </c>
      <c r="CC370" s="8">
        <v>1</v>
      </c>
    </row>
    <row r="371" hidden="1" spans="8:81">
      <c r="H371" s="8">
        <v>730</v>
      </c>
      <c r="I371" s="261"/>
      <c r="J371" s="261"/>
      <c r="K371" s="261"/>
      <c r="L371" s="261"/>
      <c r="M371" s="261"/>
      <c r="N371" s="261"/>
      <c r="O371" s="261"/>
      <c r="P371" s="261"/>
      <c r="Q371" s="261"/>
      <c r="R371" s="261"/>
      <c r="S371" s="261">
        <v>0.23</v>
      </c>
      <c r="T371" s="261"/>
      <c r="V371" s="8">
        <v>730</v>
      </c>
      <c r="W371" s="261"/>
      <c r="X371" s="261"/>
      <c r="Y371" s="261"/>
      <c r="Z371" s="261"/>
      <c r="AA371" s="261"/>
      <c r="AB371" s="261"/>
      <c r="AC371" s="261"/>
      <c r="AD371" s="261"/>
      <c r="AF371" s="8">
        <v>730</v>
      </c>
      <c r="AG371" s="261"/>
      <c r="AH371" s="261"/>
      <c r="AI371" s="261"/>
      <c r="AJ371" s="261"/>
      <c r="AK371" s="261"/>
      <c r="AL371" s="261"/>
      <c r="AM371" s="261"/>
      <c r="AO371" s="12">
        <v>730</v>
      </c>
      <c r="AP371" s="264"/>
      <c r="AQ371" s="264"/>
      <c r="AR371" s="264">
        <v>1.22986091865891</v>
      </c>
      <c r="AS371" s="264"/>
      <c r="AT371" s="264"/>
      <c r="AU371" s="264"/>
      <c r="AV371" s="264"/>
      <c r="AW371" s="264"/>
      <c r="AX371" s="264"/>
      <c r="BP371" s="272">
        <f>Inputs!B374</f>
        <v>730</v>
      </c>
      <c r="BQ371" s="272">
        <f>IF(LEFT(Inputs!$C$11,6)="photon",10^Inputs!C374,Inputs!C374)</f>
        <v>1.89242877193713</v>
      </c>
      <c r="BR371" s="272"/>
      <c r="BS371" s="272">
        <f>'Advanced Inputs'!I376</f>
        <v>730</v>
      </c>
      <c r="BT371" s="272">
        <f>IF('Advanced Inputs'!J$19="Photon system",10^'Advanced Inputs'!J376,'Advanced Inputs'!J376)</f>
        <v>0</v>
      </c>
      <c r="BV371" s="272">
        <v>730</v>
      </c>
      <c r="BW371" s="8">
        <v>216.12</v>
      </c>
      <c r="BX371" s="8">
        <v>69.8856</v>
      </c>
      <c r="CC371" s="8">
        <v>1</v>
      </c>
    </row>
    <row r="372" hidden="1" spans="8:81">
      <c r="H372" s="8">
        <v>731</v>
      </c>
      <c r="I372" s="261"/>
      <c r="J372" s="261"/>
      <c r="K372" s="261"/>
      <c r="L372" s="261"/>
      <c r="M372" s="261"/>
      <c r="N372" s="261"/>
      <c r="O372" s="261"/>
      <c r="P372" s="261"/>
      <c r="Q372" s="261"/>
      <c r="R372" s="261"/>
      <c r="S372" s="261">
        <v>0.22344</v>
      </c>
      <c r="T372" s="261"/>
      <c r="V372" s="8">
        <v>731</v>
      </c>
      <c r="W372" s="261"/>
      <c r="X372" s="261"/>
      <c r="Y372" s="261"/>
      <c r="Z372" s="261"/>
      <c r="AA372" s="261"/>
      <c r="AB372" s="261"/>
      <c r="AC372" s="261"/>
      <c r="AD372" s="261"/>
      <c r="AF372" s="8">
        <v>731</v>
      </c>
      <c r="AG372" s="261"/>
      <c r="AH372" s="261"/>
      <c r="AI372" s="261"/>
      <c r="AJ372" s="261"/>
      <c r="AK372" s="261"/>
      <c r="AL372" s="261"/>
      <c r="AM372" s="261"/>
      <c r="AO372" s="12">
        <v>731</v>
      </c>
      <c r="AP372" s="264"/>
      <c r="AQ372" s="264"/>
      <c r="AR372" s="264">
        <v>1.19362609035174</v>
      </c>
      <c r="AS372" s="264"/>
      <c r="AT372" s="264"/>
      <c r="AU372" s="264"/>
      <c r="AV372" s="264"/>
      <c r="AW372" s="264"/>
      <c r="AX372" s="264"/>
      <c r="BP372" s="272">
        <f>Inputs!B375</f>
        <v>731</v>
      </c>
      <c r="BQ372" s="272">
        <f>IF(LEFT(Inputs!$C$11,6)="photon",10^Inputs!C375,Inputs!C375)</f>
        <v>1.84056448548504</v>
      </c>
      <c r="BR372" s="272"/>
      <c r="BS372" s="272">
        <f>'Advanced Inputs'!I377</f>
        <v>731</v>
      </c>
      <c r="BT372" s="272">
        <f>IF('Advanced Inputs'!J$19="Photon system",10^'Advanced Inputs'!J377,'Advanced Inputs'!J377)</f>
        <v>0</v>
      </c>
      <c r="BV372" s="272">
        <v>731</v>
      </c>
      <c r="BW372" s="8">
        <v>216.684</v>
      </c>
      <c r="BX372" s="8">
        <v>70.4057</v>
      </c>
      <c r="CC372" s="8">
        <v>1</v>
      </c>
    </row>
    <row r="373" hidden="1" spans="8:81">
      <c r="H373" s="8">
        <v>732</v>
      </c>
      <c r="I373" s="261"/>
      <c r="J373" s="261"/>
      <c r="K373" s="261"/>
      <c r="L373" s="261"/>
      <c r="M373" s="261"/>
      <c r="N373" s="261"/>
      <c r="O373" s="261"/>
      <c r="P373" s="261"/>
      <c r="Q373" s="261"/>
      <c r="R373" s="261"/>
      <c r="S373" s="261">
        <v>0.21792</v>
      </c>
      <c r="T373" s="261"/>
      <c r="V373" s="8">
        <v>732</v>
      </c>
      <c r="W373" s="261"/>
      <c r="X373" s="261"/>
      <c r="Y373" s="261"/>
      <c r="Z373" s="261"/>
      <c r="AA373" s="261"/>
      <c r="AB373" s="261"/>
      <c r="AC373" s="261"/>
      <c r="AD373" s="261"/>
      <c r="AF373" s="8">
        <v>732</v>
      </c>
      <c r="AG373" s="261"/>
      <c r="AH373" s="261"/>
      <c r="AI373" s="261"/>
      <c r="AJ373" s="261"/>
      <c r="AK373" s="261"/>
      <c r="AL373" s="261"/>
      <c r="AM373" s="261"/>
      <c r="AO373" s="12">
        <v>732</v>
      </c>
      <c r="AP373" s="264"/>
      <c r="AQ373" s="264"/>
      <c r="AR373" s="264">
        <v>1.15867807743245</v>
      </c>
      <c r="AS373" s="264"/>
      <c r="AT373" s="264"/>
      <c r="AU373" s="264"/>
      <c r="AV373" s="264"/>
      <c r="AW373" s="264"/>
      <c r="AX373" s="264"/>
      <c r="BP373" s="272">
        <f>Inputs!B376</f>
        <v>732</v>
      </c>
      <c r="BQ373" s="272">
        <f>IF(LEFT(Inputs!$C$11,6)="photon",10^Inputs!C376,Inputs!C376)</f>
        <v>1.78379919425019</v>
      </c>
      <c r="BR373" s="272"/>
      <c r="BS373" s="272">
        <f>'Advanced Inputs'!I378</f>
        <v>732</v>
      </c>
      <c r="BT373" s="272">
        <f>IF('Advanced Inputs'!J$19="Photon system",10^'Advanced Inputs'!J378,'Advanced Inputs'!J378)</f>
        <v>0</v>
      </c>
      <c r="BV373" s="272">
        <v>732</v>
      </c>
      <c r="BW373" s="8">
        <v>217.246</v>
      </c>
      <c r="BX373" s="8">
        <v>70.9259</v>
      </c>
      <c r="CC373" s="8">
        <v>1</v>
      </c>
    </row>
    <row r="374" hidden="1" spans="8:81">
      <c r="H374" s="8">
        <v>733</v>
      </c>
      <c r="I374" s="261"/>
      <c r="J374" s="261"/>
      <c r="K374" s="261"/>
      <c r="L374" s="261"/>
      <c r="M374" s="261"/>
      <c r="N374" s="261"/>
      <c r="O374" s="261"/>
      <c r="P374" s="261"/>
      <c r="Q374" s="261"/>
      <c r="R374" s="261"/>
      <c r="S374" s="261">
        <v>0.21368</v>
      </c>
      <c r="T374" s="261"/>
      <c r="V374" s="8">
        <v>733</v>
      </c>
      <c r="W374" s="261"/>
      <c r="X374" s="261"/>
      <c r="Y374" s="261"/>
      <c r="Z374" s="261"/>
      <c r="AA374" s="261"/>
      <c r="AB374" s="261"/>
      <c r="AC374" s="261"/>
      <c r="AD374" s="261"/>
      <c r="AF374" s="8">
        <v>733</v>
      </c>
      <c r="AG374" s="261"/>
      <c r="AH374" s="261"/>
      <c r="AI374" s="261"/>
      <c r="AJ374" s="261"/>
      <c r="AK374" s="261"/>
      <c r="AL374" s="261"/>
      <c r="AM374" s="261"/>
      <c r="AO374" s="12">
        <v>733</v>
      </c>
      <c r="AP374" s="264"/>
      <c r="AQ374" s="264"/>
      <c r="AR374" s="264">
        <v>1.12477680966634</v>
      </c>
      <c r="AS374" s="264"/>
      <c r="AT374" s="264"/>
      <c r="AU374" s="264"/>
      <c r="AV374" s="264"/>
      <c r="AW374" s="264"/>
      <c r="AX374" s="264"/>
      <c r="BP374" s="272">
        <f>Inputs!B377</f>
        <v>733</v>
      </c>
      <c r="BQ374" s="272">
        <f>IF(LEFT(Inputs!$C$11,6)="photon",10^Inputs!C377,Inputs!C377)</f>
        <v>1.74582545589747</v>
      </c>
      <c r="BR374" s="272"/>
      <c r="BS374" s="272">
        <f>'Advanced Inputs'!I379</f>
        <v>733</v>
      </c>
      <c r="BT374" s="272">
        <f>IF('Advanced Inputs'!J$19="Photon system",10^'Advanced Inputs'!J379,'Advanced Inputs'!J379)</f>
        <v>0</v>
      </c>
      <c r="BV374" s="272">
        <v>733</v>
      </c>
      <c r="BW374" s="8">
        <v>217.806</v>
      </c>
      <c r="BX374" s="8">
        <v>71.446</v>
      </c>
      <c r="CC374" s="8">
        <v>1</v>
      </c>
    </row>
    <row r="375" hidden="1" spans="8:81">
      <c r="H375" s="8">
        <v>734</v>
      </c>
      <c r="I375" s="261"/>
      <c r="J375" s="261"/>
      <c r="K375" s="261"/>
      <c r="L375" s="261"/>
      <c r="M375" s="261"/>
      <c r="N375" s="261"/>
      <c r="O375" s="261"/>
      <c r="P375" s="261"/>
      <c r="Q375" s="261"/>
      <c r="R375" s="261"/>
      <c r="S375" s="261">
        <v>0.21096</v>
      </c>
      <c r="T375" s="261"/>
      <c r="V375" s="8">
        <v>734</v>
      </c>
      <c r="W375" s="261"/>
      <c r="X375" s="261"/>
      <c r="Y375" s="261"/>
      <c r="Z375" s="261"/>
      <c r="AA375" s="261"/>
      <c r="AB375" s="261"/>
      <c r="AC375" s="261"/>
      <c r="AD375" s="261"/>
      <c r="AF375" s="8">
        <v>734</v>
      </c>
      <c r="AG375" s="261"/>
      <c r="AH375" s="261"/>
      <c r="AI375" s="261"/>
      <c r="AJ375" s="261"/>
      <c r="AK375" s="261"/>
      <c r="AL375" s="261"/>
      <c r="AM375" s="261"/>
      <c r="AO375" s="12">
        <v>734</v>
      </c>
      <c r="AP375" s="264"/>
      <c r="AQ375" s="264"/>
      <c r="AR375" s="264">
        <v>1.09136565799502</v>
      </c>
      <c r="AS375" s="264"/>
      <c r="AT375" s="264"/>
      <c r="AU375" s="264"/>
      <c r="AV375" s="264"/>
      <c r="AW375" s="264"/>
      <c r="AX375" s="264"/>
      <c r="BP375" s="272">
        <f>Inputs!B378</f>
        <v>734</v>
      </c>
      <c r="BQ375" s="272">
        <f>IF(LEFT(Inputs!$C$11,6)="photon",10^Inputs!C378,Inputs!C378)</f>
        <v>1.69240080373518</v>
      </c>
      <c r="BR375" s="272"/>
      <c r="BS375" s="272">
        <f>'Advanced Inputs'!I380</f>
        <v>734</v>
      </c>
      <c r="BT375" s="272">
        <f>IF('Advanced Inputs'!J$19="Photon system",10^'Advanced Inputs'!J380,'Advanced Inputs'!J380)</f>
        <v>0</v>
      </c>
      <c r="BV375" s="272">
        <v>734</v>
      </c>
      <c r="BW375" s="8">
        <v>218.364</v>
      </c>
      <c r="BX375" s="8">
        <v>71.9662</v>
      </c>
      <c r="CC375" s="8">
        <v>1</v>
      </c>
    </row>
    <row r="376" hidden="1" spans="8:81">
      <c r="H376" s="8">
        <v>735</v>
      </c>
      <c r="I376" s="261"/>
      <c r="J376" s="261"/>
      <c r="K376" s="261"/>
      <c r="L376" s="261"/>
      <c r="M376" s="261"/>
      <c r="N376" s="261"/>
      <c r="O376" s="261"/>
      <c r="P376" s="261"/>
      <c r="Q376" s="261"/>
      <c r="R376" s="261"/>
      <c r="S376" s="261">
        <v>0.21</v>
      </c>
      <c r="T376" s="261"/>
      <c r="V376" s="8">
        <v>735</v>
      </c>
      <c r="W376" s="261"/>
      <c r="X376" s="261"/>
      <c r="Y376" s="261"/>
      <c r="Z376" s="261"/>
      <c r="AA376" s="261"/>
      <c r="AB376" s="261"/>
      <c r="AC376" s="261"/>
      <c r="AD376" s="261"/>
      <c r="AF376" s="8">
        <v>735</v>
      </c>
      <c r="AG376" s="261"/>
      <c r="AH376" s="261"/>
      <c r="AI376" s="261"/>
      <c r="AJ376" s="261"/>
      <c r="AK376" s="261"/>
      <c r="AL376" s="261"/>
      <c r="AM376" s="261"/>
      <c r="AO376" s="12">
        <v>735</v>
      </c>
      <c r="AP376" s="264"/>
      <c r="AQ376" s="264"/>
      <c r="AR376" s="264">
        <v>1.05956105465032</v>
      </c>
      <c r="AS376" s="264"/>
      <c r="AT376" s="264"/>
      <c r="AU376" s="264"/>
      <c r="AV376" s="264"/>
      <c r="AW376" s="264"/>
      <c r="AX376" s="264"/>
      <c r="BP376" s="272">
        <f>Inputs!B379</f>
        <v>735</v>
      </c>
      <c r="BQ376" s="272">
        <f>IF(LEFT(Inputs!$C$11,6)="photon",10^Inputs!C379,Inputs!C379)</f>
        <v>1.64425110608631</v>
      </c>
      <c r="BR376" s="272"/>
      <c r="BS376" s="272">
        <f>'Advanced Inputs'!I381</f>
        <v>735</v>
      </c>
      <c r="BT376" s="272">
        <f>IF('Advanced Inputs'!J$19="Photon system",10^'Advanced Inputs'!J381,'Advanced Inputs'!J381)</f>
        <v>0</v>
      </c>
      <c r="BV376" s="272">
        <v>735</v>
      </c>
      <c r="BW376" s="8">
        <v>218.92</v>
      </c>
      <c r="BX376" s="8">
        <v>72.4863</v>
      </c>
      <c r="CC376" s="8">
        <v>1</v>
      </c>
    </row>
    <row r="377" hidden="1" spans="8:81">
      <c r="H377" s="8">
        <v>736</v>
      </c>
      <c r="I377" s="261"/>
      <c r="J377" s="261"/>
      <c r="K377" s="261"/>
      <c r="L377" s="261"/>
      <c r="M377" s="261"/>
      <c r="N377" s="261"/>
      <c r="O377" s="261"/>
      <c r="P377" s="261"/>
      <c r="Q377" s="261"/>
      <c r="R377" s="261"/>
      <c r="S377" s="261">
        <v>0.21456</v>
      </c>
      <c r="T377" s="261"/>
      <c r="V377" s="8">
        <v>736</v>
      </c>
      <c r="W377" s="261"/>
      <c r="X377" s="261"/>
      <c r="Y377" s="261"/>
      <c r="Z377" s="261"/>
      <c r="AA377" s="261"/>
      <c r="AB377" s="261"/>
      <c r="AC377" s="261"/>
      <c r="AD377" s="261"/>
      <c r="AF377" s="8">
        <v>736</v>
      </c>
      <c r="AG377" s="261"/>
      <c r="AH377" s="261"/>
      <c r="AI377" s="261"/>
      <c r="AJ377" s="261"/>
      <c r="AK377" s="261"/>
      <c r="AL377" s="261"/>
      <c r="AM377" s="261"/>
      <c r="AO377" s="12">
        <v>736</v>
      </c>
      <c r="AP377" s="264"/>
      <c r="AQ377" s="264"/>
      <c r="AR377" s="264">
        <v>1.02780968367966</v>
      </c>
      <c r="AS377" s="264"/>
      <c r="AT377" s="264"/>
      <c r="AU377" s="264"/>
      <c r="AV377" s="264"/>
      <c r="AW377" s="264"/>
      <c r="AX377" s="264"/>
      <c r="BP377" s="272">
        <f>Inputs!B380</f>
        <v>736</v>
      </c>
      <c r="BQ377" s="272">
        <f>IF(LEFT(Inputs!$C$11,6)="photon",10^Inputs!C380,Inputs!C380)</f>
        <v>1.60029047704672</v>
      </c>
      <c r="BR377" s="272"/>
      <c r="BS377" s="272">
        <f>'Advanced Inputs'!I382</f>
        <v>736</v>
      </c>
      <c r="BT377" s="272">
        <f>IF('Advanced Inputs'!J$19="Photon system",10^'Advanced Inputs'!J382,'Advanced Inputs'!J382)</f>
        <v>0</v>
      </c>
      <c r="BV377" s="272">
        <v>736</v>
      </c>
      <c r="BW377" s="8">
        <v>219.473</v>
      </c>
      <c r="BX377" s="8">
        <v>73.0064</v>
      </c>
      <c r="CC377" s="8">
        <v>1</v>
      </c>
    </row>
    <row r="378" hidden="1" spans="8:81">
      <c r="H378" s="8">
        <v>737</v>
      </c>
      <c r="I378" s="261"/>
      <c r="J378" s="261"/>
      <c r="K378" s="261"/>
      <c r="L378" s="261"/>
      <c r="M378" s="261"/>
      <c r="N378" s="261"/>
      <c r="O378" s="261"/>
      <c r="P378" s="261"/>
      <c r="Q378" s="261"/>
      <c r="R378" s="261"/>
      <c r="S378" s="261">
        <v>0.22048</v>
      </c>
      <c r="T378" s="261"/>
      <c r="V378" s="8">
        <v>737</v>
      </c>
      <c r="W378" s="261"/>
      <c r="X378" s="261"/>
      <c r="Y378" s="261"/>
      <c r="Z378" s="261"/>
      <c r="AA378" s="261"/>
      <c r="AB378" s="261"/>
      <c r="AC378" s="261"/>
      <c r="AD378" s="261"/>
      <c r="AF378" s="8">
        <v>737</v>
      </c>
      <c r="AG378" s="261"/>
      <c r="AH378" s="261"/>
      <c r="AI378" s="261"/>
      <c r="AJ378" s="261"/>
      <c r="AK378" s="261"/>
      <c r="AL378" s="261"/>
      <c r="AM378" s="261"/>
      <c r="AO378" s="12">
        <v>737</v>
      </c>
      <c r="AP378" s="264"/>
      <c r="AQ378" s="264"/>
      <c r="AR378" s="264">
        <v>0.997212114456827</v>
      </c>
      <c r="AS378" s="264"/>
      <c r="AT378" s="264"/>
      <c r="AU378" s="264"/>
      <c r="AV378" s="264"/>
      <c r="AW378" s="264"/>
      <c r="AX378" s="264"/>
      <c r="BP378" s="272">
        <f>Inputs!B381</f>
        <v>737</v>
      </c>
      <c r="BQ378" s="272">
        <f>IF(LEFT(Inputs!$C$11,6)="photon",10^Inputs!C381,Inputs!C381)</f>
        <v>1.56900071999265</v>
      </c>
      <c r="BR378" s="272"/>
      <c r="BS378" s="272">
        <f>'Advanced Inputs'!I383</f>
        <v>737</v>
      </c>
      <c r="BT378" s="272">
        <f>IF('Advanced Inputs'!J$19="Photon system",10^'Advanced Inputs'!J383,'Advanced Inputs'!J383)</f>
        <v>0</v>
      </c>
      <c r="BV378" s="272">
        <v>737</v>
      </c>
      <c r="BW378" s="8">
        <v>220.025</v>
      </c>
      <c r="BX378" s="8">
        <v>73.5266</v>
      </c>
      <c r="CC378" s="8">
        <v>1</v>
      </c>
    </row>
    <row r="379" hidden="1" spans="8:81">
      <c r="H379" s="8">
        <v>738</v>
      </c>
      <c r="I379" s="261"/>
      <c r="J379" s="261"/>
      <c r="K379" s="261"/>
      <c r="L379" s="261"/>
      <c r="M379" s="261"/>
      <c r="N379" s="261"/>
      <c r="O379" s="261"/>
      <c r="P379" s="261"/>
      <c r="Q379" s="261"/>
      <c r="R379" s="261"/>
      <c r="S379" s="261">
        <v>0.22712</v>
      </c>
      <c r="T379" s="261"/>
      <c r="V379" s="8">
        <v>738</v>
      </c>
      <c r="W379" s="261"/>
      <c r="X379" s="261"/>
      <c r="Y379" s="261"/>
      <c r="Z379" s="261"/>
      <c r="AA379" s="261"/>
      <c r="AB379" s="261"/>
      <c r="AC379" s="261"/>
      <c r="AD379" s="261"/>
      <c r="AF379" s="8">
        <v>738</v>
      </c>
      <c r="AG379" s="261"/>
      <c r="AH379" s="261"/>
      <c r="AI379" s="261"/>
      <c r="AJ379" s="261"/>
      <c r="AK379" s="261"/>
      <c r="AL379" s="261"/>
      <c r="AM379" s="261"/>
      <c r="AO379" s="12">
        <v>738</v>
      </c>
      <c r="AP379" s="264"/>
      <c r="AQ379" s="264"/>
      <c r="AR379" s="264">
        <v>0.967550988900212</v>
      </c>
      <c r="AS379" s="264"/>
      <c r="AT379" s="264"/>
      <c r="AU379" s="264"/>
      <c r="AV379" s="264"/>
      <c r="AW379" s="264"/>
      <c r="AX379" s="264"/>
      <c r="BP379" s="272">
        <f>Inputs!B382</f>
        <v>738</v>
      </c>
      <c r="BQ379" s="272">
        <f>IF(LEFT(Inputs!$C$11,6)="photon",10^Inputs!C382,Inputs!C382)</f>
        <v>1.51595098899967</v>
      </c>
      <c r="BR379" s="272"/>
      <c r="BS379" s="272">
        <f>'Advanced Inputs'!I384</f>
        <v>738</v>
      </c>
      <c r="BT379" s="272">
        <f>IF('Advanced Inputs'!J$19="Photon system",10^'Advanced Inputs'!J384,'Advanced Inputs'!J384)</f>
        <v>0</v>
      </c>
      <c r="BV379" s="272">
        <v>738</v>
      </c>
      <c r="BW379" s="8">
        <v>220.574</v>
      </c>
      <c r="BX379" s="8">
        <v>74.0467</v>
      </c>
      <c r="CC379" s="8">
        <v>1</v>
      </c>
    </row>
    <row r="380" hidden="1" spans="8:81">
      <c r="H380" s="8">
        <v>739</v>
      </c>
      <c r="I380" s="261"/>
      <c r="J380" s="261"/>
      <c r="K380" s="261"/>
      <c r="L380" s="261"/>
      <c r="M380" s="261"/>
      <c r="N380" s="261"/>
      <c r="O380" s="261"/>
      <c r="P380" s="261"/>
      <c r="Q380" s="261"/>
      <c r="R380" s="261"/>
      <c r="S380" s="261">
        <v>0.23384</v>
      </c>
      <c r="T380" s="261"/>
      <c r="V380" s="8">
        <v>739</v>
      </c>
      <c r="W380" s="261"/>
      <c r="X380" s="261"/>
      <c r="Y380" s="261"/>
      <c r="Z380" s="261"/>
      <c r="AA380" s="261"/>
      <c r="AB380" s="261"/>
      <c r="AC380" s="261"/>
      <c r="AD380" s="261"/>
      <c r="AF380" s="8">
        <v>739</v>
      </c>
      <c r="AG380" s="261"/>
      <c r="AH380" s="261"/>
      <c r="AI380" s="261"/>
      <c r="AJ380" s="261"/>
      <c r="AK380" s="261"/>
      <c r="AL380" s="261"/>
      <c r="AM380" s="261"/>
      <c r="AO380" s="12">
        <v>739</v>
      </c>
      <c r="AP380" s="264"/>
      <c r="AQ380" s="264"/>
      <c r="AR380" s="264">
        <v>0.938545536996224</v>
      </c>
      <c r="AS380" s="264"/>
      <c r="AT380" s="264"/>
      <c r="AU380" s="264"/>
      <c r="AV380" s="264"/>
      <c r="AW380" s="264"/>
      <c r="AX380" s="264"/>
      <c r="BP380" s="272">
        <f>Inputs!B383</f>
        <v>739</v>
      </c>
      <c r="BQ380" s="272">
        <f>IF(LEFT(Inputs!$C$11,6)="photon",10^Inputs!C383,Inputs!C383)</f>
        <v>1.479744082815</v>
      </c>
      <c r="BR380" s="272"/>
      <c r="BS380" s="272">
        <f>'Advanced Inputs'!I385</f>
        <v>739</v>
      </c>
      <c r="BT380" s="272">
        <f>IF('Advanced Inputs'!J$19="Photon system",10^'Advanced Inputs'!J385,'Advanced Inputs'!J385)</f>
        <v>0</v>
      </c>
      <c r="BV380" s="272">
        <v>739</v>
      </c>
      <c r="BW380" s="8">
        <v>221.122</v>
      </c>
      <c r="BX380" s="8">
        <v>74.5669</v>
      </c>
      <c r="CC380" s="8">
        <v>1</v>
      </c>
    </row>
    <row r="381" hidden="1" spans="8:81">
      <c r="H381" s="8">
        <v>740</v>
      </c>
      <c r="I381" s="261"/>
      <c r="J381" s="261"/>
      <c r="K381" s="261"/>
      <c r="L381" s="261"/>
      <c r="M381" s="261"/>
      <c r="N381" s="261"/>
      <c r="O381" s="261"/>
      <c r="P381" s="261"/>
      <c r="Q381" s="261"/>
      <c r="R381" s="261"/>
      <c r="S381" s="261">
        <v>0.24</v>
      </c>
      <c r="T381" s="261"/>
      <c r="V381" s="8">
        <v>740</v>
      </c>
      <c r="W381" s="261"/>
      <c r="X381" s="261"/>
      <c r="Y381" s="261"/>
      <c r="Z381" s="261"/>
      <c r="AA381" s="261"/>
      <c r="AB381" s="261"/>
      <c r="AC381" s="261"/>
      <c r="AD381" s="261"/>
      <c r="AF381" s="8">
        <v>740</v>
      </c>
      <c r="AG381" s="261"/>
      <c r="AH381" s="261"/>
      <c r="AI381" s="261"/>
      <c r="AJ381" s="261"/>
      <c r="AK381" s="261"/>
      <c r="AL381" s="261"/>
      <c r="AM381" s="261"/>
      <c r="AO381" s="12">
        <v>740</v>
      </c>
      <c r="AP381" s="264"/>
      <c r="AQ381" s="264"/>
      <c r="AR381" s="264">
        <v>0.910781763225311</v>
      </c>
      <c r="AS381" s="264"/>
      <c r="AT381" s="264"/>
      <c r="AU381" s="264"/>
      <c r="AV381" s="264"/>
      <c r="AW381" s="264"/>
      <c r="AX381" s="264"/>
      <c r="BP381" s="272">
        <f>Inputs!B384</f>
        <v>740</v>
      </c>
      <c r="BQ381" s="272">
        <f>IF(LEFT(Inputs!$C$11,6)="photon",10^Inputs!C384,Inputs!C384)</f>
        <v>1.44029793349062</v>
      </c>
      <c r="BR381" s="272"/>
      <c r="BS381" s="272">
        <f>'Advanced Inputs'!I386</f>
        <v>740</v>
      </c>
      <c r="BT381" s="272">
        <f>IF('Advanced Inputs'!J$19="Photon system",10^'Advanced Inputs'!J386,'Advanced Inputs'!J386)</f>
        <v>0</v>
      </c>
      <c r="BV381" s="272">
        <v>740</v>
      </c>
      <c r="BW381" s="8">
        <v>221.667</v>
      </c>
      <c r="BX381" s="8">
        <v>75.087</v>
      </c>
      <c r="CC381" s="8">
        <v>1</v>
      </c>
    </row>
    <row r="382" hidden="1" spans="8:81">
      <c r="H382" s="8">
        <v>741</v>
      </c>
      <c r="I382" s="261"/>
      <c r="J382" s="261"/>
      <c r="K382" s="261"/>
      <c r="L382" s="261"/>
      <c r="M382" s="261"/>
      <c r="N382" s="261"/>
      <c r="O382" s="261"/>
      <c r="P382" s="261"/>
      <c r="Q382" s="261"/>
      <c r="R382" s="261"/>
      <c r="S382" s="261">
        <v>0.24272</v>
      </c>
      <c r="T382" s="261"/>
      <c r="V382" s="8">
        <v>741</v>
      </c>
      <c r="W382" s="261"/>
      <c r="X382" s="261"/>
      <c r="Y382" s="261"/>
      <c r="Z382" s="261"/>
      <c r="AA382" s="261"/>
      <c r="AB382" s="261"/>
      <c r="AC382" s="261"/>
      <c r="AD382" s="261"/>
      <c r="AF382" s="8">
        <v>741</v>
      </c>
      <c r="AG382" s="261"/>
      <c r="AH382" s="261"/>
      <c r="AI382" s="261"/>
      <c r="AJ382" s="261"/>
      <c r="AK382" s="261"/>
      <c r="AL382" s="261"/>
      <c r="AM382" s="261"/>
      <c r="AO382" s="12">
        <v>741</v>
      </c>
      <c r="AP382" s="264"/>
      <c r="AQ382" s="264"/>
      <c r="AR382" s="264">
        <v>0.883904314662398</v>
      </c>
      <c r="AS382" s="264"/>
      <c r="AT382" s="264"/>
      <c r="AU382" s="264"/>
      <c r="AV382" s="264"/>
      <c r="AW382" s="264"/>
      <c r="AX382" s="264"/>
      <c r="BP382" s="272">
        <f>Inputs!B385</f>
        <v>741</v>
      </c>
      <c r="BQ382" s="272">
        <f>IF(LEFT(Inputs!$C$11,6)="photon",10^Inputs!C385,Inputs!C385)</f>
        <v>1.40052172702949</v>
      </c>
      <c r="BR382" s="272"/>
      <c r="BS382" s="272">
        <f>'Advanced Inputs'!I387</f>
        <v>741</v>
      </c>
      <c r="BT382" s="272">
        <f>IF('Advanced Inputs'!J$19="Photon system",10^'Advanced Inputs'!J387,'Advanced Inputs'!J387)</f>
        <v>0</v>
      </c>
      <c r="BV382" s="272">
        <v>741</v>
      </c>
      <c r="BW382" s="8">
        <v>222.21</v>
      </c>
      <c r="BX382" s="8">
        <v>73.9376</v>
      </c>
      <c r="CC382" s="8">
        <v>1</v>
      </c>
    </row>
    <row r="383" hidden="1" spans="8:81">
      <c r="H383" s="8">
        <v>742</v>
      </c>
      <c r="I383" s="261"/>
      <c r="J383" s="261"/>
      <c r="K383" s="261"/>
      <c r="L383" s="261"/>
      <c r="M383" s="261"/>
      <c r="N383" s="261"/>
      <c r="O383" s="261"/>
      <c r="P383" s="261"/>
      <c r="Q383" s="261"/>
      <c r="R383" s="261"/>
      <c r="S383" s="261">
        <v>0.24416</v>
      </c>
      <c r="T383" s="261"/>
      <c r="V383" s="8">
        <v>742</v>
      </c>
      <c r="W383" s="261"/>
      <c r="X383" s="261"/>
      <c r="Y383" s="261"/>
      <c r="Z383" s="261"/>
      <c r="AA383" s="261"/>
      <c r="AB383" s="261"/>
      <c r="AC383" s="261"/>
      <c r="AD383" s="261"/>
      <c r="AF383" s="8">
        <v>742</v>
      </c>
      <c r="AG383" s="261"/>
      <c r="AH383" s="261"/>
      <c r="AI383" s="261"/>
      <c r="AJ383" s="261"/>
      <c r="AK383" s="261"/>
      <c r="AL383" s="261"/>
      <c r="AM383" s="261"/>
      <c r="AO383" s="12">
        <v>742</v>
      </c>
      <c r="AP383" s="264"/>
      <c r="AQ383" s="264"/>
      <c r="AR383" s="264">
        <v>0.858060957617143</v>
      </c>
      <c r="AS383" s="264"/>
      <c r="AT383" s="264"/>
      <c r="AU383" s="264"/>
      <c r="AV383" s="264"/>
      <c r="AW383" s="264"/>
      <c r="AX383" s="264"/>
      <c r="BP383" s="272">
        <f>Inputs!B386</f>
        <v>742</v>
      </c>
      <c r="BQ383" s="272">
        <f>IF(LEFT(Inputs!$C$11,6)="photon",10^Inputs!C386,Inputs!C386)</f>
        <v>1.35459060809875</v>
      </c>
      <c r="BR383" s="272"/>
      <c r="BS383" s="272">
        <f>'Advanced Inputs'!I388</f>
        <v>742</v>
      </c>
      <c r="BT383" s="272">
        <f>IF('Advanced Inputs'!J$19="Photon system",10^'Advanced Inputs'!J388,'Advanced Inputs'!J388)</f>
        <v>0</v>
      </c>
      <c r="BV383" s="272">
        <v>742</v>
      </c>
      <c r="BW383" s="8">
        <v>222.751</v>
      </c>
      <c r="BX383" s="8">
        <v>72.7881</v>
      </c>
      <c r="CC383" s="8">
        <v>1</v>
      </c>
    </row>
    <row r="384" hidden="1" spans="8:81">
      <c r="H384" s="8">
        <v>743</v>
      </c>
      <c r="I384" s="261"/>
      <c r="J384" s="261"/>
      <c r="K384" s="261"/>
      <c r="L384" s="261"/>
      <c r="M384" s="261"/>
      <c r="N384" s="261"/>
      <c r="O384" s="261"/>
      <c r="P384" s="261"/>
      <c r="Q384" s="261"/>
      <c r="R384" s="261"/>
      <c r="S384" s="261">
        <v>0.24424</v>
      </c>
      <c r="T384" s="261"/>
      <c r="V384" s="8">
        <v>743</v>
      </c>
      <c r="W384" s="261"/>
      <c r="X384" s="261"/>
      <c r="Y384" s="261"/>
      <c r="Z384" s="261"/>
      <c r="AA384" s="261"/>
      <c r="AB384" s="261"/>
      <c r="AC384" s="261"/>
      <c r="AD384" s="261"/>
      <c r="AF384" s="8">
        <v>743</v>
      </c>
      <c r="AG384" s="261"/>
      <c r="AH384" s="261"/>
      <c r="AI384" s="261"/>
      <c r="AJ384" s="261"/>
      <c r="AK384" s="261"/>
      <c r="AL384" s="261"/>
      <c r="AM384" s="261"/>
      <c r="AO384" s="12">
        <v>743</v>
      </c>
      <c r="AP384" s="264"/>
      <c r="AQ384" s="264"/>
      <c r="AR384" s="264">
        <v>0.832541054535332</v>
      </c>
      <c r="AS384" s="264"/>
      <c r="AT384" s="264"/>
      <c r="AU384" s="264"/>
      <c r="AV384" s="264"/>
      <c r="AW384" s="264"/>
      <c r="AX384" s="264"/>
      <c r="BP384" s="272">
        <f>Inputs!B387</f>
        <v>743</v>
      </c>
      <c r="BQ384" s="272">
        <f>IF(LEFT(Inputs!$C$11,6)="photon",10^Inputs!C387,Inputs!C387)</f>
        <v>1.32209969508467</v>
      </c>
      <c r="BR384" s="272"/>
      <c r="BS384" s="272">
        <f>'Advanced Inputs'!I389</f>
        <v>743</v>
      </c>
      <c r="BT384" s="272">
        <f>IF('Advanced Inputs'!J$19="Photon system",10^'Advanced Inputs'!J389,'Advanced Inputs'!J389)</f>
        <v>0</v>
      </c>
      <c r="BV384" s="272">
        <v>743</v>
      </c>
      <c r="BW384" s="8">
        <v>223.29</v>
      </c>
      <c r="BX384" s="8">
        <v>71.6387</v>
      </c>
      <c r="CC384" s="8">
        <v>1</v>
      </c>
    </row>
    <row r="385" hidden="1" spans="8:81">
      <c r="H385" s="8">
        <v>744</v>
      </c>
      <c r="I385" s="261"/>
      <c r="J385" s="261"/>
      <c r="K385" s="261"/>
      <c r="L385" s="261"/>
      <c r="M385" s="261"/>
      <c r="N385" s="261"/>
      <c r="O385" s="261"/>
      <c r="P385" s="261"/>
      <c r="Q385" s="261"/>
      <c r="R385" s="261"/>
      <c r="S385" s="261">
        <v>0.24288</v>
      </c>
      <c r="T385" s="261"/>
      <c r="V385" s="8">
        <v>744</v>
      </c>
      <c r="W385" s="261"/>
      <c r="X385" s="261"/>
      <c r="Y385" s="261"/>
      <c r="Z385" s="261"/>
      <c r="AA385" s="261"/>
      <c r="AB385" s="261"/>
      <c r="AC385" s="261"/>
      <c r="AD385" s="261"/>
      <c r="AF385" s="8">
        <v>744</v>
      </c>
      <c r="AG385" s="261"/>
      <c r="AH385" s="261"/>
      <c r="AI385" s="261"/>
      <c r="AJ385" s="261"/>
      <c r="AK385" s="261"/>
      <c r="AL385" s="261"/>
      <c r="AM385" s="261"/>
      <c r="AO385" s="12">
        <v>744</v>
      </c>
      <c r="AP385" s="264"/>
      <c r="AQ385" s="264"/>
      <c r="AR385" s="264">
        <v>0.807766440051758</v>
      </c>
      <c r="AS385" s="264"/>
      <c r="AT385" s="264"/>
      <c r="AU385" s="264"/>
      <c r="AV385" s="264"/>
      <c r="AW385" s="264"/>
      <c r="AX385" s="264"/>
      <c r="BP385" s="272">
        <f>Inputs!B388</f>
        <v>744</v>
      </c>
      <c r="BQ385" s="272">
        <f>IF(LEFT(Inputs!$C$11,6)="photon",10^Inputs!C388,Inputs!C388)</f>
        <v>1.28661579046176</v>
      </c>
      <c r="BR385" s="272"/>
      <c r="BS385" s="272">
        <f>'Advanced Inputs'!I390</f>
        <v>744</v>
      </c>
      <c r="BT385" s="272">
        <f>IF('Advanced Inputs'!J$19="Photon system",10^'Advanced Inputs'!J390,'Advanced Inputs'!J390)</f>
        <v>0</v>
      </c>
      <c r="BV385" s="272">
        <v>744</v>
      </c>
      <c r="BW385" s="8">
        <v>223.826</v>
      </c>
      <c r="BX385" s="8">
        <v>70.4893</v>
      </c>
      <c r="CC385" s="8">
        <v>1</v>
      </c>
    </row>
    <row r="386" hidden="1" spans="8:81">
      <c r="H386" s="8">
        <v>745</v>
      </c>
      <c r="I386" s="261"/>
      <c r="J386" s="261"/>
      <c r="K386" s="261"/>
      <c r="L386" s="261"/>
      <c r="M386" s="261"/>
      <c r="N386" s="261"/>
      <c r="O386" s="261"/>
      <c r="P386" s="261"/>
      <c r="Q386" s="261"/>
      <c r="R386" s="261"/>
      <c r="S386" s="261">
        <v>0.24</v>
      </c>
      <c r="T386" s="261"/>
      <c r="V386" s="8">
        <v>745</v>
      </c>
      <c r="W386" s="261"/>
      <c r="X386" s="261"/>
      <c r="Y386" s="261"/>
      <c r="Z386" s="261"/>
      <c r="AA386" s="261"/>
      <c r="AB386" s="261"/>
      <c r="AC386" s="261"/>
      <c r="AD386" s="261"/>
      <c r="AF386" s="8">
        <v>745</v>
      </c>
      <c r="AG386" s="261"/>
      <c r="AH386" s="261"/>
      <c r="AI386" s="261"/>
      <c r="AJ386" s="261"/>
      <c r="AK386" s="261"/>
      <c r="AL386" s="261"/>
      <c r="AM386" s="261"/>
      <c r="AO386" s="12">
        <v>745</v>
      </c>
      <c r="AP386" s="264"/>
      <c r="AQ386" s="264"/>
      <c r="AR386" s="264">
        <v>0.784050085946739</v>
      </c>
      <c r="AS386" s="264"/>
      <c r="AT386" s="264"/>
      <c r="AU386" s="264"/>
      <c r="AV386" s="264"/>
      <c r="AW386" s="264"/>
      <c r="AX386" s="264"/>
      <c r="BP386" s="272">
        <f>Inputs!B389</f>
        <v>745</v>
      </c>
      <c r="BQ386" s="272">
        <f>IF(LEFT(Inputs!$C$11,6)="photon",10^Inputs!C389,Inputs!C389)</f>
        <v>1.25104717276379</v>
      </c>
      <c r="BR386" s="272"/>
      <c r="BS386" s="272">
        <f>'Advanced Inputs'!I391</f>
        <v>745</v>
      </c>
      <c r="BT386" s="272">
        <f>IF('Advanced Inputs'!J$19="Photon system",10^'Advanced Inputs'!J391,'Advanced Inputs'!J391)</f>
        <v>0</v>
      </c>
      <c r="BV386" s="272">
        <v>745</v>
      </c>
      <c r="BW386" s="8">
        <v>224.361</v>
      </c>
      <c r="BX386" s="8">
        <v>69.3398</v>
      </c>
      <c r="CC386" s="8">
        <v>1</v>
      </c>
    </row>
    <row r="387" hidden="1" spans="8:81">
      <c r="H387" s="8">
        <v>746</v>
      </c>
      <c r="I387" s="261"/>
      <c r="J387" s="261"/>
      <c r="K387" s="261"/>
      <c r="L387" s="261"/>
      <c r="M387" s="261"/>
      <c r="N387" s="261"/>
      <c r="O387" s="261"/>
      <c r="P387" s="261"/>
      <c r="Q387" s="261"/>
      <c r="R387" s="261"/>
      <c r="S387" s="261">
        <v>0.23136</v>
      </c>
      <c r="T387" s="261"/>
      <c r="V387" s="8">
        <v>746</v>
      </c>
      <c r="W387" s="261"/>
      <c r="X387" s="261"/>
      <c r="Y387" s="261"/>
      <c r="Z387" s="261"/>
      <c r="AA387" s="261"/>
      <c r="AB387" s="261"/>
      <c r="AC387" s="261"/>
      <c r="AD387" s="261"/>
      <c r="AF387" s="8">
        <v>746</v>
      </c>
      <c r="AG387" s="261"/>
      <c r="AH387" s="261"/>
      <c r="AI387" s="261"/>
      <c r="AJ387" s="261"/>
      <c r="AK387" s="261"/>
      <c r="AL387" s="261"/>
      <c r="AM387" s="261"/>
      <c r="AO387" s="12">
        <v>746</v>
      </c>
      <c r="AP387" s="264"/>
      <c r="AQ387" s="264"/>
      <c r="AR387" s="264">
        <v>0.761134273020008</v>
      </c>
      <c r="AS387" s="264"/>
      <c r="AT387" s="264"/>
      <c r="AU387" s="264"/>
      <c r="AV387" s="264"/>
      <c r="AW387" s="264"/>
      <c r="AX387" s="264"/>
      <c r="BP387" s="272">
        <f>Inputs!B390</f>
        <v>746</v>
      </c>
      <c r="BQ387" s="272">
        <f>IF(LEFT(Inputs!$C$11,6)="photon",10^Inputs!C390,Inputs!C390)</f>
        <v>1.21336180520925</v>
      </c>
      <c r="BR387" s="272"/>
      <c r="BS387" s="272">
        <f>'Advanced Inputs'!I392</f>
        <v>746</v>
      </c>
      <c r="BT387" s="272">
        <f>IF('Advanced Inputs'!J$19="Photon system",10^'Advanced Inputs'!J392,'Advanced Inputs'!J392)</f>
        <v>0</v>
      </c>
      <c r="BV387" s="272">
        <v>746</v>
      </c>
      <c r="BW387" s="8">
        <v>224.893</v>
      </c>
      <c r="BX387" s="8">
        <v>68.1904</v>
      </c>
      <c r="CC387" s="8">
        <v>1</v>
      </c>
    </row>
    <row r="388" hidden="1" spans="8:81">
      <c r="H388" s="8">
        <v>747</v>
      </c>
      <c r="I388" s="261"/>
      <c r="J388" s="261"/>
      <c r="K388" s="261"/>
      <c r="L388" s="261"/>
      <c r="M388" s="261"/>
      <c r="N388" s="261"/>
      <c r="O388" s="261"/>
      <c r="P388" s="261"/>
      <c r="Q388" s="261"/>
      <c r="R388" s="261"/>
      <c r="S388" s="261">
        <v>0.22208</v>
      </c>
      <c r="T388" s="261"/>
      <c r="V388" s="8">
        <v>747</v>
      </c>
      <c r="W388" s="261"/>
      <c r="X388" s="261"/>
      <c r="Y388" s="261"/>
      <c r="Z388" s="261"/>
      <c r="AA388" s="261"/>
      <c r="AB388" s="261"/>
      <c r="AC388" s="261"/>
      <c r="AD388" s="261"/>
      <c r="AF388" s="8">
        <v>747</v>
      </c>
      <c r="AG388" s="261"/>
      <c r="AH388" s="261"/>
      <c r="AI388" s="261"/>
      <c r="AJ388" s="261"/>
      <c r="AK388" s="261"/>
      <c r="AL388" s="261"/>
      <c r="AM388" s="261"/>
      <c r="AO388" s="12">
        <v>747</v>
      </c>
      <c r="AP388" s="264"/>
      <c r="AQ388" s="264"/>
      <c r="AR388" s="264">
        <v>0.738671555283353</v>
      </c>
      <c r="AS388" s="264"/>
      <c r="AT388" s="264"/>
      <c r="AU388" s="264"/>
      <c r="AV388" s="264"/>
      <c r="AW388" s="264"/>
      <c r="AX388" s="264"/>
      <c r="BP388" s="272">
        <f>Inputs!B391</f>
        <v>747</v>
      </c>
      <c r="BQ388" s="272">
        <f>IF(LEFT(Inputs!$C$11,6)="photon",10^Inputs!C391,Inputs!C391)</f>
        <v>1.16894337922138</v>
      </c>
      <c r="BR388" s="272"/>
      <c r="BS388" s="272">
        <f>'Advanced Inputs'!I393</f>
        <v>747</v>
      </c>
      <c r="BT388" s="272">
        <f>IF('Advanced Inputs'!J$19="Photon system",10^'Advanced Inputs'!J393,'Advanced Inputs'!J393)</f>
        <v>0</v>
      </c>
      <c r="BV388" s="272">
        <v>747</v>
      </c>
      <c r="BW388" s="8">
        <v>225.423</v>
      </c>
      <c r="BX388" s="8">
        <v>67.041</v>
      </c>
      <c r="CC388" s="8">
        <v>1</v>
      </c>
    </row>
    <row r="389" hidden="1" spans="8:81">
      <c r="H389" s="8">
        <v>748</v>
      </c>
      <c r="I389" s="261"/>
      <c r="J389" s="261"/>
      <c r="K389" s="261"/>
      <c r="L389" s="261"/>
      <c r="M389" s="261"/>
      <c r="N389" s="261"/>
      <c r="O389" s="261"/>
      <c r="P389" s="261"/>
      <c r="Q389" s="261"/>
      <c r="R389" s="261"/>
      <c r="S389" s="261">
        <v>0.21312</v>
      </c>
      <c r="T389" s="261"/>
      <c r="V389" s="8">
        <v>748</v>
      </c>
      <c r="W389" s="261"/>
      <c r="X389" s="261"/>
      <c r="Y389" s="261"/>
      <c r="Z389" s="261"/>
      <c r="AA389" s="261"/>
      <c r="AB389" s="261"/>
      <c r="AC389" s="261"/>
      <c r="AD389" s="261"/>
      <c r="AF389" s="8">
        <v>748</v>
      </c>
      <c r="AG389" s="261"/>
      <c r="AH389" s="261"/>
      <c r="AI389" s="261"/>
      <c r="AJ389" s="261"/>
      <c r="AK389" s="261"/>
      <c r="AL389" s="261"/>
      <c r="AM389" s="261"/>
      <c r="AO389" s="12">
        <v>748</v>
      </c>
      <c r="AP389" s="264"/>
      <c r="AQ389" s="264"/>
      <c r="AR389" s="264">
        <v>0.71680301140065</v>
      </c>
      <c r="AS389" s="264"/>
      <c r="AT389" s="264"/>
      <c r="AU389" s="264"/>
      <c r="AV389" s="264"/>
      <c r="AW389" s="264"/>
      <c r="AX389" s="264"/>
      <c r="BP389" s="272">
        <f>Inputs!B392</f>
        <v>748</v>
      </c>
      <c r="BQ389" s="272">
        <f>IF(LEFT(Inputs!$C$11,6)="photon",10^Inputs!C392,Inputs!C392)</f>
        <v>1.14258745415568</v>
      </c>
      <c r="BR389" s="272"/>
      <c r="BS389" s="272">
        <f>'Advanced Inputs'!I394</f>
        <v>748</v>
      </c>
      <c r="BT389" s="272">
        <f>IF('Advanced Inputs'!J$19="Photon system",10^'Advanced Inputs'!J394,'Advanced Inputs'!J394)</f>
        <v>0</v>
      </c>
      <c r="BV389" s="272">
        <v>748</v>
      </c>
      <c r="BW389" s="8">
        <v>225.951</v>
      </c>
      <c r="BX389" s="8">
        <v>65.8916</v>
      </c>
      <c r="CC389" s="8">
        <v>1</v>
      </c>
    </row>
    <row r="390" hidden="1" spans="8:81">
      <c r="H390" s="8">
        <v>749</v>
      </c>
      <c r="I390" s="261"/>
      <c r="J390" s="261"/>
      <c r="K390" s="261"/>
      <c r="L390" s="261"/>
      <c r="M390" s="261"/>
      <c r="N390" s="261"/>
      <c r="O390" s="261"/>
      <c r="P390" s="261"/>
      <c r="Q390" s="261"/>
      <c r="R390" s="261"/>
      <c r="S390" s="261">
        <v>0.20544</v>
      </c>
      <c r="T390" s="261"/>
      <c r="V390" s="8">
        <v>749</v>
      </c>
      <c r="W390" s="261"/>
      <c r="X390" s="261"/>
      <c r="Y390" s="261"/>
      <c r="Z390" s="261"/>
      <c r="AA390" s="261"/>
      <c r="AB390" s="261"/>
      <c r="AC390" s="261"/>
      <c r="AD390" s="261"/>
      <c r="AF390" s="8">
        <v>749</v>
      </c>
      <c r="AG390" s="261"/>
      <c r="AH390" s="261"/>
      <c r="AI390" s="261"/>
      <c r="AJ390" s="261"/>
      <c r="AK390" s="261"/>
      <c r="AL390" s="261"/>
      <c r="AM390" s="261"/>
      <c r="AO390" s="12">
        <v>749</v>
      </c>
      <c r="AP390" s="264"/>
      <c r="AQ390" s="264"/>
      <c r="AR390" s="264">
        <v>0.695797386936152</v>
      </c>
      <c r="AS390" s="264"/>
      <c r="AT390" s="264"/>
      <c r="AU390" s="264"/>
      <c r="AV390" s="264"/>
      <c r="AW390" s="264"/>
      <c r="AX390" s="264"/>
      <c r="BP390" s="272">
        <f>Inputs!B393</f>
        <v>749</v>
      </c>
      <c r="BQ390" s="272">
        <f>IF(LEFT(Inputs!$C$11,6)="photon",10^Inputs!C393,Inputs!C393)</f>
        <v>1.11621441330348</v>
      </c>
      <c r="BR390" s="272"/>
      <c r="BS390" s="272">
        <f>'Advanced Inputs'!I395</f>
        <v>749</v>
      </c>
      <c r="BT390" s="272">
        <f>IF('Advanced Inputs'!J$19="Photon system",10^'Advanced Inputs'!J395,'Advanced Inputs'!J395)</f>
        <v>0</v>
      </c>
      <c r="BV390" s="272">
        <v>749</v>
      </c>
      <c r="BW390" s="8">
        <v>226.477</v>
      </c>
      <c r="BX390" s="8">
        <v>64.7421</v>
      </c>
      <c r="CC390" s="8">
        <v>1</v>
      </c>
    </row>
    <row r="391" hidden="1" spans="8:81">
      <c r="H391" s="8">
        <v>750</v>
      </c>
      <c r="I391" s="261"/>
      <c r="J391" s="261"/>
      <c r="K391" s="261"/>
      <c r="L391" s="261"/>
      <c r="M391" s="261"/>
      <c r="N391" s="261"/>
      <c r="O391" s="261"/>
      <c r="P391" s="261"/>
      <c r="Q391" s="261"/>
      <c r="R391" s="261"/>
      <c r="S391" s="261">
        <v>0.2</v>
      </c>
      <c r="T391" s="261"/>
      <c r="V391" s="8">
        <v>750</v>
      </c>
      <c r="W391" s="261"/>
      <c r="X391" s="261"/>
      <c r="Y391" s="261"/>
      <c r="Z391" s="261"/>
      <c r="AA391" s="261"/>
      <c r="AB391" s="261"/>
      <c r="AC391" s="261"/>
      <c r="AD391" s="261"/>
      <c r="AF391" s="8">
        <v>750</v>
      </c>
      <c r="AG391" s="261"/>
      <c r="AH391" s="261"/>
      <c r="AI391" s="261"/>
      <c r="AJ391" s="261"/>
      <c r="AK391" s="261"/>
      <c r="AL391" s="261"/>
      <c r="AM391" s="261"/>
      <c r="AO391" s="12">
        <v>750</v>
      </c>
      <c r="AP391" s="264"/>
      <c r="AQ391" s="264"/>
      <c r="AR391" s="264">
        <v>0.675507087829775</v>
      </c>
      <c r="AS391" s="264"/>
      <c r="AT391" s="264"/>
      <c r="AU391" s="264"/>
      <c r="AV391" s="264"/>
      <c r="AW391" s="264"/>
      <c r="AX391" s="264"/>
      <c r="BP391" s="272">
        <f>Inputs!B394</f>
        <v>750</v>
      </c>
      <c r="BQ391" s="272">
        <f>IF(LEFT(Inputs!$C$11,6)="photon",10^Inputs!C394,Inputs!C394)</f>
        <v>1.08327774016807</v>
      </c>
      <c r="BR391" s="272"/>
      <c r="BS391" s="272">
        <f>'Advanced Inputs'!I396</f>
        <v>750</v>
      </c>
      <c r="BT391" s="272">
        <f>IF('Advanced Inputs'!J$19="Photon system",10^'Advanced Inputs'!J396,'Advanced Inputs'!J396)</f>
        <v>0</v>
      </c>
      <c r="BV391" s="272">
        <v>750</v>
      </c>
      <c r="BW391" s="8">
        <v>227</v>
      </c>
      <c r="BX391" s="8">
        <v>63.5927</v>
      </c>
      <c r="CC391" s="8">
        <v>1</v>
      </c>
    </row>
    <row r="392" hidden="1" spans="8:81">
      <c r="H392" s="8">
        <v>751</v>
      </c>
      <c r="I392" s="261"/>
      <c r="J392" s="261"/>
      <c r="K392" s="261"/>
      <c r="L392" s="261"/>
      <c r="M392" s="261"/>
      <c r="N392" s="261"/>
      <c r="O392" s="261"/>
      <c r="P392" s="261"/>
      <c r="Q392" s="261"/>
      <c r="R392" s="261"/>
      <c r="S392" s="261">
        <v>0.20288</v>
      </c>
      <c r="T392" s="261"/>
      <c r="V392" s="8">
        <v>751</v>
      </c>
      <c r="W392" s="261"/>
      <c r="X392" s="261"/>
      <c r="Y392" s="261"/>
      <c r="Z392" s="261"/>
      <c r="AA392" s="261"/>
      <c r="AB392" s="261"/>
      <c r="AC392" s="261"/>
      <c r="AD392" s="261"/>
      <c r="AF392" s="8">
        <v>751</v>
      </c>
      <c r="AG392" s="261"/>
      <c r="AH392" s="261"/>
      <c r="AI392" s="261"/>
      <c r="AJ392" s="261"/>
      <c r="AK392" s="261"/>
      <c r="AL392" s="261"/>
      <c r="AM392" s="261"/>
      <c r="AO392" s="12">
        <v>751</v>
      </c>
      <c r="AP392" s="264"/>
      <c r="AQ392" s="264"/>
      <c r="AR392" s="264">
        <v>0.655808691556236</v>
      </c>
      <c r="AS392" s="264"/>
      <c r="AT392" s="264"/>
      <c r="AU392" s="264"/>
      <c r="AV392" s="264"/>
      <c r="AW392" s="264"/>
      <c r="AX392" s="264"/>
      <c r="BP392" s="272">
        <f>Inputs!B395</f>
        <v>751</v>
      </c>
      <c r="BQ392" s="272">
        <f>IF(LEFT(Inputs!$C$11,6)="photon",10^Inputs!C395,Inputs!C395)</f>
        <v>1.04699999503139</v>
      </c>
      <c r="BR392" s="272"/>
      <c r="BS392" s="272">
        <f>'Advanced Inputs'!I397</f>
        <v>751</v>
      </c>
      <c r="BT392" s="272">
        <f>IF('Advanced Inputs'!J$19="Photon system",10^'Advanced Inputs'!J397,'Advanced Inputs'!J397)</f>
        <v>0</v>
      </c>
      <c r="BV392" s="272">
        <v>751</v>
      </c>
      <c r="BW392" s="8">
        <v>227.522</v>
      </c>
      <c r="BX392" s="8">
        <v>61.8752</v>
      </c>
      <c r="CC392" s="8">
        <v>1</v>
      </c>
    </row>
    <row r="393" hidden="1" spans="8:81">
      <c r="H393" s="8">
        <v>752</v>
      </c>
      <c r="I393" s="261"/>
      <c r="J393" s="261"/>
      <c r="K393" s="261"/>
      <c r="L393" s="261"/>
      <c r="M393" s="261"/>
      <c r="N393" s="261"/>
      <c r="O393" s="261"/>
      <c r="P393" s="261"/>
      <c r="Q393" s="261"/>
      <c r="R393" s="261"/>
      <c r="S393" s="261">
        <v>0.20864</v>
      </c>
      <c r="T393" s="261"/>
      <c r="V393" s="8">
        <v>752</v>
      </c>
      <c r="W393" s="261"/>
      <c r="X393" s="261"/>
      <c r="Y393" s="261"/>
      <c r="Z393" s="261"/>
      <c r="AA393" s="261"/>
      <c r="AB393" s="261"/>
      <c r="AC393" s="261"/>
      <c r="AD393" s="261"/>
      <c r="AF393" s="8">
        <v>752</v>
      </c>
      <c r="AG393" s="261"/>
      <c r="AH393" s="261"/>
      <c r="AI393" s="261"/>
      <c r="AJ393" s="261"/>
      <c r="AK393" s="261"/>
      <c r="AL393" s="261"/>
      <c r="AM393" s="261"/>
      <c r="AO393" s="12">
        <v>752</v>
      </c>
      <c r="AP393" s="264"/>
      <c r="AQ393" s="264"/>
      <c r="AR393" s="264">
        <v>0.63683081398864</v>
      </c>
      <c r="AS393" s="264"/>
      <c r="AT393" s="264"/>
      <c r="AU393" s="264"/>
      <c r="AV393" s="264"/>
      <c r="AW393" s="264"/>
      <c r="AX393" s="264"/>
      <c r="BP393" s="272">
        <f>Inputs!B396</f>
        <v>752</v>
      </c>
      <c r="BQ393" s="272">
        <f>IF(LEFT(Inputs!$C$11,6)="photon",10^Inputs!C396,Inputs!C396)</f>
        <v>1.02001641393857</v>
      </c>
      <c r="BR393" s="272"/>
      <c r="BS393" s="272">
        <f>'Advanced Inputs'!I398</f>
        <v>752</v>
      </c>
      <c r="BT393" s="272">
        <f>IF('Advanced Inputs'!J$19="Photon system",10^'Advanced Inputs'!J398,'Advanced Inputs'!J398)</f>
        <v>0</v>
      </c>
      <c r="BV393" s="272">
        <v>752</v>
      </c>
      <c r="BW393" s="8">
        <v>228.041</v>
      </c>
      <c r="BX393" s="8">
        <v>60.1578</v>
      </c>
      <c r="CC393" s="8">
        <v>1</v>
      </c>
    </row>
    <row r="394" hidden="1" spans="8:81">
      <c r="H394" s="8">
        <v>753</v>
      </c>
      <c r="I394" s="261"/>
      <c r="J394" s="261"/>
      <c r="K394" s="261"/>
      <c r="L394" s="261"/>
      <c r="M394" s="261"/>
      <c r="N394" s="261"/>
      <c r="O394" s="261"/>
      <c r="P394" s="261"/>
      <c r="Q394" s="261"/>
      <c r="R394" s="261"/>
      <c r="S394" s="261">
        <v>0.21696</v>
      </c>
      <c r="T394" s="261"/>
      <c r="V394" s="8">
        <v>753</v>
      </c>
      <c r="W394" s="261"/>
      <c r="X394" s="261"/>
      <c r="Y394" s="261"/>
      <c r="Z394" s="261"/>
      <c r="AA394" s="261"/>
      <c r="AB394" s="261"/>
      <c r="AC394" s="261"/>
      <c r="AD394" s="261"/>
      <c r="AF394" s="8">
        <v>753</v>
      </c>
      <c r="AG394" s="261"/>
      <c r="AH394" s="261"/>
      <c r="AI394" s="261"/>
      <c r="AJ394" s="261"/>
      <c r="AK394" s="261"/>
      <c r="AL394" s="261"/>
      <c r="AM394" s="261"/>
      <c r="AO394" s="12">
        <v>753</v>
      </c>
      <c r="AP394" s="264"/>
      <c r="AQ394" s="264"/>
      <c r="AR394" s="264">
        <v>0.618213111294923</v>
      </c>
      <c r="AS394" s="264"/>
      <c r="AT394" s="264"/>
      <c r="AU394" s="264"/>
      <c r="AV394" s="264"/>
      <c r="AW394" s="264"/>
      <c r="AX394" s="264"/>
      <c r="BP394" s="272">
        <f>Inputs!B397</f>
        <v>753</v>
      </c>
      <c r="BQ394" s="272">
        <f>IF(LEFT(Inputs!$C$11,6)="photon",10^Inputs!C397,Inputs!C397)</f>
        <v>0.996289191771972</v>
      </c>
      <c r="BR394" s="272"/>
      <c r="BS394" s="272">
        <f>'Advanced Inputs'!I399</f>
        <v>753</v>
      </c>
      <c r="BT394" s="272">
        <f>IF('Advanced Inputs'!J$19="Photon system",10^'Advanced Inputs'!J399,'Advanced Inputs'!J399)</f>
        <v>0</v>
      </c>
      <c r="BV394" s="272">
        <v>753</v>
      </c>
      <c r="BW394" s="8">
        <v>228.558</v>
      </c>
      <c r="BX394" s="8">
        <v>58.4403</v>
      </c>
      <c r="CC394" s="8">
        <v>1</v>
      </c>
    </row>
    <row r="395" hidden="1" spans="8:81">
      <c r="H395" s="8">
        <v>754</v>
      </c>
      <c r="I395" s="261"/>
      <c r="J395" s="261"/>
      <c r="K395" s="261"/>
      <c r="L395" s="261"/>
      <c r="M395" s="261"/>
      <c r="N395" s="261"/>
      <c r="O395" s="261"/>
      <c r="P395" s="261"/>
      <c r="Q395" s="261"/>
      <c r="R395" s="261"/>
      <c r="S395" s="261">
        <v>0.22752</v>
      </c>
      <c r="T395" s="261"/>
      <c r="V395" s="8">
        <v>754</v>
      </c>
      <c r="W395" s="261"/>
      <c r="X395" s="261"/>
      <c r="Y395" s="261"/>
      <c r="Z395" s="261"/>
      <c r="AA395" s="261"/>
      <c r="AB395" s="261"/>
      <c r="AC395" s="261"/>
      <c r="AD395" s="261"/>
      <c r="AF395" s="8">
        <v>754</v>
      </c>
      <c r="AG395" s="261"/>
      <c r="AH395" s="261"/>
      <c r="AI395" s="261"/>
      <c r="AJ395" s="261"/>
      <c r="AK395" s="261"/>
      <c r="AL395" s="261"/>
      <c r="AM395" s="261"/>
      <c r="AO395" s="12">
        <v>754</v>
      </c>
      <c r="AP395" s="264"/>
      <c r="AQ395" s="264"/>
      <c r="AR395" s="264">
        <v>0.600319454224366</v>
      </c>
      <c r="AS395" s="264"/>
      <c r="AT395" s="264"/>
      <c r="AU395" s="264"/>
      <c r="AV395" s="264"/>
      <c r="AW395" s="264"/>
      <c r="AX395" s="264"/>
      <c r="BP395" s="272">
        <f>Inputs!B398</f>
        <v>754</v>
      </c>
      <c r="BQ395" s="272">
        <f>IF(LEFT(Inputs!$C$11,6)="photon",10^Inputs!C398,Inputs!C398)</f>
        <v>0.965150340714146</v>
      </c>
      <c r="BR395" s="272"/>
      <c r="BS395" s="272">
        <f>'Advanced Inputs'!I400</f>
        <v>754</v>
      </c>
      <c r="BT395" s="272">
        <f>IF('Advanced Inputs'!J$19="Photon system",10^'Advanced Inputs'!J400,'Advanced Inputs'!J400)</f>
        <v>0</v>
      </c>
      <c r="BV395" s="272">
        <v>754</v>
      </c>
      <c r="BW395" s="8">
        <v>229.073</v>
      </c>
      <c r="BX395" s="8">
        <v>56.7229</v>
      </c>
      <c r="CC395" s="8">
        <v>1</v>
      </c>
    </row>
    <row r="396" hidden="1" spans="8:81">
      <c r="H396" s="8">
        <v>755</v>
      </c>
      <c r="I396" s="261"/>
      <c r="J396" s="261"/>
      <c r="K396" s="261"/>
      <c r="L396" s="261"/>
      <c r="M396" s="261"/>
      <c r="N396" s="261"/>
      <c r="O396" s="261"/>
      <c r="P396" s="261"/>
      <c r="Q396" s="261"/>
      <c r="R396" s="261"/>
      <c r="S396" s="261">
        <v>0.24</v>
      </c>
      <c r="T396" s="261"/>
      <c r="V396" s="8">
        <v>755</v>
      </c>
      <c r="W396" s="261"/>
      <c r="X396" s="261"/>
      <c r="Y396" s="261"/>
      <c r="Z396" s="261"/>
      <c r="AA396" s="261"/>
      <c r="AB396" s="261"/>
      <c r="AC396" s="261"/>
      <c r="AD396" s="261"/>
      <c r="AF396" s="8">
        <v>755</v>
      </c>
      <c r="AG396" s="261"/>
      <c r="AH396" s="261"/>
      <c r="AI396" s="261"/>
      <c r="AJ396" s="261"/>
      <c r="AK396" s="261"/>
      <c r="AL396" s="261"/>
      <c r="AM396" s="261"/>
      <c r="AO396" s="12">
        <v>755</v>
      </c>
      <c r="AP396" s="264"/>
      <c r="AQ396" s="264"/>
      <c r="AR396" s="264">
        <v>0.583103559017245</v>
      </c>
      <c r="AS396" s="264"/>
      <c r="AT396" s="264"/>
      <c r="AU396" s="264"/>
      <c r="AV396" s="264"/>
      <c r="AW396" s="264"/>
      <c r="AX396" s="264"/>
      <c r="BP396" s="272">
        <f>Inputs!B399</f>
        <v>755</v>
      </c>
      <c r="BQ396" s="272">
        <f>IF(LEFT(Inputs!$C$11,6)="photon",10^Inputs!C399,Inputs!C399)</f>
        <v>0.941575861839882</v>
      </c>
      <c r="BR396" s="272"/>
      <c r="BS396" s="272">
        <f>'Advanced Inputs'!I401</f>
        <v>755</v>
      </c>
      <c r="BT396" s="272">
        <f>IF('Advanced Inputs'!J$19="Photon system",10^'Advanced Inputs'!J401,'Advanced Inputs'!J401)</f>
        <v>0</v>
      </c>
      <c r="BV396" s="272">
        <v>755</v>
      </c>
      <c r="BW396" s="8">
        <v>229.585</v>
      </c>
      <c r="BX396" s="8">
        <v>55.0054</v>
      </c>
      <c r="CC396" s="8">
        <v>1</v>
      </c>
    </row>
    <row r="397" hidden="1" spans="8:81">
      <c r="H397" s="8">
        <v>756</v>
      </c>
      <c r="I397" s="261"/>
      <c r="J397" s="261"/>
      <c r="K397" s="261"/>
      <c r="L397" s="261"/>
      <c r="M397" s="261"/>
      <c r="N397" s="261"/>
      <c r="O397" s="261"/>
      <c r="P397" s="261"/>
      <c r="Q397" s="261"/>
      <c r="R397" s="261"/>
      <c r="S397" s="261">
        <v>0.25856</v>
      </c>
      <c r="T397" s="261"/>
      <c r="V397" s="8">
        <v>756</v>
      </c>
      <c r="W397" s="261"/>
      <c r="X397" s="261"/>
      <c r="Y397" s="261"/>
      <c r="Z397" s="261"/>
      <c r="AA397" s="261"/>
      <c r="AB397" s="261"/>
      <c r="AC397" s="261"/>
      <c r="AD397" s="261"/>
      <c r="AF397" s="8">
        <v>756</v>
      </c>
      <c r="AG397" s="261"/>
      <c r="AH397" s="261"/>
      <c r="AI397" s="261"/>
      <c r="AJ397" s="261"/>
      <c r="AK397" s="261"/>
      <c r="AL397" s="261"/>
      <c r="AM397" s="261"/>
      <c r="AO397" s="12">
        <v>756</v>
      </c>
      <c r="AP397" s="264"/>
      <c r="AQ397" s="264"/>
      <c r="AR397" s="264">
        <v>0.565886395060303</v>
      </c>
      <c r="AS397" s="264"/>
      <c r="AT397" s="264"/>
      <c r="AU397" s="264"/>
      <c r="AV397" s="264"/>
      <c r="AW397" s="264"/>
      <c r="AX397" s="264"/>
      <c r="BP397" s="272">
        <f>Inputs!B400</f>
        <v>756</v>
      </c>
      <c r="BQ397" s="272">
        <f>IF(LEFT(Inputs!$C$11,6)="photon",10^Inputs!C400,Inputs!C400)</f>
        <v>0.913523943558157</v>
      </c>
      <c r="BR397" s="272"/>
      <c r="BS397" s="272">
        <f>'Advanced Inputs'!I402</f>
        <v>756</v>
      </c>
      <c r="BT397" s="272">
        <f>IF('Advanced Inputs'!J$19="Photon system",10^'Advanced Inputs'!J402,'Advanced Inputs'!J402)</f>
        <v>0</v>
      </c>
      <c r="BV397" s="272">
        <v>756</v>
      </c>
      <c r="BW397" s="8">
        <v>230.096</v>
      </c>
      <c r="BX397" s="8">
        <v>53.288</v>
      </c>
      <c r="CC397" s="8">
        <v>1</v>
      </c>
    </row>
    <row r="398" hidden="1" spans="8:81">
      <c r="H398" s="8">
        <v>757</v>
      </c>
      <c r="I398" s="261"/>
      <c r="J398" s="261"/>
      <c r="K398" s="261"/>
      <c r="L398" s="261"/>
      <c r="M398" s="261"/>
      <c r="N398" s="261"/>
      <c r="O398" s="261"/>
      <c r="P398" s="261"/>
      <c r="Q398" s="261"/>
      <c r="R398" s="261"/>
      <c r="S398" s="261">
        <v>0.27728</v>
      </c>
      <c r="T398" s="261"/>
      <c r="V398" s="8">
        <v>757</v>
      </c>
      <c r="W398" s="261"/>
      <c r="X398" s="261"/>
      <c r="Y398" s="261"/>
      <c r="Z398" s="261"/>
      <c r="AA398" s="261"/>
      <c r="AB398" s="261"/>
      <c r="AC398" s="261"/>
      <c r="AD398" s="261"/>
      <c r="AF398" s="8">
        <v>757</v>
      </c>
      <c r="AG398" s="261"/>
      <c r="AH398" s="261"/>
      <c r="AI398" s="261"/>
      <c r="AJ398" s="261"/>
      <c r="AK398" s="261"/>
      <c r="AL398" s="261"/>
      <c r="AM398" s="261"/>
      <c r="AO398" s="12">
        <v>757</v>
      </c>
      <c r="AP398" s="264"/>
      <c r="AQ398" s="264"/>
      <c r="AR398" s="264">
        <v>0.549445514043791</v>
      </c>
      <c r="AS398" s="264"/>
      <c r="AT398" s="264"/>
      <c r="AU398" s="264"/>
      <c r="AV398" s="264"/>
      <c r="AW398" s="264"/>
      <c r="AX398" s="264"/>
      <c r="BP398" s="272">
        <f>Inputs!B401</f>
        <v>757</v>
      </c>
      <c r="BQ398" s="272">
        <f>IF(LEFT(Inputs!$C$11,6)="photon",10^Inputs!C401,Inputs!C401)</f>
        <v>0.888405781831483</v>
      </c>
      <c r="BR398" s="272"/>
      <c r="BS398" s="272">
        <f>'Advanced Inputs'!I403</f>
        <v>757</v>
      </c>
      <c r="BT398" s="272">
        <f>IF('Advanced Inputs'!J$19="Photon system",10^'Advanced Inputs'!J403,'Advanced Inputs'!J403)</f>
        <v>0</v>
      </c>
      <c r="BV398" s="272">
        <v>757</v>
      </c>
      <c r="BW398" s="8">
        <v>230.604</v>
      </c>
      <c r="BX398" s="8">
        <v>51.5705</v>
      </c>
      <c r="CC398" s="8">
        <v>1</v>
      </c>
    </row>
    <row r="399" hidden="1" spans="8:81">
      <c r="H399" s="8">
        <v>758</v>
      </c>
      <c r="I399" s="261"/>
      <c r="J399" s="261"/>
      <c r="K399" s="261"/>
      <c r="L399" s="261"/>
      <c r="M399" s="261"/>
      <c r="N399" s="261"/>
      <c r="O399" s="261"/>
      <c r="P399" s="261"/>
      <c r="Q399" s="261"/>
      <c r="R399" s="261"/>
      <c r="S399" s="261">
        <v>0.29472</v>
      </c>
      <c r="T399" s="261"/>
      <c r="V399" s="8">
        <v>758</v>
      </c>
      <c r="W399" s="261"/>
      <c r="X399" s="261"/>
      <c r="Y399" s="261"/>
      <c r="Z399" s="261"/>
      <c r="AA399" s="261"/>
      <c r="AB399" s="261"/>
      <c r="AC399" s="261"/>
      <c r="AD399" s="261"/>
      <c r="AF399" s="8">
        <v>758</v>
      </c>
      <c r="AG399" s="261"/>
      <c r="AH399" s="261"/>
      <c r="AI399" s="261"/>
      <c r="AJ399" s="261"/>
      <c r="AK399" s="261"/>
      <c r="AL399" s="261"/>
      <c r="AM399" s="261"/>
      <c r="AO399" s="12">
        <v>758</v>
      </c>
      <c r="AP399" s="264"/>
      <c r="AQ399" s="264"/>
      <c r="AR399" s="264">
        <v>0.533493051724896</v>
      </c>
      <c r="AS399" s="264"/>
      <c r="AT399" s="264"/>
      <c r="AU399" s="264"/>
      <c r="AV399" s="264"/>
      <c r="AW399" s="264"/>
      <c r="AX399" s="264"/>
      <c r="BP399" s="272">
        <f>Inputs!B402</f>
        <v>758</v>
      </c>
      <c r="BQ399" s="272">
        <f>IF(LEFT(Inputs!$C$11,6)="photon",10^Inputs!C402,Inputs!C402)</f>
        <v>0.86033674776326</v>
      </c>
      <c r="BR399" s="272"/>
      <c r="BS399" s="272">
        <f>'Advanced Inputs'!I404</f>
        <v>758</v>
      </c>
      <c r="BT399" s="272">
        <f>IF('Advanced Inputs'!J$19="Photon system",10^'Advanced Inputs'!J404,'Advanced Inputs'!J404)</f>
        <v>0</v>
      </c>
      <c r="BV399" s="272">
        <v>758</v>
      </c>
      <c r="BW399" s="8">
        <v>231.11</v>
      </c>
      <c r="BX399" s="8">
        <v>49.8531</v>
      </c>
      <c r="CC399" s="8">
        <v>1</v>
      </c>
    </row>
    <row r="400" hidden="1" spans="8:81">
      <c r="H400" s="8">
        <v>759</v>
      </c>
      <c r="I400" s="261"/>
      <c r="J400" s="261"/>
      <c r="K400" s="261"/>
      <c r="L400" s="261"/>
      <c r="M400" s="261"/>
      <c r="N400" s="261"/>
      <c r="O400" s="261"/>
      <c r="P400" s="261"/>
      <c r="Q400" s="261"/>
      <c r="R400" s="261"/>
      <c r="S400" s="261">
        <v>0.30944</v>
      </c>
      <c r="T400" s="261"/>
      <c r="V400" s="8">
        <v>759</v>
      </c>
      <c r="W400" s="261"/>
      <c r="X400" s="261"/>
      <c r="Y400" s="261"/>
      <c r="Z400" s="261"/>
      <c r="AA400" s="261"/>
      <c r="AB400" s="261"/>
      <c r="AC400" s="261"/>
      <c r="AD400" s="261"/>
      <c r="AF400" s="8">
        <v>759</v>
      </c>
      <c r="AG400" s="261"/>
      <c r="AH400" s="261"/>
      <c r="AI400" s="261"/>
      <c r="AJ400" s="261"/>
      <c r="AK400" s="261"/>
      <c r="AL400" s="261"/>
      <c r="AM400" s="261"/>
      <c r="AO400" s="12">
        <v>759</v>
      </c>
      <c r="AP400" s="264"/>
      <c r="AQ400" s="264"/>
      <c r="AR400" s="264">
        <v>0.517882749172483</v>
      </c>
      <c r="AS400" s="264"/>
      <c r="AT400" s="264"/>
      <c r="AU400" s="264"/>
      <c r="AV400" s="264"/>
      <c r="AW400" s="264"/>
      <c r="AX400" s="264"/>
      <c r="BP400" s="272">
        <f>Inputs!B403</f>
        <v>759</v>
      </c>
      <c r="BQ400" s="272">
        <f>IF(LEFT(Inputs!$C$11,6)="photon",10^Inputs!C403,Inputs!C403)</f>
        <v>0.838220805737631</v>
      </c>
      <c r="BR400" s="272"/>
      <c r="BS400" s="272">
        <f>'Advanced Inputs'!I405</f>
        <v>759</v>
      </c>
      <c r="BT400" s="272">
        <f>IF('Advanced Inputs'!J$19="Photon system",10^'Advanced Inputs'!J405,'Advanced Inputs'!J405)</f>
        <v>0</v>
      </c>
      <c r="BV400" s="272">
        <v>759</v>
      </c>
      <c r="BW400" s="8">
        <v>231.614</v>
      </c>
      <c r="BX400" s="8">
        <v>48.1356</v>
      </c>
      <c r="CC400" s="8">
        <v>1</v>
      </c>
    </row>
    <row r="401" hidden="1" spans="8:81">
      <c r="H401" s="8">
        <v>760</v>
      </c>
      <c r="I401" s="261"/>
      <c r="J401" s="261"/>
      <c r="K401" s="261"/>
      <c r="L401" s="261"/>
      <c r="M401" s="261"/>
      <c r="N401" s="261"/>
      <c r="O401" s="261"/>
      <c r="P401" s="261"/>
      <c r="Q401" s="261"/>
      <c r="R401" s="261"/>
      <c r="S401" s="261">
        <v>0.32</v>
      </c>
      <c r="T401" s="261"/>
      <c r="V401" s="8">
        <v>760</v>
      </c>
      <c r="W401" s="261"/>
      <c r="X401" s="261"/>
      <c r="Y401" s="261"/>
      <c r="Z401" s="261"/>
      <c r="AA401" s="261"/>
      <c r="AB401" s="261"/>
      <c r="AC401" s="261"/>
      <c r="AD401" s="261"/>
      <c r="AF401" s="8">
        <v>760</v>
      </c>
      <c r="AG401" s="261"/>
      <c r="AH401" s="261"/>
      <c r="AI401" s="261"/>
      <c r="AJ401" s="261"/>
      <c r="AK401" s="261"/>
      <c r="AL401" s="261"/>
      <c r="AM401" s="261"/>
      <c r="AO401" s="12">
        <v>760</v>
      </c>
      <c r="AP401" s="264"/>
      <c r="AQ401" s="264"/>
      <c r="AR401" s="264">
        <v>0.50292256532786</v>
      </c>
      <c r="AS401" s="264"/>
      <c r="AT401" s="264"/>
      <c r="AU401" s="264"/>
      <c r="AV401" s="264"/>
      <c r="AW401" s="264"/>
      <c r="AX401" s="264"/>
      <c r="BP401" s="272">
        <f>Inputs!B404</f>
        <v>760</v>
      </c>
      <c r="BQ401" s="272">
        <f>IF(LEFT(Inputs!$C$11,6)="photon",10^Inputs!C404,Inputs!C404)</f>
        <v>0.819276509563161</v>
      </c>
      <c r="BR401" s="272"/>
      <c r="BS401" s="272">
        <f>'Advanced Inputs'!I406</f>
        <v>760</v>
      </c>
      <c r="BT401" s="272">
        <f>IF('Advanced Inputs'!J$19="Photon system",10^'Advanced Inputs'!J406,'Advanced Inputs'!J406)</f>
        <v>0</v>
      </c>
      <c r="BV401" s="272">
        <v>760</v>
      </c>
      <c r="BW401" s="8">
        <v>232.115</v>
      </c>
      <c r="BX401" s="8">
        <v>46.4182</v>
      </c>
      <c r="CC401" s="8">
        <v>1</v>
      </c>
    </row>
    <row r="402" hidden="1" spans="8:81">
      <c r="H402" s="8">
        <v>761</v>
      </c>
      <c r="I402" s="261"/>
      <c r="J402" s="261"/>
      <c r="K402" s="261"/>
      <c r="L402" s="261"/>
      <c r="M402" s="261"/>
      <c r="N402" s="261"/>
      <c r="O402" s="261"/>
      <c r="P402" s="261"/>
      <c r="Q402" s="261"/>
      <c r="R402" s="261"/>
      <c r="S402" s="261">
        <v>0.316</v>
      </c>
      <c r="T402" s="261"/>
      <c r="V402" s="8">
        <v>761</v>
      </c>
      <c r="W402" s="261"/>
      <c r="X402" s="261"/>
      <c r="Y402" s="261"/>
      <c r="Z402" s="261"/>
      <c r="AA402" s="261"/>
      <c r="AB402" s="261"/>
      <c r="AC402" s="261"/>
      <c r="AD402" s="261"/>
      <c r="AF402" s="8">
        <v>761</v>
      </c>
      <c r="AG402" s="261"/>
      <c r="AH402" s="261"/>
      <c r="AI402" s="261"/>
      <c r="AJ402" s="261"/>
      <c r="AK402" s="261"/>
      <c r="AL402" s="261"/>
      <c r="AM402" s="261"/>
      <c r="AO402" s="12">
        <v>761</v>
      </c>
      <c r="AP402" s="264"/>
      <c r="AQ402" s="264"/>
      <c r="AR402" s="264">
        <v>0.488206418146956</v>
      </c>
      <c r="AS402" s="264"/>
      <c r="AT402" s="264"/>
      <c r="AU402" s="264"/>
      <c r="AV402" s="264"/>
      <c r="AW402" s="264"/>
      <c r="AX402" s="264"/>
      <c r="BP402" s="272">
        <f>Inputs!B405</f>
        <v>761</v>
      </c>
      <c r="BQ402" s="272">
        <f>IF(LEFT(Inputs!$C$11,6)="photon",10^Inputs!C405,Inputs!C405)</f>
        <v>0.796108913206406</v>
      </c>
      <c r="BR402" s="272"/>
      <c r="BS402" s="272">
        <f>'Advanced Inputs'!I407</f>
        <v>761</v>
      </c>
      <c r="BT402" s="272">
        <f>IF('Advanced Inputs'!J$19="Photon system",10^'Advanced Inputs'!J407,'Advanced Inputs'!J407)</f>
        <v>0</v>
      </c>
      <c r="BV402" s="272">
        <v>761</v>
      </c>
      <c r="BW402" s="8">
        <v>232.615</v>
      </c>
      <c r="BX402" s="8">
        <v>48.4569</v>
      </c>
      <c r="CC402" s="8">
        <v>1</v>
      </c>
    </row>
    <row r="403" hidden="1" spans="8:81">
      <c r="H403" s="8">
        <v>762</v>
      </c>
      <c r="I403" s="261"/>
      <c r="J403" s="261"/>
      <c r="K403" s="261"/>
      <c r="L403" s="261"/>
      <c r="M403" s="261"/>
      <c r="N403" s="261"/>
      <c r="O403" s="261"/>
      <c r="P403" s="261"/>
      <c r="Q403" s="261"/>
      <c r="R403" s="261"/>
      <c r="S403" s="261">
        <v>0.3072</v>
      </c>
      <c r="T403" s="261"/>
      <c r="V403" s="8">
        <v>762</v>
      </c>
      <c r="W403" s="261"/>
      <c r="X403" s="261"/>
      <c r="Y403" s="261"/>
      <c r="Z403" s="261"/>
      <c r="AA403" s="261"/>
      <c r="AB403" s="261"/>
      <c r="AC403" s="261"/>
      <c r="AD403" s="261"/>
      <c r="AF403" s="8">
        <v>762</v>
      </c>
      <c r="AG403" s="261"/>
      <c r="AH403" s="261"/>
      <c r="AI403" s="261"/>
      <c r="AJ403" s="261"/>
      <c r="AK403" s="261"/>
      <c r="AL403" s="261"/>
      <c r="AM403" s="261"/>
      <c r="AO403" s="12">
        <v>762</v>
      </c>
      <c r="AP403" s="264"/>
      <c r="AQ403" s="264"/>
      <c r="AR403" s="264">
        <v>0.474013638007037</v>
      </c>
      <c r="AS403" s="264"/>
      <c r="AT403" s="264"/>
      <c r="AU403" s="264"/>
      <c r="AV403" s="264"/>
      <c r="AW403" s="264"/>
      <c r="AX403" s="264"/>
      <c r="BP403" s="272">
        <f>Inputs!B406</f>
        <v>762</v>
      </c>
      <c r="BQ403" s="272">
        <f>IF(LEFT(Inputs!$C$11,6)="photon",10^Inputs!C406,Inputs!C406)</f>
        <v>0.770804209543117</v>
      </c>
      <c r="BR403" s="272"/>
      <c r="BS403" s="272">
        <f>'Advanced Inputs'!I408</f>
        <v>762</v>
      </c>
      <c r="BT403" s="272">
        <f>IF('Advanced Inputs'!J$19="Photon system",10^'Advanced Inputs'!J408,'Advanced Inputs'!J408)</f>
        <v>0</v>
      </c>
      <c r="BV403" s="272">
        <v>762</v>
      </c>
      <c r="BW403" s="8">
        <v>233.112</v>
      </c>
      <c r="BX403" s="8">
        <v>50.4956</v>
      </c>
      <c r="CC403" s="8">
        <v>1</v>
      </c>
    </row>
    <row r="404" hidden="1" spans="8:81">
      <c r="H404" s="8">
        <v>763</v>
      </c>
      <c r="I404" s="261"/>
      <c r="J404" s="261"/>
      <c r="K404" s="261"/>
      <c r="L404" s="261"/>
      <c r="M404" s="261"/>
      <c r="N404" s="261"/>
      <c r="O404" s="261"/>
      <c r="P404" s="261"/>
      <c r="Q404" s="261"/>
      <c r="R404" s="261"/>
      <c r="S404" s="261">
        <v>0.2944</v>
      </c>
      <c r="T404" s="261"/>
      <c r="V404" s="8">
        <v>763</v>
      </c>
      <c r="W404" s="261"/>
      <c r="X404" s="261"/>
      <c r="Y404" s="261"/>
      <c r="Z404" s="261"/>
      <c r="AA404" s="261"/>
      <c r="AB404" s="261"/>
      <c r="AC404" s="261"/>
      <c r="AD404" s="261"/>
      <c r="AF404" s="8">
        <v>763</v>
      </c>
      <c r="AG404" s="261"/>
      <c r="AH404" s="261"/>
      <c r="AI404" s="261"/>
      <c r="AJ404" s="261"/>
      <c r="AK404" s="261"/>
      <c r="AL404" s="261"/>
      <c r="AM404" s="261"/>
      <c r="AO404" s="12">
        <v>763</v>
      </c>
      <c r="AP404" s="264"/>
      <c r="AQ404" s="264"/>
      <c r="AR404" s="264">
        <v>0.459893520319369</v>
      </c>
      <c r="AS404" s="264"/>
      <c r="AT404" s="264"/>
      <c r="AU404" s="264"/>
      <c r="AV404" s="264"/>
      <c r="AW404" s="264"/>
      <c r="AX404" s="264"/>
      <c r="BP404" s="272">
        <f>Inputs!B407</f>
        <v>763</v>
      </c>
      <c r="BQ404" s="272">
        <f>IF(LEFT(Inputs!$C$11,6)="photon",10^Inputs!C407,Inputs!C407)</f>
        <v>0.747365358174689</v>
      </c>
      <c r="BR404" s="272"/>
      <c r="BS404" s="272">
        <f>'Advanced Inputs'!I409</f>
        <v>763</v>
      </c>
      <c r="BT404" s="272">
        <f>IF('Advanced Inputs'!J$19="Photon system",10^'Advanced Inputs'!J409,'Advanced Inputs'!J409)</f>
        <v>0</v>
      </c>
      <c r="BV404" s="272">
        <v>763</v>
      </c>
      <c r="BW404" s="8">
        <v>233.606</v>
      </c>
      <c r="BX404" s="8">
        <v>52.5344</v>
      </c>
      <c r="CC404" s="8">
        <v>1</v>
      </c>
    </row>
    <row r="405" hidden="1" spans="8:81">
      <c r="H405" s="8">
        <v>764</v>
      </c>
      <c r="I405" s="261"/>
      <c r="J405" s="261"/>
      <c r="K405" s="261"/>
      <c r="L405" s="261"/>
      <c r="M405" s="261"/>
      <c r="N405" s="261"/>
      <c r="O405" s="261"/>
      <c r="P405" s="261"/>
      <c r="Q405" s="261"/>
      <c r="R405" s="261"/>
      <c r="S405" s="261">
        <v>0.2784</v>
      </c>
      <c r="T405" s="261"/>
      <c r="V405" s="8">
        <v>764</v>
      </c>
      <c r="W405" s="261"/>
      <c r="X405" s="261"/>
      <c r="Y405" s="261"/>
      <c r="Z405" s="261"/>
      <c r="AA405" s="261"/>
      <c r="AB405" s="261"/>
      <c r="AC405" s="261"/>
      <c r="AD405" s="261"/>
      <c r="AF405" s="8">
        <v>764</v>
      </c>
      <c r="AG405" s="261"/>
      <c r="AH405" s="261"/>
      <c r="AI405" s="261"/>
      <c r="AJ405" s="261"/>
      <c r="AK405" s="261"/>
      <c r="AL405" s="261"/>
      <c r="AM405" s="261"/>
      <c r="AO405" s="12">
        <v>764</v>
      </c>
      <c r="AP405" s="264"/>
      <c r="AQ405" s="264"/>
      <c r="AR405" s="264">
        <v>0.446737834514246</v>
      </c>
      <c r="AS405" s="264"/>
      <c r="AT405" s="264"/>
      <c r="AU405" s="264"/>
      <c r="AV405" s="264"/>
      <c r="AW405" s="264"/>
      <c r="AX405" s="264"/>
      <c r="BP405" s="272">
        <f>Inputs!B408</f>
        <v>764</v>
      </c>
      <c r="BQ405" s="272">
        <f>IF(LEFT(Inputs!$C$11,6)="photon",10^Inputs!C408,Inputs!C408)</f>
        <v>0.727844320403879</v>
      </c>
      <c r="BR405" s="272"/>
      <c r="BS405" s="272">
        <f>'Advanced Inputs'!I410</f>
        <v>764</v>
      </c>
      <c r="BT405" s="272">
        <f>IF('Advanced Inputs'!J$19="Photon system",10^'Advanced Inputs'!J410,'Advanced Inputs'!J410)</f>
        <v>0</v>
      </c>
      <c r="BV405" s="272">
        <v>764</v>
      </c>
      <c r="BW405" s="8">
        <v>234.099</v>
      </c>
      <c r="BX405" s="8">
        <v>54.5731</v>
      </c>
      <c r="CC405" s="8">
        <v>1</v>
      </c>
    </row>
    <row r="406" hidden="1" spans="8:81">
      <c r="H406" s="8">
        <v>765</v>
      </c>
      <c r="I406" s="261"/>
      <c r="J406" s="261"/>
      <c r="K406" s="261"/>
      <c r="L406" s="261"/>
      <c r="M406" s="261"/>
      <c r="N406" s="261"/>
      <c r="O406" s="261"/>
      <c r="P406" s="261"/>
      <c r="Q406" s="261"/>
      <c r="R406" s="261"/>
      <c r="S406" s="261">
        <v>0.26</v>
      </c>
      <c r="T406" s="261"/>
      <c r="V406" s="8">
        <v>765</v>
      </c>
      <c r="W406" s="261"/>
      <c r="X406" s="261"/>
      <c r="Y406" s="261"/>
      <c r="Z406" s="261"/>
      <c r="AA406" s="261"/>
      <c r="AB406" s="261"/>
      <c r="AC406" s="261"/>
      <c r="AD406" s="261"/>
      <c r="AF406" s="8">
        <v>765</v>
      </c>
      <c r="AG406" s="261"/>
      <c r="AH406" s="261"/>
      <c r="AI406" s="261"/>
      <c r="AJ406" s="261"/>
      <c r="AK406" s="261"/>
      <c r="AL406" s="261"/>
      <c r="AM406" s="261"/>
      <c r="AO406" s="12">
        <v>765</v>
      </c>
      <c r="AP406" s="264"/>
      <c r="AQ406" s="264"/>
      <c r="AR406" s="264">
        <v>0.43389034639836</v>
      </c>
      <c r="AS406" s="264"/>
      <c r="AT406" s="264"/>
      <c r="AU406" s="264"/>
      <c r="AV406" s="264"/>
      <c r="AW406" s="264"/>
      <c r="AX406" s="264"/>
      <c r="BP406" s="272">
        <f>Inputs!B409</f>
        <v>765</v>
      </c>
      <c r="BQ406" s="272">
        <f>IF(LEFT(Inputs!$C$11,6)="photon",10^Inputs!C409,Inputs!C409)</f>
        <v>0.711749067709402</v>
      </c>
      <c r="BR406" s="272"/>
      <c r="BS406" s="272">
        <f>'Advanced Inputs'!I411</f>
        <v>765</v>
      </c>
      <c r="BT406" s="272">
        <f>IF('Advanced Inputs'!J$19="Photon system",10^'Advanced Inputs'!J411,'Advanced Inputs'!J411)</f>
        <v>0</v>
      </c>
      <c r="BV406" s="272">
        <v>765</v>
      </c>
      <c r="BW406" s="8">
        <v>234.589</v>
      </c>
      <c r="BX406" s="8">
        <v>56.6118</v>
      </c>
      <c r="CC406" s="8">
        <v>1</v>
      </c>
    </row>
    <row r="407" hidden="1" spans="8:81">
      <c r="H407" s="8">
        <v>766</v>
      </c>
      <c r="I407" s="261"/>
      <c r="J407" s="261"/>
      <c r="K407" s="261"/>
      <c r="L407" s="261"/>
      <c r="M407" s="261"/>
      <c r="N407" s="261"/>
      <c r="O407" s="261"/>
      <c r="P407" s="261"/>
      <c r="Q407" s="261"/>
      <c r="R407" s="261"/>
      <c r="S407" s="261">
        <v>0.24</v>
      </c>
      <c r="T407" s="261"/>
      <c r="V407" s="8">
        <v>766</v>
      </c>
      <c r="W407" s="261"/>
      <c r="X407" s="261"/>
      <c r="Y407" s="261"/>
      <c r="Z407" s="261"/>
      <c r="AA407" s="261"/>
      <c r="AB407" s="261"/>
      <c r="AC407" s="261"/>
      <c r="AD407" s="261"/>
      <c r="AF407" s="8">
        <v>766</v>
      </c>
      <c r="AG407" s="261"/>
      <c r="AH407" s="261"/>
      <c r="AI407" s="261"/>
      <c r="AJ407" s="261"/>
      <c r="AK407" s="261"/>
      <c r="AL407" s="261"/>
      <c r="AM407" s="261"/>
      <c r="AO407" s="12">
        <v>766</v>
      </c>
      <c r="AP407" s="264"/>
      <c r="AQ407" s="264"/>
      <c r="AR407" s="264">
        <v>0.421139888989518</v>
      </c>
      <c r="AS407" s="264"/>
      <c r="AT407" s="264"/>
      <c r="AU407" s="264"/>
      <c r="AV407" s="264"/>
      <c r="AW407" s="264"/>
      <c r="AX407" s="264"/>
      <c r="BP407" s="272">
        <f>Inputs!B410</f>
        <v>766</v>
      </c>
      <c r="BQ407" s="272">
        <f>IF(LEFT(Inputs!$C$11,6)="photon",10^Inputs!C410,Inputs!C410)</f>
        <v>0.689870582051165</v>
      </c>
      <c r="BR407" s="272"/>
      <c r="BS407" s="272">
        <f>'Advanced Inputs'!I412</f>
        <v>766</v>
      </c>
      <c r="BT407" s="272">
        <f>IF('Advanced Inputs'!J$19="Photon system",10^'Advanced Inputs'!J412,'Advanced Inputs'!J412)</f>
        <v>0</v>
      </c>
      <c r="BV407" s="272">
        <v>766</v>
      </c>
      <c r="BW407" s="8">
        <v>235.078</v>
      </c>
      <c r="BX407" s="8">
        <v>58.6505</v>
      </c>
      <c r="CC407" s="8">
        <v>1</v>
      </c>
    </row>
    <row r="408" hidden="1" spans="8:81">
      <c r="H408" s="8">
        <v>767</v>
      </c>
      <c r="I408" s="261"/>
      <c r="J408" s="261"/>
      <c r="K408" s="261"/>
      <c r="L408" s="261"/>
      <c r="M408" s="261"/>
      <c r="N408" s="261"/>
      <c r="O408" s="261"/>
      <c r="P408" s="261"/>
      <c r="Q408" s="261"/>
      <c r="R408" s="261"/>
      <c r="S408" s="261">
        <v>0.2192</v>
      </c>
      <c r="T408" s="261"/>
      <c r="V408" s="8">
        <v>767</v>
      </c>
      <c r="W408" s="261"/>
      <c r="X408" s="261"/>
      <c r="Y408" s="261"/>
      <c r="Z408" s="261"/>
      <c r="AA408" s="261"/>
      <c r="AB408" s="261"/>
      <c r="AC408" s="261"/>
      <c r="AD408" s="261"/>
      <c r="AF408" s="8">
        <v>767</v>
      </c>
      <c r="AG408" s="261"/>
      <c r="AH408" s="261"/>
      <c r="AI408" s="261"/>
      <c r="AJ408" s="261"/>
      <c r="AK408" s="261"/>
      <c r="AL408" s="261"/>
      <c r="AM408" s="261"/>
      <c r="AO408" s="12">
        <v>767</v>
      </c>
      <c r="AP408" s="264"/>
      <c r="AQ408" s="264"/>
      <c r="AR408" s="264">
        <v>0.408668616912037</v>
      </c>
      <c r="AS408" s="264"/>
      <c r="AT408" s="264"/>
      <c r="AU408" s="264"/>
      <c r="AV408" s="264"/>
      <c r="AW408" s="264"/>
      <c r="AX408" s="264"/>
      <c r="BP408" s="272">
        <f>Inputs!B411</f>
        <v>767</v>
      </c>
      <c r="BQ408" s="272">
        <f>IF(LEFT(Inputs!$C$11,6)="photon",10^Inputs!C411,Inputs!C411)</f>
        <v>0.671282253963426</v>
      </c>
      <c r="BR408" s="272"/>
      <c r="BS408" s="272">
        <f>'Advanced Inputs'!I413</f>
        <v>767</v>
      </c>
      <c r="BT408" s="272">
        <f>IF('Advanced Inputs'!J$19="Photon system",10^'Advanced Inputs'!J413,'Advanced Inputs'!J413)</f>
        <v>0</v>
      </c>
      <c r="BV408" s="272">
        <v>767</v>
      </c>
      <c r="BW408" s="8">
        <v>235.564</v>
      </c>
      <c r="BX408" s="8">
        <v>60.6892</v>
      </c>
      <c r="CC408" s="8">
        <v>1</v>
      </c>
    </row>
    <row r="409" hidden="1" spans="8:81">
      <c r="H409" s="8">
        <v>768</v>
      </c>
      <c r="I409" s="261"/>
      <c r="J409" s="261"/>
      <c r="K409" s="261"/>
      <c r="L409" s="261"/>
      <c r="M409" s="261"/>
      <c r="N409" s="261"/>
      <c r="O409" s="261"/>
      <c r="P409" s="261"/>
      <c r="Q409" s="261"/>
      <c r="R409" s="261"/>
      <c r="S409" s="261">
        <v>0.1984</v>
      </c>
      <c r="T409" s="261"/>
      <c r="V409" s="8">
        <v>768</v>
      </c>
      <c r="W409" s="261"/>
      <c r="X409" s="261"/>
      <c r="Y409" s="261"/>
      <c r="Z409" s="261"/>
      <c r="AA409" s="261"/>
      <c r="AB409" s="261"/>
      <c r="AC409" s="261"/>
      <c r="AD409" s="261"/>
      <c r="AF409" s="8">
        <v>768</v>
      </c>
      <c r="AG409" s="261"/>
      <c r="AH409" s="261"/>
      <c r="AI409" s="261"/>
      <c r="AJ409" s="261"/>
      <c r="AK409" s="261"/>
      <c r="AL409" s="261"/>
      <c r="AM409" s="261"/>
      <c r="AO409" s="12">
        <v>768</v>
      </c>
      <c r="AP409" s="264"/>
      <c r="AQ409" s="264"/>
      <c r="AR409" s="264">
        <v>0.396800833679902</v>
      </c>
      <c r="AS409" s="264"/>
      <c r="AT409" s="264"/>
      <c r="AU409" s="264"/>
      <c r="AV409" s="264"/>
      <c r="AW409" s="264"/>
      <c r="AX409" s="264"/>
      <c r="BP409" s="272">
        <f>Inputs!B412</f>
        <v>768</v>
      </c>
      <c r="BQ409" s="272">
        <f>IF(LEFT(Inputs!$C$11,6)="photon",10^Inputs!C412,Inputs!C412)</f>
        <v>0.645129553692124</v>
      </c>
      <c r="BR409" s="272"/>
      <c r="BS409" s="272">
        <f>'Advanced Inputs'!I414</f>
        <v>768</v>
      </c>
      <c r="BT409" s="272">
        <f>IF('Advanced Inputs'!J$19="Photon system",10^'Advanced Inputs'!J414,'Advanced Inputs'!J414)</f>
        <v>0</v>
      </c>
      <c r="BV409" s="272">
        <v>768</v>
      </c>
      <c r="BW409" s="8">
        <v>236.047</v>
      </c>
      <c r="BX409" s="8">
        <v>62.728</v>
      </c>
      <c r="CC409" s="8">
        <v>1</v>
      </c>
    </row>
    <row r="410" hidden="1" spans="8:81">
      <c r="H410" s="8">
        <v>769</v>
      </c>
      <c r="I410" s="261"/>
      <c r="J410" s="261"/>
      <c r="K410" s="261"/>
      <c r="L410" s="261"/>
      <c r="M410" s="261"/>
      <c r="N410" s="261"/>
      <c r="O410" s="261"/>
      <c r="P410" s="261"/>
      <c r="Q410" s="261"/>
      <c r="R410" s="261"/>
      <c r="S410" s="261">
        <v>0.1784</v>
      </c>
      <c r="T410" s="261"/>
      <c r="V410" s="8">
        <v>769</v>
      </c>
      <c r="W410" s="261"/>
      <c r="X410" s="261"/>
      <c r="Y410" s="261"/>
      <c r="Z410" s="261"/>
      <c r="AA410" s="261"/>
      <c r="AB410" s="261"/>
      <c r="AC410" s="261"/>
      <c r="AD410" s="261"/>
      <c r="AF410" s="8">
        <v>769</v>
      </c>
      <c r="AG410" s="261"/>
      <c r="AH410" s="261"/>
      <c r="AI410" s="261"/>
      <c r="AJ410" s="261"/>
      <c r="AK410" s="261"/>
      <c r="AL410" s="261"/>
      <c r="AM410" s="261"/>
      <c r="AO410" s="12">
        <v>769</v>
      </c>
      <c r="AP410" s="264"/>
      <c r="AQ410" s="264"/>
      <c r="AR410" s="264">
        <v>0.385335712843248</v>
      </c>
      <c r="AS410" s="264"/>
      <c r="AT410" s="264"/>
      <c r="AU410" s="264"/>
      <c r="AV410" s="264"/>
      <c r="AW410" s="264"/>
      <c r="AX410" s="264"/>
      <c r="BP410" s="272">
        <f>Inputs!B413</f>
        <v>769</v>
      </c>
      <c r="BQ410" s="272">
        <f>IF(LEFT(Inputs!$C$11,6)="photon",10^Inputs!C413,Inputs!C413)</f>
        <v>0.636836129548603</v>
      </c>
      <c r="BR410" s="272"/>
      <c r="BS410" s="272">
        <f>'Advanced Inputs'!I415</f>
        <v>769</v>
      </c>
      <c r="BT410" s="272">
        <f>IF('Advanced Inputs'!J$19="Photon system",10^'Advanced Inputs'!J415,'Advanced Inputs'!J415)</f>
        <v>0</v>
      </c>
      <c r="BV410" s="272">
        <v>769</v>
      </c>
      <c r="BW410" s="8">
        <v>236.529</v>
      </c>
      <c r="BX410" s="8">
        <v>64.7667</v>
      </c>
      <c r="CC410" s="8">
        <v>1</v>
      </c>
    </row>
    <row r="411" hidden="1" spans="8:81">
      <c r="H411" s="8">
        <v>770</v>
      </c>
      <c r="I411" s="261"/>
      <c r="J411" s="261"/>
      <c r="K411" s="261"/>
      <c r="L411" s="261"/>
      <c r="M411" s="261"/>
      <c r="N411" s="261"/>
      <c r="O411" s="261"/>
      <c r="P411" s="261"/>
      <c r="Q411" s="261"/>
      <c r="R411" s="261"/>
      <c r="S411" s="261">
        <v>0.16</v>
      </c>
      <c r="T411" s="261"/>
      <c r="V411" s="8">
        <v>770</v>
      </c>
      <c r="W411" s="261"/>
      <c r="X411" s="261"/>
      <c r="Y411" s="261"/>
      <c r="Z411" s="261"/>
      <c r="AA411" s="261"/>
      <c r="AB411" s="261"/>
      <c r="AC411" s="261"/>
      <c r="AD411" s="261"/>
      <c r="AF411" s="8">
        <v>770</v>
      </c>
      <c r="AG411" s="261"/>
      <c r="AH411" s="261"/>
      <c r="AI411" s="261"/>
      <c r="AJ411" s="261"/>
      <c r="AK411" s="261"/>
      <c r="AL411" s="261"/>
      <c r="AM411" s="261"/>
      <c r="AO411" s="12">
        <v>770</v>
      </c>
      <c r="AP411" s="264"/>
      <c r="AQ411" s="264"/>
      <c r="AR411" s="264">
        <v>0.374466162635978</v>
      </c>
      <c r="AS411" s="264"/>
      <c r="AT411" s="264"/>
      <c r="AU411" s="264"/>
      <c r="AV411" s="264"/>
      <c r="AW411" s="264"/>
      <c r="AX411" s="264"/>
      <c r="BP411" s="272">
        <f>Inputs!B414</f>
        <v>770</v>
      </c>
      <c r="BQ411" s="272">
        <f>IF(LEFT(Inputs!$C$11,6)="photon",10^Inputs!C414,Inputs!C414)</f>
        <v>0.611277286660141</v>
      </c>
      <c r="BR411" s="272"/>
      <c r="BS411" s="272">
        <f>'Advanced Inputs'!I416</f>
        <v>770</v>
      </c>
      <c r="BT411" s="272">
        <f>IF('Advanced Inputs'!J$19="Photon system",10^'Advanced Inputs'!J416,'Advanced Inputs'!J416)</f>
        <v>0</v>
      </c>
      <c r="BV411" s="272">
        <v>770</v>
      </c>
      <c r="BW411" s="8">
        <v>237.008</v>
      </c>
      <c r="BX411" s="8">
        <v>66.8054</v>
      </c>
      <c r="CC411" s="8">
        <v>1</v>
      </c>
    </row>
    <row r="412" hidden="1" spans="8:81">
      <c r="H412" s="8">
        <v>771</v>
      </c>
      <c r="I412" s="261"/>
      <c r="J412" s="261"/>
      <c r="K412" s="261"/>
      <c r="L412" s="261"/>
      <c r="M412" s="261"/>
      <c r="N412" s="261"/>
      <c r="O412" s="261"/>
      <c r="P412" s="261"/>
      <c r="Q412" s="261"/>
      <c r="R412" s="261"/>
      <c r="S412" s="261">
        <v>0.1488</v>
      </c>
      <c r="T412" s="261"/>
      <c r="V412" s="8">
        <v>771</v>
      </c>
      <c r="W412" s="261"/>
      <c r="X412" s="261"/>
      <c r="Y412" s="261"/>
      <c r="Z412" s="261"/>
      <c r="AA412" s="261"/>
      <c r="AB412" s="261"/>
      <c r="AC412" s="261"/>
      <c r="AD412" s="261"/>
      <c r="AF412" s="8">
        <v>771</v>
      </c>
      <c r="AG412" s="261"/>
      <c r="AH412" s="261"/>
      <c r="AI412" s="261"/>
      <c r="AJ412" s="261"/>
      <c r="AK412" s="261"/>
      <c r="AL412" s="261"/>
      <c r="AM412" s="261"/>
      <c r="AO412" s="12">
        <v>771</v>
      </c>
      <c r="AP412" s="264"/>
      <c r="AQ412" s="264"/>
      <c r="AR412" s="264">
        <v>0.363671322246175</v>
      </c>
      <c r="AS412" s="264"/>
      <c r="AT412" s="264"/>
      <c r="AU412" s="264"/>
      <c r="AV412" s="264"/>
      <c r="AW412" s="264"/>
      <c r="AX412" s="264"/>
      <c r="BP412" s="272">
        <f>Inputs!B415</f>
        <v>771</v>
      </c>
      <c r="BQ412" s="272">
        <f>IF(LEFT(Inputs!$C$11,6)="photon",10^Inputs!C415,Inputs!C415)</f>
        <v>0.597030770474026</v>
      </c>
      <c r="BR412" s="272"/>
      <c r="BS412" s="272">
        <f>'Advanced Inputs'!I417</f>
        <v>771</v>
      </c>
      <c r="BT412" s="272">
        <f>IF('Advanced Inputs'!J$19="Photon system",10^'Advanced Inputs'!J417,'Advanced Inputs'!J417)</f>
        <v>0</v>
      </c>
      <c r="BV412" s="272">
        <v>771</v>
      </c>
      <c r="BW412" s="8">
        <v>237.485</v>
      </c>
      <c r="BX412" s="8">
        <v>66.4631</v>
      </c>
      <c r="CC412" s="8">
        <v>1</v>
      </c>
    </row>
    <row r="413" hidden="1" spans="8:81">
      <c r="H413" s="8">
        <v>772</v>
      </c>
      <c r="I413" s="261"/>
      <c r="J413" s="261"/>
      <c r="K413" s="261"/>
      <c r="L413" s="261"/>
      <c r="M413" s="261"/>
      <c r="N413" s="261"/>
      <c r="O413" s="261"/>
      <c r="P413" s="261"/>
      <c r="Q413" s="261"/>
      <c r="R413" s="261"/>
      <c r="S413" s="261">
        <v>0.1396</v>
      </c>
      <c r="T413" s="261"/>
      <c r="V413" s="8">
        <v>772</v>
      </c>
      <c r="W413" s="261"/>
      <c r="X413" s="261"/>
      <c r="Y413" s="261"/>
      <c r="Z413" s="261"/>
      <c r="AA413" s="261"/>
      <c r="AB413" s="261"/>
      <c r="AC413" s="261"/>
      <c r="AD413" s="261"/>
      <c r="AF413" s="8">
        <v>772</v>
      </c>
      <c r="AG413" s="261"/>
      <c r="AH413" s="261"/>
      <c r="AI413" s="261"/>
      <c r="AJ413" s="261"/>
      <c r="AK413" s="261"/>
      <c r="AL413" s="261"/>
      <c r="AM413" s="261"/>
      <c r="AO413" s="12">
        <v>772</v>
      </c>
      <c r="AP413" s="264"/>
      <c r="AQ413" s="264"/>
      <c r="AR413" s="264">
        <v>0.353198551652935</v>
      </c>
      <c r="AS413" s="264"/>
      <c r="AT413" s="264"/>
      <c r="AU413" s="264"/>
      <c r="AV413" s="264"/>
      <c r="AW413" s="264"/>
      <c r="AX413" s="264"/>
      <c r="BP413" s="272">
        <f>Inputs!B416</f>
        <v>772</v>
      </c>
      <c r="BQ413" s="272">
        <f>IF(LEFT(Inputs!$C$11,6)="photon",10^Inputs!C416,Inputs!C416)</f>
        <v>0.582818052932191</v>
      </c>
      <c r="BR413" s="272"/>
      <c r="BS413" s="272">
        <f>'Advanced Inputs'!I418</f>
        <v>772</v>
      </c>
      <c r="BT413" s="272">
        <f>IF('Advanced Inputs'!J$19="Photon system",10^'Advanced Inputs'!J418,'Advanced Inputs'!J418)</f>
        <v>0</v>
      </c>
      <c r="BV413" s="272">
        <v>772</v>
      </c>
      <c r="BW413" s="8">
        <v>237.959</v>
      </c>
      <c r="BX413" s="8">
        <v>66.1209</v>
      </c>
      <c r="CC413" s="8">
        <v>1</v>
      </c>
    </row>
    <row r="414" hidden="1" spans="8:81">
      <c r="H414" s="8">
        <v>773</v>
      </c>
      <c r="I414" s="261"/>
      <c r="J414" s="261"/>
      <c r="K414" s="261"/>
      <c r="L414" s="261"/>
      <c r="M414" s="261"/>
      <c r="N414" s="261"/>
      <c r="O414" s="261"/>
      <c r="P414" s="261"/>
      <c r="Q414" s="261"/>
      <c r="R414" s="261"/>
      <c r="S414" s="261">
        <v>0.132</v>
      </c>
      <c r="T414" s="261"/>
      <c r="V414" s="8">
        <v>773</v>
      </c>
      <c r="W414" s="261"/>
      <c r="X414" s="261"/>
      <c r="Y414" s="261"/>
      <c r="Z414" s="261"/>
      <c r="AA414" s="261"/>
      <c r="AB414" s="261"/>
      <c r="AC414" s="261"/>
      <c r="AD414" s="261"/>
      <c r="AF414" s="8">
        <v>773</v>
      </c>
      <c r="AG414" s="261"/>
      <c r="AH414" s="261"/>
      <c r="AI414" s="261"/>
      <c r="AJ414" s="261"/>
      <c r="AK414" s="261"/>
      <c r="AL414" s="261"/>
      <c r="AM414" s="261"/>
      <c r="AO414" s="12">
        <v>773</v>
      </c>
      <c r="AP414" s="264"/>
      <c r="AQ414" s="264"/>
      <c r="AR414" s="264">
        <v>0.343038194358579</v>
      </c>
      <c r="AS414" s="264"/>
      <c r="AT414" s="264"/>
      <c r="AU414" s="264"/>
      <c r="AV414" s="264"/>
      <c r="AW414" s="264"/>
      <c r="AX414" s="264"/>
      <c r="BP414" s="272">
        <f>Inputs!B417</f>
        <v>773</v>
      </c>
      <c r="BQ414" s="272">
        <f>IF(LEFT(Inputs!$C$11,6)="photon",10^Inputs!C417,Inputs!C417)</f>
        <v>0.561312651147182</v>
      </c>
      <c r="BR414" s="272"/>
      <c r="BS414" s="272">
        <f>'Advanced Inputs'!I419</f>
        <v>773</v>
      </c>
      <c r="BT414" s="272">
        <f>IF('Advanced Inputs'!J$19="Photon system",10^'Advanced Inputs'!J419,'Advanced Inputs'!J419)</f>
        <v>0</v>
      </c>
      <c r="BV414" s="272">
        <v>773</v>
      </c>
      <c r="BW414" s="8">
        <v>238.432</v>
      </c>
      <c r="BX414" s="8">
        <v>65.7786</v>
      </c>
      <c r="CC414" s="8">
        <v>1</v>
      </c>
    </row>
    <row r="415" hidden="1" spans="8:81">
      <c r="H415" s="8">
        <v>774</v>
      </c>
      <c r="I415" s="261"/>
      <c r="J415" s="261"/>
      <c r="K415" s="261"/>
      <c r="L415" s="261"/>
      <c r="M415" s="261"/>
      <c r="N415" s="261"/>
      <c r="O415" s="261"/>
      <c r="P415" s="261"/>
      <c r="Q415" s="261"/>
      <c r="R415" s="261"/>
      <c r="S415" s="261">
        <v>0.1256</v>
      </c>
      <c r="T415" s="261"/>
      <c r="V415" s="8">
        <v>774</v>
      </c>
      <c r="W415" s="261"/>
      <c r="X415" s="261"/>
      <c r="Y415" s="261"/>
      <c r="Z415" s="261"/>
      <c r="AA415" s="261"/>
      <c r="AB415" s="261"/>
      <c r="AC415" s="261"/>
      <c r="AD415" s="261"/>
      <c r="AF415" s="8">
        <v>774</v>
      </c>
      <c r="AG415" s="261"/>
      <c r="AH415" s="261"/>
      <c r="AI415" s="261"/>
      <c r="AJ415" s="261"/>
      <c r="AK415" s="261"/>
      <c r="AL415" s="261"/>
      <c r="AM415" s="261"/>
      <c r="AO415" s="12">
        <v>774</v>
      </c>
      <c r="AP415" s="264"/>
      <c r="AQ415" s="264"/>
      <c r="AR415" s="264">
        <v>0.333180593865421</v>
      </c>
      <c r="AS415" s="264"/>
      <c r="AT415" s="264"/>
      <c r="AU415" s="264"/>
      <c r="AV415" s="264"/>
      <c r="AW415" s="264"/>
      <c r="AX415" s="264"/>
      <c r="BP415" s="272">
        <f>Inputs!B418</f>
        <v>774</v>
      </c>
      <c r="BQ415" s="272">
        <f>IF(LEFT(Inputs!$C$11,6)="photon",10^Inputs!C418,Inputs!C418)</f>
        <v>0.543589435453955</v>
      </c>
      <c r="BR415" s="272"/>
      <c r="BS415" s="272">
        <f>'Advanced Inputs'!I420</f>
        <v>774</v>
      </c>
      <c r="BT415" s="272">
        <f>IF('Advanced Inputs'!J$19="Photon system",10^'Advanced Inputs'!J420,'Advanced Inputs'!J420)</f>
        <v>0</v>
      </c>
      <c r="BV415" s="272">
        <v>774</v>
      </c>
      <c r="BW415" s="8">
        <v>238.902</v>
      </c>
      <c r="BX415" s="8">
        <v>65.4364</v>
      </c>
      <c r="CC415" s="8">
        <v>1</v>
      </c>
    </row>
    <row r="416" hidden="1" spans="8:81">
      <c r="H416" s="8">
        <v>775</v>
      </c>
      <c r="I416" s="261"/>
      <c r="J416" s="261"/>
      <c r="K416" s="261"/>
      <c r="L416" s="261"/>
      <c r="M416" s="261"/>
      <c r="N416" s="261"/>
      <c r="O416" s="261"/>
      <c r="P416" s="261"/>
      <c r="Q416" s="261"/>
      <c r="R416" s="261"/>
      <c r="S416" s="261">
        <v>0.12</v>
      </c>
      <c r="T416" s="261"/>
      <c r="V416" s="8">
        <v>775</v>
      </c>
      <c r="W416" s="261"/>
      <c r="X416" s="261"/>
      <c r="Y416" s="261"/>
      <c r="Z416" s="261"/>
      <c r="AA416" s="261"/>
      <c r="AB416" s="261"/>
      <c r="AC416" s="261"/>
      <c r="AD416" s="261"/>
      <c r="AF416" s="8">
        <v>775</v>
      </c>
      <c r="AG416" s="261"/>
      <c r="AH416" s="261"/>
      <c r="AI416" s="261"/>
      <c r="AJ416" s="261"/>
      <c r="AK416" s="261"/>
      <c r="AL416" s="261"/>
      <c r="AM416" s="261"/>
      <c r="AO416" s="12">
        <v>775</v>
      </c>
      <c r="AP416" s="264"/>
      <c r="AQ416" s="264"/>
      <c r="AR416" s="264">
        <v>0.323616093675776</v>
      </c>
      <c r="AS416" s="264"/>
      <c r="AT416" s="264"/>
      <c r="AU416" s="264"/>
      <c r="AV416" s="264"/>
      <c r="AW416" s="264"/>
      <c r="AX416" s="264"/>
      <c r="BP416" s="272">
        <f>Inputs!B419</f>
        <v>775</v>
      </c>
      <c r="BQ416" s="272">
        <f>IF(LEFT(Inputs!$C$11,6)="photon",10^Inputs!C419,Inputs!C419)</f>
        <v>0.529682204496789</v>
      </c>
      <c r="BR416" s="272"/>
      <c r="BS416" s="272">
        <f>'Advanced Inputs'!I421</f>
        <v>775</v>
      </c>
      <c r="BT416" s="272">
        <f>IF('Advanced Inputs'!J$19="Photon system",10^'Advanced Inputs'!J421,'Advanced Inputs'!J421)</f>
        <v>0</v>
      </c>
      <c r="BV416" s="272">
        <v>775</v>
      </c>
      <c r="BW416" s="8">
        <v>239.37</v>
      </c>
      <c r="BX416" s="8">
        <v>65.0941</v>
      </c>
      <c r="CC416" s="8">
        <v>1</v>
      </c>
    </row>
    <row r="417" hidden="1" spans="8:81">
      <c r="H417" s="8">
        <v>776</v>
      </c>
      <c r="I417" s="261"/>
      <c r="J417" s="261"/>
      <c r="K417" s="261"/>
      <c r="L417" s="261"/>
      <c r="M417" s="261"/>
      <c r="N417" s="261"/>
      <c r="O417" s="261"/>
      <c r="P417" s="261"/>
      <c r="Q417" s="261"/>
      <c r="R417" s="261"/>
      <c r="S417" s="261">
        <v>0.113733333333333</v>
      </c>
      <c r="T417" s="261"/>
      <c r="V417" s="8">
        <v>776</v>
      </c>
      <c r="W417" s="261"/>
      <c r="X417" s="261"/>
      <c r="Y417" s="261"/>
      <c r="Z417" s="261"/>
      <c r="AA417" s="261"/>
      <c r="AB417" s="261"/>
      <c r="AC417" s="261"/>
      <c r="AD417" s="261"/>
      <c r="AF417" s="8">
        <v>776</v>
      </c>
      <c r="AG417" s="261"/>
      <c r="AH417" s="261"/>
      <c r="AI417" s="261"/>
      <c r="AJ417" s="261"/>
      <c r="AK417" s="261"/>
      <c r="AL417" s="261"/>
      <c r="AM417" s="261"/>
      <c r="AO417" s="12">
        <v>776</v>
      </c>
      <c r="AP417" s="264"/>
      <c r="AQ417" s="264"/>
      <c r="AR417" s="264">
        <v>0.314335037291956</v>
      </c>
      <c r="AS417" s="264"/>
      <c r="AT417" s="264"/>
      <c r="AU417" s="264"/>
      <c r="AV417" s="264"/>
      <c r="AW417" s="264"/>
      <c r="AX417" s="264"/>
      <c r="BP417" s="272">
        <f>Inputs!B420</f>
        <v>776</v>
      </c>
      <c r="BQ417" s="272">
        <f>IF(LEFT(Inputs!$C$11,6)="photon",10^Inputs!C420,Inputs!C420)</f>
        <v>0.5133832940792</v>
      </c>
      <c r="BR417" s="272"/>
      <c r="BS417" s="272">
        <f>'Advanced Inputs'!I422</f>
        <v>776</v>
      </c>
      <c r="BT417" s="272">
        <f>IF('Advanced Inputs'!J$19="Photon system",10^'Advanced Inputs'!J422,'Advanced Inputs'!J422)</f>
        <v>0</v>
      </c>
      <c r="BV417" s="272">
        <v>776</v>
      </c>
      <c r="BW417" s="8">
        <v>239.836</v>
      </c>
      <c r="BX417" s="8">
        <v>64.7518</v>
      </c>
      <c r="CC417" s="8">
        <v>1</v>
      </c>
    </row>
    <row r="418" hidden="1" spans="8:81">
      <c r="H418" s="8">
        <v>777</v>
      </c>
      <c r="I418" s="261"/>
      <c r="J418" s="261"/>
      <c r="K418" s="261"/>
      <c r="L418" s="261"/>
      <c r="M418" s="261"/>
      <c r="N418" s="261"/>
      <c r="O418" s="261"/>
      <c r="P418" s="261"/>
      <c r="Q418" s="261"/>
      <c r="R418" s="261"/>
      <c r="S418" s="261">
        <v>0.107733333333333</v>
      </c>
      <c r="T418" s="261"/>
      <c r="V418" s="8">
        <v>777</v>
      </c>
      <c r="W418" s="261"/>
      <c r="X418" s="261"/>
      <c r="Y418" s="261"/>
      <c r="Z418" s="261"/>
      <c r="AA418" s="261"/>
      <c r="AB418" s="261"/>
      <c r="AC418" s="261"/>
      <c r="AD418" s="261"/>
      <c r="AF418" s="8">
        <v>777</v>
      </c>
      <c r="AG418" s="261"/>
      <c r="AH418" s="261"/>
      <c r="AI418" s="261"/>
      <c r="AJ418" s="261"/>
      <c r="AK418" s="261"/>
      <c r="AL418" s="261"/>
      <c r="AM418" s="261"/>
      <c r="AO418" s="12">
        <v>777</v>
      </c>
      <c r="AP418" s="264"/>
      <c r="AQ418" s="264"/>
      <c r="AR418" s="264">
        <v>0.305327768216276</v>
      </c>
      <c r="AS418" s="264"/>
      <c r="AT418" s="264"/>
      <c r="AU418" s="264"/>
      <c r="AV418" s="264"/>
      <c r="AW418" s="264"/>
      <c r="AX418" s="264"/>
      <c r="BP418" s="272">
        <f>Inputs!B421</f>
        <v>777</v>
      </c>
      <c r="BQ418" s="272">
        <f>IF(LEFT(Inputs!$C$11,6)="photon",10^Inputs!C421,Inputs!C421)</f>
        <v>0.500714259389775</v>
      </c>
      <c r="BR418" s="272"/>
      <c r="BS418" s="272">
        <f>'Advanced Inputs'!I423</f>
        <v>777</v>
      </c>
      <c r="BT418" s="272">
        <f>IF('Advanced Inputs'!J$19="Photon system",10^'Advanced Inputs'!J423,'Advanced Inputs'!J423)</f>
        <v>0</v>
      </c>
      <c r="BV418" s="272">
        <v>777</v>
      </c>
      <c r="BW418" s="8">
        <v>240.299</v>
      </c>
      <c r="BX418" s="8">
        <v>64.4096</v>
      </c>
      <c r="CC418" s="8">
        <v>1</v>
      </c>
    </row>
    <row r="419" hidden="1" spans="8:81">
      <c r="H419" s="8">
        <v>778</v>
      </c>
      <c r="I419" s="261"/>
      <c r="J419" s="261"/>
      <c r="K419" s="261"/>
      <c r="L419" s="261"/>
      <c r="M419" s="261"/>
      <c r="N419" s="261"/>
      <c r="O419" s="261"/>
      <c r="P419" s="261"/>
      <c r="Q419" s="261"/>
      <c r="R419" s="261"/>
      <c r="S419" s="261">
        <v>0.101866666666667</v>
      </c>
      <c r="T419" s="261"/>
      <c r="V419" s="8">
        <v>778</v>
      </c>
      <c r="W419" s="261"/>
      <c r="X419" s="261"/>
      <c r="Y419" s="261"/>
      <c r="Z419" s="261"/>
      <c r="AA419" s="261"/>
      <c r="AB419" s="261"/>
      <c r="AC419" s="261"/>
      <c r="AD419" s="261"/>
      <c r="AF419" s="8">
        <v>778</v>
      </c>
      <c r="AG419" s="261"/>
      <c r="AH419" s="261"/>
      <c r="AI419" s="261"/>
      <c r="AJ419" s="261"/>
      <c r="AK419" s="261"/>
      <c r="AL419" s="261"/>
      <c r="AM419" s="261"/>
      <c r="AO419" s="12">
        <v>778</v>
      </c>
      <c r="AP419" s="264"/>
      <c r="AQ419" s="264"/>
      <c r="AR419" s="264">
        <v>0.29658462995105</v>
      </c>
      <c r="AS419" s="264"/>
      <c r="AT419" s="264"/>
      <c r="AU419" s="264"/>
      <c r="AV419" s="264"/>
      <c r="AW419" s="264"/>
      <c r="AX419" s="264"/>
      <c r="BP419" s="272">
        <f>Inputs!B422</f>
        <v>778</v>
      </c>
      <c r="BQ419" s="272">
        <f>IF(LEFT(Inputs!$C$11,6)="photon",10^Inputs!C422,Inputs!C422)</f>
        <v>0.48741756867323</v>
      </c>
      <c r="BR419" s="272"/>
      <c r="BS419" s="272">
        <f>'Advanced Inputs'!I424</f>
        <v>778</v>
      </c>
      <c r="BT419" s="272">
        <f>IF('Advanced Inputs'!J$19="Photon system",10^'Advanced Inputs'!J424,'Advanced Inputs'!J424)</f>
        <v>0</v>
      </c>
      <c r="BV419" s="272">
        <v>778</v>
      </c>
      <c r="BW419" s="8">
        <v>240.76</v>
      </c>
      <c r="BX419" s="8">
        <v>64.0673</v>
      </c>
      <c r="CC419" s="8">
        <v>1</v>
      </c>
    </row>
    <row r="420" hidden="1" spans="8:81">
      <c r="H420" s="8">
        <v>779</v>
      </c>
      <c r="I420" s="261"/>
      <c r="J420" s="261"/>
      <c r="K420" s="261"/>
      <c r="L420" s="261"/>
      <c r="M420" s="261"/>
      <c r="N420" s="261"/>
      <c r="O420" s="261"/>
      <c r="P420" s="261"/>
      <c r="Q420" s="261"/>
      <c r="R420" s="261"/>
      <c r="S420" s="261">
        <v>0.096</v>
      </c>
      <c r="T420" s="261"/>
      <c r="V420" s="8">
        <v>779</v>
      </c>
      <c r="W420" s="261"/>
      <c r="X420" s="261"/>
      <c r="Y420" s="261"/>
      <c r="Z420" s="261"/>
      <c r="AA420" s="261"/>
      <c r="AB420" s="261"/>
      <c r="AC420" s="261"/>
      <c r="AD420" s="261"/>
      <c r="AF420" s="8">
        <v>779</v>
      </c>
      <c r="AG420" s="261"/>
      <c r="AH420" s="261"/>
      <c r="AI420" s="261"/>
      <c r="AJ420" s="261"/>
      <c r="AK420" s="261"/>
      <c r="AL420" s="261"/>
      <c r="AM420" s="261"/>
      <c r="AO420" s="12">
        <v>779</v>
      </c>
      <c r="AP420" s="264"/>
      <c r="AQ420" s="264"/>
      <c r="AR420" s="264">
        <v>0.288095965998592</v>
      </c>
      <c r="AS420" s="264"/>
      <c r="AT420" s="264"/>
      <c r="AU420" s="264"/>
      <c r="AV420" s="264"/>
      <c r="AW420" s="264"/>
      <c r="AX420" s="264"/>
      <c r="BP420" s="272">
        <f>Inputs!B423</f>
        <v>779</v>
      </c>
      <c r="BQ420" s="272">
        <f>IF(LEFT(Inputs!$C$11,6)="photon",10^Inputs!C423,Inputs!C423)</f>
        <v>0.47459579069147</v>
      </c>
      <c r="BR420" s="272"/>
      <c r="BS420" s="272">
        <f>'Advanced Inputs'!I425</f>
        <v>779</v>
      </c>
      <c r="BT420" s="272">
        <f>IF('Advanced Inputs'!J$19="Photon system",10^'Advanced Inputs'!J425,'Advanced Inputs'!J425)</f>
        <v>0</v>
      </c>
      <c r="BV420" s="272">
        <v>779</v>
      </c>
      <c r="BW420" s="8">
        <v>241.219</v>
      </c>
      <c r="BX420" s="8">
        <v>63.7251</v>
      </c>
      <c r="CC420" s="8">
        <v>1</v>
      </c>
    </row>
    <row r="421" hidden="1" spans="8:81">
      <c r="H421" s="8">
        <v>780</v>
      </c>
      <c r="I421" s="261"/>
      <c r="J421" s="261"/>
      <c r="K421" s="261"/>
      <c r="L421" s="261"/>
      <c r="M421" s="261"/>
      <c r="N421" s="261"/>
      <c r="O421" s="261"/>
      <c r="P421" s="261"/>
      <c r="Q421" s="261"/>
      <c r="R421" s="261"/>
      <c r="S421" s="261">
        <v>0.09</v>
      </c>
      <c r="T421" s="261"/>
      <c r="V421" s="8">
        <v>780</v>
      </c>
      <c r="W421" s="261"/>
      <c r="X421" s="261"/>
      <c r="Y421" s="261"/>
      <c r="Z421" s="261"/>
      <c r="AA421" s="261"/>
      <c r="AB421" s="261"/>
      <c r="AC421" s="261"/>
      <c r="AD421" s="261"/>
      <c r="AF421" s="8">
        <v>780</v>
      </c>
      <c r="AG421" s="261"/>
      <c r="AH421" s="261"/>
      <c r="AI421" s="261"/>
      <c r="AJ421" s="261"/>
      <c r="AK421" s="261"/>
      <c r="AL421" s="261"/>
      <c r="AM421" s="261"/>
      <c r="AO421" s="12">
        <v>780</v>
      </c>
      <c r="AP421" s="264"/>
      <c r="AQ421" s="264"/>
      <c r="AR421" s="264">
        <v>0.279852119861217</v>
      </c>
      <c r="AS421" s="264"/>
      <c r="AT421" s="264"/>
      <c r="AU421" s="264"/>
      <c r="AV421" s="264"/>
      <c r="AW421" s="264"/>
      <c r="AX421" s="264"/>
      <c r="BP421" s="272">
        <f>Inputs!B424</f>
        <v>780</v>
      </c>
      <c r="BQ421" s="272">
        <f>IF(LEFT(Inputs!$C$11,6)="photon",10^Inputs!C424,Inputs!C424)</f>
        <v>0.463096922052508</v>
      </c>
      <c r="BR421" s="272"/>
      <c r="BS421" s="272">
        <f>'Advanced Inputs'!I426</f>
        <v>780</v>
      </c>
      <c r="BT421" s="272">
        <f>IF('Advanced Inputs'!J$19="Photon system",10^'Advanced Inputs'!J426,'Advanced Inputs'!J426)</f>
        <v>0</v>
      </c>
      <c r="BV421" s="272">
        <v>780</v>
      </c>
      <c r="BW421" s="8">
        <v>241.675</v>
      </c>
      <c r="BX421" s="8">
        <v>63.3828</v>
      </c>
      <c r="CC421" s="8">
        <v>1</v>
      </c>
    </row>
  </sheetData>
  <sheetProtection password="CAB0" sheet="1" objects="1" scenarios="1"/>
  <sortState ref="B23:B53">
    <sortCondition ref="B20:B50"/>
  </sortState>
  <conditionalFormatting sqref="AP21:AT421">
    <cfRule type="containsText" dxfId="1" priority="5" operator="between" text="FAUX">
      <formula>NOT(ISERROR(SEARCH("FAUX",AP21)))</formula>
    </cfRule>
  </conditionalFormatting>
  <conditionalFormatting sqref="AU21:AX421">
    <cfRule type="containsText" dxfId="1" priority="4" operator="between" text="FAUX">
      <formula>NOT(ISERROR(SEARCH("FAUX",AU21)))</formula>
    </cfRule>
  </conditionalFormatting>
  <conditionalFormatting sqref="CA21:CB421">
    <cfRule type="colorScale" priority="1">
      <colorScale>
        <cfvo type="min"/>
        <cfvo type="percentile" val="50"/>
        <cfvo type="max"/>
        <color rgb="FFF8696B"/>
        <color rgb="FFFFEB84"/>
        <color rgb="FF63BE7B"/>
      </colorScale>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tabColor theme="7" tint="-0.249977111117893"/>
  </sheetPr>
  <dimension ref="B1:H425"/>
  <sheetViews>
    <sheetView workbookViewId="0">
      <selection activeCell="B3" sqref="B3"/>
    </sheetView>
  </sheetViews>
  <sheetFormatPr defaultColWidth="0" defaultRowHeight="14.4" customHeight="1" zeroHeight="1" outlineLevelCol="7"/>
  <cols>
    <col min="1" max="1" width="5.71296296296296" style="7" customWidth="1"/>
    <col min="2" max="5" width="15.712962962963" style="7" customWidth="1"/>
    <col min="6" max="6" width="5.71296296296296" style="7" customWidth="1"/>
    <col min="7" max="8" width="15.5740740740741" style="7" hidden="1" customWidth="1"/>
    <col min="9" max="16384" width="9.13888888888889" style="7" hidden="1"/>
  </cols>
  <sheetData>
    <row r="1" ht="24.95" customHeight="1" spans="2:8">
      <c r="B1" s="5" t="str">
        <f>LEFT(Disclaimer!B1,Maintenance!I3)</f>
        <v>CIE S 026 α-opic Toolbox - v1.049a - 2020/11</v>
      </c>
      <c r="C1" s="221"/>
      <c r="E1" s="221"/>
      <c r="F1" s="221"/>
      <c r="G1" s="221"/>
      <c r="H1" s="221"/>
    </row>
    <row r="2" spans="2:8">
      <c r="B2" s="221"/>
      <c r="C2" s="221"/>
      <c r="E2" s="221"/>
      <c r="F2" s="221"/>
      <c r="G2" s="221"/>
      <c r="H2" s="221"/>
    </row>
    <row r="3" spans="2:7">
      <c r="B3" s="222" t="s">
        <v>206</v>
      </c>
      <c r="C3" s="15" t="s">
        <v>136</v>
      </c>
      <c r="F3" s="221"/>
      <c r="G3" s="221"/>
    </row>
    <row r="4" ht="15" customHeight="1" spans="2:7">
      <c r="B4" s="221"/>
      <c r="C4" s="15" t="s">
        <v>137</v>
      </c>
      <c r="F4" s="221"/>
      <c r="G4" s="221"/>
    </row>
    <row r="5" ht="15" customHeight="1" spans="2:7">
      <c r="B5" s="221"/>
      <c r="C5" s="221"/>
      <c r="D5" s="221"/>
      <c r="E5" s="221"/>
      <c r="F5" s="221"/>
      <c r="G5" s="221"/>
    </row>
    <row r="6" ht="15" hidden="1" customHeight="1" spans="2:7">
      <c r="B6" s="221" t="s">
        <v>207</v>
      </c>
      <c r="C6" s="221"/>
      <c r="D6" s="221"/>
      <c r="E6" s="221"/>
      <c r="F6" s="221"/>
      <c r="G6" s="221"/>
    </row>
    <row r="7" ht="15" hidden="1" customHeight="1"/>
    <row r="8" ht="15" hidden="1" customHeight="1" spans="2:7">
      <c r="B8" s="221" t="s">
        <v>208</v>
      </c>
      <c r="C8" s="221"/>
      <c r="D8" s="221"/>
      <c r="E8" s="221" t="s">
        <v>209</v>
      </c>
      <c r="F8" s="221"/>
      <c r="G8" s="221"/>
    </row>
    <row r="9" ht="15" hidden="1" customHeight="1" spans="2:7">
      <c r="B9" s="251" t="s">
        <v>210</v>
      </c>
      <c r="C9" s="252">
        <v>6.62607015e-34</v>
      </c>
      <c r="D9" s="221" t="s">
        <v>211</v>
      </c>
      <c r="E9" s="221" t="s">
        <v>212</v>
      </c>
      <c r="F9" s="7">
        <v>683</v>
      </c>
      <c r="G9" s="221" t="s">
        <v>213</v>
      </c>
    </row>
    <row r="10" ht="15" hidden="1" customHeight="1" spans="2:8">
      <c r="B10" s="251" t="s">
        <v>214</v>
      </c>
      <c r="C10" s="252">
        <v>299792458</v>
      </c>
      <c r="D10" s="221" t="s">
        <v>215</v>
      </c>
      <c r="E10" s="221" t="s">
        <v>216</v>
      </c>
      <c r="F10" s="253">
        <f>$C$10/(540000000000000*$C$11*$C$12)</f>
        <v>555.015814090573</v>
      </c>
      <c r="G10" s="7" t="s">
        <v>111</v>
      </c>
      <c r="H10" s="253"/>
    </row>
    <row r="11" ht="15" hidden="1" customHeight="1" spans="2:6">
      <c r="B11" s="221" t="s">
        <v>217</v>
      </c>
      <c r="C11" s="252">
        <f t="array" ref="C11">INDEX($E$23:$E$35,MATCH(TRUE,EXACT($B$11,$C$23:$C$35),0),0)</f>
        <v>1e-9</v>
      </c>
      <c r="D11" s="221" t="str">
        <f>" 1"</f>
        <v> 1</v>
      </c>
      <c r="E11" s="221" t="s">
        <v>218</v>
      </c>
      <c r="F11" s="7">
        <f>(F10-555)*Photobiology!J197+(556-F10)</f>
        <v>0.999997733840821</v>
      </c>
    </row>
    <row r="12" ht="15" hidden="1" customHeight="1" spans="2:7">
      <c r="B12" s="221" t="s">
        <v>219</v>
      </c>
      <c r="C12" s="254">
        <v>1.00028</v>
      </c>
      <c r="D12" s="221" t="str">
        <f>" 1"</f>
        <v> 1</v>
      </c>
      <c r="E12" s="221" t="s">
        <v>220</v>
      </c>
      <c r="F12" s="7">
        <f>F9/F11</f>
        <v>683.001547790227</v>
      </c>
      <c r="G12" s="221" t="s">
        <v>213</v>
      </c>
    </row>
    <row r="13" ht="15" hidden="1" customHeight="1"/>
    <row r="14" ht="15" hidden="1" customHeight="1" spans="2:2">
      <c r="B14" s="7" t="s">
        <v>221</v>
      </c>
    </row>
    <row r="15" ht="15" hidden="1" customHeight="1" spans="2:5">
      <c r="B15" s="221" t="s">
        <v>222</v>
      </c>
      <c r="C15" s="221" t="s">
        <v>223</v>
      </c>
      <c r="D15" s="221" t="s">
        <v>224</v>
      </c>
      <c r="E15" s="221" t="s">
        <v>225</v>
      </c>
    </row>
    <row r="16" ht="15" hidden="1" customHeight="1" spans="2:5">
      <c r="B16" s="221"/>
      <c r="C16" s="247"/>
      <c r="D16" s="221"/>
      <c r="E16" s="255">
        <v>1</v>
      </c>
    </row>
    <row r="17" ht="15" hidden="1" customHeight="1" spans="2:5">
      <c r="B17" s="221">
        <v>99</v>
      </c>
      <c r="C17" s="247" t="s">
        <v>214</v>
      </c>
      <c r="D17" s="221" t="s">
        <v>226</v>
      </c>
      <c r="E17" s="255">
        <v>0.01</v>
      </c>
    </row>
    <row r="18" ht="15" hidden="1" customHeight="1" spans="2:5">
      <c r="B18" s="221">
        <v>109</v>
      </c>
      <c r="C18" s="247" t="s">
        <v>85</v>
      </c>
      <c r="D18" s="221" t="s">
        <v>227</v>
      </c>
      <c r="E18" s="255">
        <v>0.001</v>
      </c>
    </row>
    <row r="19" ht="15" hidden="1" customHeight="1" spans="2:5">
      <c r="B19" s="221">
        <v>181</v>
      </c>
      <c r="C19" s="247" t="s">
        <v>228</v>
      </c>
      <c r="D19" s="221" t="s">
        <v>229</v>
      </c>
      <c r="E19" s="255">
        <v>1e-6</v>
      </c>
    </row>
    <row r="20" ht="15" hidden="1" customHeight="1" spans="4:7">
      <c r="D20" s="221"/>
      <c r="E20" s="221"/>
      <c r="F20" s="221"/>
      <c r="G20" s="221"/>
    </row>
    <row r="21" ht="15" hidden="1" customHeight="1" spans="2:7">
      <c r="B21" s="221" t="s">
        <v>230</v>
      </c>
      <c r="C21" s="221"/>
      <c r="D21" s="221"/>
      <c r="E21" s="221"/>
      <c r="F21" s="221"/>
      <c r="G21" s="221"/>
    </row>
    <row r="22" ht="15" hidden="1" customHeight="1" spans="2:7">
      <c r="B22" s="221" t="s">
        <v>222</v>
      </c>
      <c r="C22" s="221" t="s">
        <v>231</v>
      </c>
      <c r="D22" s="221" t="s">
        <v>224</v>
      </c>
      <c r="E22" s="221" t="s">
        <v>225</v>
      </c>
      <c r="F22" s="221"/>
      <c r="G22" s="221"/>
    </row>
    <row r="23" ht="15" hidden="1" customHeight="1" spans="2:7">
      <c r="B23" s="221">
        <v>69</v>
      </c>
      <c r="C23" s="247" t="s">
        <v>119</v>
      </c>
      <c r="D23" s="221" t="s">
        <v>232</v>
      </c>
      <c r="E23" s="255">
        <v>1e+18</v>
      </c>
      <c r="F23" s="221"/>
      <c r="G23" s="221"/>
    </row>
    <row r="24" ht="15" hidden="1" customHeight="1" spans="2:7">
      <c r="B24" s="221">
        <v>80</v>
      </c>
      <c r="C24" s="247" t="s">
        <v>233</v>
      </c>
      <c r="D24" s="221" t="s">
        <v>234</v>
      </c>
      <c r="E24" s="255">
        <v>1000000000000000</v>
      </c>
      <c r="F24" s="221"/>
      <c r="G24" s="221"/>
    </row>
    <row r="25" ht="15" hidden="1" customHeight="1" spans="2:7">
      <c r="B25" s="221">
        <v>84</v>
      </c>
      <c r="C25" s="247" t="s">
        <v>235</v>
      </c>
      <c r="D25" s="221" t="s">
        <v>236</v>
      </c>
      <c r="E25" s="255">
        <v>1000000000000</v>
      </c>
      <c r="F25" s="221"/>
      <c r="G25" s="221"/>
    </row>
    <row r="26" ht="15" hidden="1" customHeight="1" spans="2:7">
      <c r="B26" s="221">
        <v>71</v>
      </c>
      <c r="C26" s="247" t="s">
        <v>237</v>
      </c>
      <c r="D26" s="221" t="s">
        <v>238</v>
      </c>
      <c r="E26" s="255">
        <v>1000000000</v>
      </c>
      <c r="F26" s="221"/>
      <c r="G26" s="221"/>
    </row>
    <row r="27" ht="15" hidden="1" customHeight="1" spans="2:7">
      <c r="B27" s="221">
        <v>77</v>
      </c>
      <c r="C27" s="247" t="s">
        <v>239</v>
      </c>
      <c r="D27" s="221" t="s">
        <v>240</v>
      </c>
      <c r="E27" s="255">
        <v>1000000</v>
      </c>
      <c r="F27" s="221"/>
      <c r="G27" s="221"/>
    </row>
    <row r="28" ht="15" hidden="1" customHeight="1" spans="2:7">
      <c r="B28" s="221">
        <v>107</v>
      </c>
      <c r="C28" s="247" t="s">
        <v>241</v>
      </c>
      <c r="D28" s="221" t="s">
        <v>242</v>
      </c>
      <c r="E28" s="255">
        <v>1000</v>
      </c>
      <c r="F28" s="221"/>
      <c r="G28" s="221"/>
    </row>
    <row r="29" ht="15" hidden="1" customHeight="1" spans="2:7">
      <c r="B29" s="221"/>
      <c r="C29" s="247"/>
      <c r="D29" s="221"/>
      <c r="E29" s="255">
        <v>1</v>
      </c>
      <c r="F29" s="221"/>
      <c r="G29" s="221"/>
    </row>
    <row r="30" ht="15" hidden="1" customHeight="1" spans="2:7">
      <c r="B30" s="221">
        <v>109</v>
      </c>
      <c r="C30" s="247" t="s">
        <v>85</v>
      </c>
      <c r="D30" s="221" t="s">
        <v>227</v>
      </c>
      <c r="E30" s="255">
        <v>0.001</v>
      </c>
      <c r="F30" s="221"/>
      <c r="G30" s="221"/>
    </row>
    <row r="31" ht="15" hidden="1" customHeight="1" spans="2:7">
      <c r="B31" s="221">
        <v>181</v>
      </c>
      <c r="C31" s="247" t="s">
        <v>228</v>
      </c>
      <c r="D31" s="221" t="s">
        <v>229</v>
      </c>
      <c r="E31" s="255">
        <v>1e-6</v>
      </c>
      <c r="F31" s="221"/>
      <c r="G31" s="221"/>
    </row>
    <row r="32" ht="15" hidden="1" customHeight="1" spans="2:7">
      <c r="B32" s="221">
        <v>110</v>
      </c>
      <c r="C32" s="247" t="s">
        <v>217</v>
      </c>
      <c r="D32" s="221" t="s">
        <v>243</v>
      </c>
      <c r="E32" s="255">
        <v>1e-9</v>
      </c>
      <c r="F32" s="221"/>
      <c r="G32" s="221"/>
    </row>
    <row r="33" ht="15" hidden="1" customHeight="1" spans="2:7">
      <c r="B33" s="221">
        <v>112</v>
      </c>
      <c r="C33" s="247" t="s">
        <v>244</v>
      </c>
      <c r="D33" s="221" t="s">
        <v>245</v>
      </c>
      <c r="E33" s="255">
        <v>1e-12</v>
      </c>
      <c r="F33" s="221"/>
      <c r="G33" s="221"/>
    </row>
    <row r="34" ht="15" hidden="1" customHeight="1" spans="2:7">
      <c r="B34" s="221">
        <v>102</v>
      </c>
      <c r="C34" s="247" t="s">
        <v>246</v>
      </c>
      <c r="D34" s="221" t="s">
        <v>247</v>
      </c>
      <c r="E34" s="255">
        <v>1e-15</v>
      </c>
      <c r="F34" s="221"/>
      <c r="G34" s="221"/>
    </row>
    <row r="35" ht="15" hidden="1" customHeight="1" spans="2:7">
      <c r="B35" s="221">
        <v>97</v>
      </c>
      <c r="C35" s="247" t="s">
        <v>248</v>
      </c>
      <c r="D35" s="221" t="s">
        <v>249</v>
      </c>
      <c r="E35" s="255">
        <v>1e-18</v>
      </c>
      <c r="F35" s="221"/>
      <c r="G35" s="221"/>
    </row>
    <row r="36" ht="15" hidden="1" customHeight="1" spans="7:7">
      <c r="G36" s="221"/>
    </row>
    <row r="37" ht="15" hidden="1" customHeight="1" spans="2:2">
      <c r="B37" s="7" t="s">
        <v>250</v>
      </c>
    </row>
    <row r="38" ht="15" hidden="1" customHeight="1" spans="2:7">
      <c r="B38" s="221" t="s">
        <v>251</v>
      </c>
      <c r="C38" s="221" t="s">
        <v>252</v>
      </c>
      <c r="D38" s="221" t="s">
        <v>251</v>
      </c>
      <c r="E38" s="221" t="s">
        <v>252</v>
      </c>
      <c r="F38" s="221" t="s">
        <v>251</v>
      </c>
      <c r="G38" s="221" t="s">
        <v>252</v>
      </c>
    </row>
    <row r="39" ht="15" hidden="1" customHeight="1" spans="2:7">
      <c r="B39" s="221" t="s">
        <v>253</v>
      </c>
      <c r="C39" s="221" t="s">
        <v>254</v>
      </c>
      <c r="D39" s="221" t="s">
        <v>255</v>
      </c>
      <c r="E39" s="221" t="s">
        <v>256</v>
      </c>
      <c r="F39" s="221" t="s">
        <v>257</v>
      </c>
      <c r="G39" s="221" t="s">
        <v>258</v>
      </c>
    </row>
    <row r="40" ht="15" hidden="1" customHeight="1" spans="2:7">
      <c r="B40" s="221" t="s">
        <v>259</v>
      </c>
      <c r="C40" s="221" t="s">
        <v>260</v>
      </c>
      <c r="D40" s="221" t="s">
        <v>261</v>
      </c>
      <c r="E40" s="221" t="s">
        <v>262</v>
      </c>
      <c r="F40" s="221" t="s">
        <v>263</v>
      </c>
      <c r="G40" s="221" t="s">
        <v>264</v>
      </c>
    </row>
    <row r="41" ht="15" hidden="1" customHeight="1" spans="2:7">
      <c r="B41" s="221" t="s">
        <v>265</v>
      </c>
      <c r="C41" s="221" t="s">
        <v>266</v>
      </c>
      <c r="D41" s="221" t="s">
        <v>82</v>
      </c>
      <c r="E41" s="221" t="s">
        <v>267</v>
      </c>
      <c r="F41" s="221" t="s">
        <v>268</v>
      </c>
      <c r="G41" s="221" t="s">
        <v>269</v>
      </c>
    </row>
    <row r="42" ht="15" hidden="1" customHeight="1" spans="2:7">
      <c r="B42" s="221" t="s">
        <v>270</v>
      </c>
      <c r="C42" s="221" t="s">
        <v>271</v>
      </c>
      <c r="D42" s="221" t="s">
        <v>272</v>
      </c>
      <c r="E42" s="221" t="s">
        <v>273</v>
      </c>
      <c r="F42" s="221" t="s">
        <v>274</v>
      </c>
      <c r="G42" s="221" t="s">
        <v>275</v>
      </c>
    </row>
    <row r="43" ht="15" hidden="1" customHeight="1" spans="2:7">
      <c r="B43" s="221" t="s">
        <v>276</v>
      </c>
      <c r="C43" s="221" t="s">
        <v>277</v>
      </c>
      <c r="D43" s="221" t="s">
        <v>278</v>
      </c>
      <c r="E43" s="221" t="s">
        <v>279</v>
      </c>
      <c r="F43" s="221" t="s">
        <v>280</v>
      </c>
      <c r="G43" s="221" t="s">
        <v>281</v>
      </c>
    </row>
    <row r="44" ht="15" hidden="1" customHeight="1" spans="2:7">
      <c r="B44" s="221" t="s">
        <v>282</v>
      </c>
      <c r="C44" s="221">
        <v>1</v>
      </c>
      <c r="D44" s="221" t="s">
        <v>283</v>
      </c>
      <c r="E44" s="221" t="s">
        <v>284</v>
      </c>
      <c r="F44" s="221" t="s">
        <v>285</v>
      </c>
      <c r="G44" s="221" t="s">
        <v>286</v>
      </c>
    </row>
    <row r="45" ht="15" hidden="1" customHeight="1"/>
    <row r="46" ht="15" hidden="1" customHeight="1" spans="2:4">
      <c r="B46" s="7" t="s">
        <v>287</v>
      </c>
      <c r="D46" s="221"/>
    </row>
    <row r="47" ht="15" hidden="1" customHeight="1" spans="2:7">
      <c r="B47" s="7" t="str">
        <f t="shared" ref="B47:G47" si="0">INDEX(B$39:B$44,$C$63,1)</f>
        <v>photon irradiance</v>
      </c>
      <c r="C47" s="7" t="str">
        <f t="shared" si="0"/>
        <v>s-1.m-2</v>
      </c>
      <c r="D47" s="7" t="str">
        <f t="shared" si="0"/>
        <v>irradiance</v>
      </c>
      <c r="E47" s="7" t="str">
        <f t="shared" si="0"/>
        <v>W.m-2</v>
      </c>
      <c r="F47" s="7" t="str">
        <f t="shared" si="0"/>
        <v>illuminance</v>
      </c>
      <c r="G47" s="7" t="str">
        <f t="shared" si="0"/>
        <v>lx</v>
      </c>
    </row>
    <row r="48" ht="15" hidden="1" customHeight="1" spans="2:7">
      <c r="B48" s="7" t="str">
        <f>B47</f>
        <v>photon irradiance</v>
      </c>
      <c r="C48" s="7" t="str">
        <f>SUBSTITUTE(C47,"m-2",'Advanced Outputs'!$J$11&amp;"m-2")</f>
        <v>s-1.cm-2</v>
      </c>
      <c r="D48" s="7" t="str">
        <f>D47</f>
        <v>irradiance</v>
      </c>
      <c r="E48" s="7" t="str">
        <f>SUBSTITUTE(SUBSTITUTE('Advanced Outputs'!$F$10,0,"")&amp;E47,"m-2",'Advanced Outputs'!$F$11&amp;"m-2")</f>
        <v>µW.cm-2</v>
      </c>
      <c r="F48" s="7" t="str">
        <f>F47</f>
        <v>illuminance</v>
      </c>
      <c r="G48" s="7" t="str">
        <f>SUBSTITUTE(SUBSTITUTE('Advanced Outputs'!$H$10,0,"")&amp;G47,"m-2",'Advanced Outputs'!$H$11&amp;"m-2")</f>
        <v>klx</v>
      </c>
    </row>
    <row r="49" ht="15" hidden="1" customHeight="1"/>
    <row r="50" ht="15" hidden="1" customHeight="1" spans="2:2">
      <c r="B50" s="7" t="s">
        <v>288</v>
      </c>
    </row>
    <row r="51" ht="15" hidden="1" customHeight="1" spans="2:6">
      <c r="B51" s="7" t="s">
        <v>289</v>
      </c>
      <c r="C51" s="7" t="s">
        <v>290</v>
      </c>
      <c r="D51" s="7" t="s">
        <v>291</v>
      </c>
      <c r="E51" s="7" t="s">
        <v>292</v>
      </c>
      <c r="F51" s="7" t="s">
        <v>293</v>
      </c>
    </row>
    <row r="52" ht="15" hidden="1" customHeight="1" spans="2:6">
      <c r="B52" s="248" t="s">
        <v>259</v>
      </c>
      <c r="C52" s="7" t="s">
        <v>260</v>
      </c>
      <c r="D52" s="7" t="str">
        <f>"log ("&amp;SUBSTITUTE($C$61&amp;$C52,"m-2",$C$62&amp;"m-2")&amp;")"</f>
        <v>log (ms-1.m-2.sr-1)</v>
      </c>
      <c r="E52" s="7" t="s">
        <v>294</v>
      </c>
      <c r="F52" s="7" t="str">
        <f>SUBSTITUTE($C$61&amp;$C52,"m-2",$C$62&amp;"m-2")&amp;".nm-1"</f>
        <v>ms-1.m-2.sr-1.nm-1</v>
      </c>
    </row>
    <row r="53" ht="15" hidden="1" customHeight="1" spans="2:6">
      <c r="B53" s="248" t="s">
        <v>265</v>
      </c>
      <c r="C53" s="7" t="s">
        <v>266</v>
      </c>
      <c r="D53" s="7" t="str">
        <f>"log ("&amp;SUBSTITUTE($C$61&amp;$C53,"m-2",$C$62&amp;"m-2")&amp;")"</f>
        <v>log (ms-1.m-2)</v>
      </c>
      <c r="E53" s="7" t="s">
        <v>294</v>
      </c>
      <c r="F53" s="7" t="str">
        <f>SUBSTITUTE($C$61&amp;$C53,"m-2",$C$62&amp;"m-2")&amp;".nm-1"</f>
        <v>ms-1.m-2.nm-1</v>
      </c>
    </row>
    <row r="54" ht="15" hidden="1" customHeight="1" spans="2:6">
      <c r="B54" s="248" t="s">
        <v>261</v>
      </c>
      <c r="C54" s="7" t="s">
        <v>262</v>
      </c>
      <c r="D54" s="7" t="str">
        <f>SUBSTITUTE($C$61&amp;$C54,"m-2",$C$62&amp;"m-2")</f>
        <v>mW.m-2.sr-1</v>
      </c>
      <c r="E54" s="7" t="s">
        <v>295</v>
      </c>
      <c r="F54" s="7" t="str">
        <f>SUBSTITUTE($C$61&amp;$C54,"m-2",$C$62&amp;"m-2")&amp;".nm-1"</f>
        <v>mW.m-2.sr-1.nm-1</v>
      </c>
    </row>
    <row r="55" ht="15" hidden="1" customHeight="1" spans="2:6">
      <c r="B55" s="248" t="s">
        <v>82</v>
      </c>
      <c r="C55" s="7" t="s">
        <v>267</v>
      </c>
      <c r="D55" s="7" t="str">
        <f>SUBSTITUTE($C$61&amp;$C55,"m-2",$C$62&amp;"m-2")</f>
        <v>mW.m-2</v>
      </c>
      <c r="E55" s="7" t="s">
        <v>295</v>
      </c>
      <c r="F55" s="7" t="str">
        <f>SUBSTITUTE($C$61&amp;$C55,"m-2",$C$62&amp;"m-2")&amp;".nm-1"</f>
        <v>mW.m-2.nm-1</v>
      </c>
    </row>
    <row r="56" ht="15" hidden="1" customHeight="1" spans="2:6">
      <c r="B56" s="248" t="s">
        <v>263</v>
      </c>
      <c r="C56" s="7" t="s">
        <v>264</v>
      </c>
      <c r="D56" s="7" t="str">
        <f>SUBSTITUTE($C$61&amp;$C56,"m-2",$C$62&amp;"m-2")</f>
        <v>mcd.m-2</v>
      </c>
      <c r="E56" s="7" t="s">
        <v>296</v>
      </c>
      <c r="F56" s="7" t="s">
        <v>297</v>
      </c>
    </row>
    <row r="57" ht="15" hidden="1" customHeight="1" spans="2:6">
      <c r="B57" s="248" t="s">
        <v>268</v>
      </c>
      <c r="C57" s="7" t="s">
        <v>269</v>
      </c>
      <c r="D57" s="7" t="str">
        <f>SUBSTITUTE($C$61&amp;$C57,"m-2",$C$62&amp;"m-2")</f>
        <v>mlx</v>
      </c>
      <c r="E57" s="7" t="s">
        <v>296</v>
      </c>
      <c r="F57" s="7" t="s">
        <v>297</v>
      </c>
    </row>
    <row r="58" ht="15" hidden="1" customHeight="1"/>
    <row r="59" ht="15" hidden="1" customHeight="1" spans="2:5">
      <c r="B59" s="7" t="s">
        <v>298</v>
      </c>
      <c r="C59" s="7" t="s">
        <v>299</v>
      </c>
      <c r="E59" s="7" t="s">
        <v>300</v>
      </c>
    </row>
    <row r="60" ht="15" hidden="1" customHeight="1" spans="2:6">
      <c r="B60" s="7" t="s">
        <v>301</v>
      </c>
      <c r="C60" s="13" t="str">
        <f>SUBSTITUTE(Inputs!$C11,0,"")</f>
        <v>irradiance</v>
      </c>
      <c r="E60" s="248" t="s">
        <v>294</v>
      </c>
      <c r="F60" s="7" t="str">
        <f>INDEX($F$52:$F$57,$C$63-1,1)</f>
        <v>ms-1.m-2.nm-1</v>
      </c>
    </row>
    <row r="61" ht="15" hidden="1" customHeight="1" spans="2:6">
      <c r="B61" s="7" t="s">
        <v>224</v>
      </c>
      <c r="C61" s="13" t="str">
        <f>SUBSTITUTE(IF(LEFT(Inputs!$C$11,6)="photon","",Inputs!$C12),0,"")</f>
        <v>m</v>
      </c>
      <c r="E61" s="248" t="s">
        <v>295</v>
      </c>
      <c r="F61" s="7" t="str">
        <f>INDEX($F$52:$F$57,$C$63+1,1)</f>
        <v>mW.m-2.nm-1</v>
      </c>
    </row>
    <row r="62" ht="15" hidden="1" customHeight="1" spans="2:6">
      <c r="B62" s="7" t="s">
        <v>302</v>
      </c>
      <c r="C62" s="13" t="str">
        <f>SUBSTITUTE(IF(Inputs!C$11="illuminance","",Inputs!$C13),0,"")</f>
        <v/>
      </c>
      <c r="E62" s="7" t="s">
        <v>296</v>
      </c>
      <c r="F62" s="221"/>
    </row>
    <row r="63" ht="15" hidden="1" customHeight="1" spans="2:7">
      <c r="B63" s="7" t="s">
        <v>303</v>
      </c>
      <c r="C63" s="7">
        <f>MAX(2,1+LEN(SUBSTITUTE($C60,"i","ii"))-LEN($C60))</f>
        <v>3</v>
      </c>
      <c r="D63" s="7" t="s">
        <v>304</v>
      </c>
      <c r="E63" s="221"/>
      <c r="F63" s="221"/>
      <c r="G63" s="221"/>
    </row>
    <row r="64" ht="15" hidden="1" customHeight="1" spans="2:6">
      <c r="B64" s="7" t="s">
        <v>305</v>
      </c>
      <c r="C64" s="12" t="str">
        <f>VLOOKUP($C$60,$B$52:$E$57,4,0)</f>
        <v>Radiometric</v>
      </c>
      <c r="F64" s="221"/>
    </row>
    <row r="65" ht="15" hidden="1" customHeight="1" spans="2:6">
      <c r="B65" s="7" t="s">
        <v>306</v>
      </c>
      <c r="C65" s="13" t="str">
        <f>IF(LEFT($C$60,6)="photon","Photon system","Radiometric")</f>
        <v>Radiometric</v>
      </c>
      <c r="F65" s="221"/>
    </row>
    <row r="66" ht="15" hidden="1" customHeight="1" spans="2:6">
      <c r="B66" s="7" t="s">
        <v>307</v>
      </c>
      <c r="C66" s="12" t="str">
        <f>IF('Advanced Inputs'!$J$15="UserRef",'Advanced Inputs'!$J$19,"Radiometric")</f>
        <v>Radiometric</v>
      </c>
      <c r="D66" s="221"/>
      <c r="F66" s="221"/>
    </row>
    <row r="67" ht="15" hidden="1" customHeight="1" spans="2:6">
      <c r="B67" s="7" t="s">
        <v>308</v>
      </c>
      <c r="C67" s="7" t="str">
        <f>Inputs!$C$11</f>
        <v>irradiance</v>
      </c>
      <c r="D67" s="7" t="str">
        <f>VLOOKUP(C67,$B$52:$D$57,3,0)</f>
        <v>mW.m-2</v>
      </c>
      <c r="E67" s="221"/>
      <c r="F67" s="221"/>
    </row>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spans="2:2">
      <c r="B75" s="8"/>
    </row>
    <row r="76" ht="15" hidden="1" customHeight="1" spans="2:2">
      <c r="B76" s="8"/>
    </row>
    <row r="77" ht="15" hidden="1" customHeight="1" spans="2:2">
      <c r="B77" s="8"/>
    </row>
    <row r="78" ht="15" hidden="1" customHeight="1" spans="2:2">
      <c r="B78" s="8"/>
    </row>
    <row r="79" ht="15" hidden="1" customHeight="1" spans="2:2">
      <c r="B79" s="8"/>
    </row>
    <row r="80" ht="15" hidden="1" customHeight="1" spans="2:2">
      <c r="B80" s="8"/>
    </row>
    <row r="81" ht="15" hidden="1" customHeight="1" spans="2:2">
      <c r="B81" s="8"/>
    </row>
    <row r="82" ht="15" hidden="1" customHeight="1" spans="2:2">
      <c r="B82" s="8"/>
    </row>
    <row r="83" ht="15" hidden="1" customHeight="1" spans="2:2">
      <c r="B83" s="250"/>
    </row>
    <row r="84" ht="15" hidden="1" customHeight="1" spans="2:2">
      <c r="B84" s="250"/>
    </row>
    <row r="85" ht="15" hidden="1" customHeight="1" spans="2:2">
      <c r="B85" s="250"/>
    </row>
    <row r="86" ht="15" hidden="1" customHeight="1" spans="2:2">
      <c r="B86" s="8"/>
    </row>
    <row r="87" ht="15" hidden="1" customHeight="1" spans="2:2">
      <c r="B87" s="250"/>
    </row>
    <row r="88" ht="15" hidden="1" customHeight="1" spans="2:7">
      <c r="B88" s="250"/>
      <c r="C88" s="221"/>
      <c r="D88" s="221"/>
      <c r="E88" s="221"/>
      <c r="F88" s="221"/>
      <c r="G88" s="221"/>
    </row>
    <row r="89" ht="15" hidden="1" customHeight="1" spans="2:7">
      <c r="B89" s="8"/>
      <c r="C89" s="221"/>
      <c r="D89" s="221"/>
      <c r="E89" s="221"/>
      <c r="F89" s="221"/>
      <c r="G89" s="221"/>
    </row>
    <row r="90" ht="15" hidden="1" customHeight="1" spans="2:7">
      <c r="B90" s="8"/>
      <c r="C90" s="221"/>
      <c r="D90" s="221"/>
      <c r="E90" s="221"/>
      <c r="F90" s="221"/>
      <c r="G90" s="221"/>
    </row>
    <row r="91" ht="15" hidden="1" customHeight="1" spans="2:7">
      <c r="B91" s="8"/>
      <c r="C91" s="221"/>
      <c r="D91" s="221"/>
      <c r="E91" s="221"/>
      <c r="F91" s="221"/>
      <c r="G91" s="221"/>
    </row>
    <row r="92" ht="15" hidden="1" customHeight="1" spans="2:7">
      <c r="B92" s="8"/>
      <c r="C92" s="221"/>
      <c r="D92" s="221"/>
      <c r="E92" s="221"/>
      <c r="F92" s="221"/>
      <c r="G92" s="221"/>
    </row>
    <row r="93" ht="15" hidden="1" customHeight="1" spans="2:7">
      <c r="B93" s="8"/>
      <c r="C93" s="221"/>
      <c r="D93" s="221"/>
      <c r="E93" s="221"/>
      <c r="F93" s="221"/>
      <c r="G93" s="221"/>
    </row>
    <row r="94" ht="15" hidden="1" customHeight="1" spans="2:7">
      <c r="B94" s="8"/>
      <c r="C94" s="221"/>
      <c r="D94" s="221"/>
      <c r="E94" s="221"/>
      <c r="F94" s="221"/>
      <c r="G94" s="221"/>
    </row>
    <row r="95" ht="15" hidden="1" customHeight="1" spans="2:7">
      <c r="B95" s="8"/>
      <c r="C95" s="221"/>
      <c r="D95" s="221"/>
      <c r="E95" s="221"/>
      <c r="F95" s="221"/>
      <c r="G95" s="221"/>
    </row>
    <row r="96" ht="15" hidden="1" customHeight="1" spans="2:7">
      <c r="B96" s="8"/>
      <c r="C96" s="221"/>
      <c r="D96" s="221"/>
      <c r="E96" s="221"/>
      <c r="F96" s="221"/>
      <c r="G96" s="221"/>
    </row>
    <row r="97" ht="15" hidden="1" customHeight="1" spans="2:7">
      <c r="B97" s="8"/>
      <c r="C97" s="221"/>
      <c r="D97" s="221"/>
      <c r="E97" s="221"/>
      <c r="F97" s="221"/>
      <c r="G97" s="221"/>
    </row>
    <row r="98" ht="15" hidden="1" customHeight="1" spans="2:7">
      <c r="B98" s="8"/>
      <c r="C98" s="221"/>
      <c r="D98" s="221"/>
      <c r="E98" s="221"/>
      <c r="F98" s="221"/>
      <c r="G98" s="221"/>
    </row>
    <row r="99" ht="15" hidden="1" customHeight="1" spans="2:7">
      <c r="B99" s="8"/>
      <c r="C99" s="221"/>
      <c r="D99" s="221"/>
      <c r="E99" s="221"/>
      <c r="F99" s="221"/>
      <c r="G99" s="221"/>
    </row>
    <row r="100" ht="15" hidden="1" customHeight="1" spans="2:7">
      <c r="B100" s="8"/>
      <c r="C100" s="221"/>
      <c r="D100" s="221"/>
      <c r="E100" s="221"/>
      <c r="F100" s="221"/>
      <c r="G100" s="221"/>
    </row>
    <row r="101" ht="15" hidden="1" customHeight="1" spans="2:7">
      <c r="B101" s="8"/>
      <c r="C101" s="221"/>
      <c r="D101" s="221"/>
      <c r="E101" s="221"/>
      <c r="F101" s="221"/>
      <c r="G101" s="221"/>
    </row>
    <row r="102" ht="15" hidden="1" customHeight="1" spans="2:7">
      <c r="B102" s="8"/>
      <c r="C102" s="221"/>
      <c r="D102" s="221"/>
      <c r="E102" s="221"/>
      <c r="F102" s="221"/>
      <c r="G102" s="221"/>
    </row>
    <row r="103" ht="15" hidden="1" customHeight="1" spans="2:7">
      <c r="B103" s="8"/>
      <c r="C103" s="221"/>
      <c r="D103" s="221"/>
      <c r="E103" s="221"/>
      <c r="F103" s="221"/>
      <c r="G103" s="221"/>
    </row>
    <row r="104" ht="15" hidden="1" customHeight="1" spans="2:7">
      <c r="B104" s="8"/>
      <c r="C104" s="221"/>
      <c r="D104" s="221"/>
      <c r="E104" s="221"/>
      <c r="F104" s="221"/>
      <c r="G104" s="221"/>
    </row>
    <row r="105" ht="15" hidden="1" customHeight="1" spans="2:7">
      <c r="B105" s="8"/>
      <c r="C105" s="221"/>
      <c r="D105" s="221"/>
      <c r="E105" s="221"/>
      <c r="F105" s="221"/>
      <c r="G105" s="221"/>
    </row>
    <row r="106" ht="15" hidden="1" customHeight="1" spans="2:7">
      <c r="B106" s="8"/>
      <c r="C106" s="221"/>
      <c r="D106" s="221"/>
      <c r="E106" s="221"/>
      <c r="F106" s="221"/>
      <c r="G106" s="221"/>
    </row>
    <row r="107" ht="15" hidden="1" customHeight="1" spans="2:7">
      <c r="B107" s="8"/>
      <c r="C107" s="221"/>
      <c r="D107" s="221"/>
      <c r="E107" s="221"/>
      <c r="F107" s="221"/>
      <c r="G107" s="221"/>
    </row>
    <row r="108" ht="15" hidden="1" customHeight="1" spans="2:7">
      <c r="B108" s="8"/>
      <c r="C108" s="221"/>
      <c r="D108" s="221"/>
      <c r="E108" s="221"/>
      <c r="F108" s="221"/>
      <c r="G108" s="221"/>
    </row>
    <row r="109" ht="15" hidden="1" customHeight="1" spans="2:7">
      <c r="B109" s="8"/>
      <c r="C109" s="221"/>
      <c r="D109" s="221"/>
      <c r="E109" s="221"/>
      <c r="F109" s="221"/>
      <c r="G109" s="221"/>
    </row>
    <row r="110" ht="15" hidden="1" customHeight="1" spans="2:7">
      <c r="B110" s="8"/>
      <c r="C110" s="221"/>
      <c r="D110" s="221"/>
      <c r="E110" s="221"/>
      <c r="F110" s="221"/>
      <c r="G110" s="221"/>
    </row>
    <row r="111" ht="15" hidden="1" customHeight="1" spans="2:7">
      <c r="B111" s="8"/>
      <c r="C111" s="221"/>
      <c r="D111" s="221"/>
      <c r="E111" s="221"/>
      <c r="F111" s="221"/>
      <c r="G111" s="221"/>
    </row>
    <row r="112" ht="15" hidden="1" customHeight="1" spans="2:7">
      <c r="B112" s="8"/>
      <c r="C112" s="221"/>
      <c r="D112" s="221"/>
      <c r="E112" s="221"/>
      <c r="F112" s="221"/>
      <c r="G112" s="221"/>
    </row>
    <row r="113" ht="15" hidden="1" customHeight="1" spans="2:7">
      <c r="B113" s="8"/>
      <c r="C113" s="221"/>
      <c r="D113" s="221"/>
      <c r="E113" s="221"/>
      <c r="F113" s="221"/>
      <c r="G113" s="221"/>
    </row>
    <row r="114" ht="15" hidden="1" customHeight="1" spans="2:7">
      <c r="B114" s="8"/>
      <c r="C114" s="221"/>
      <c r="D114" s="221"/>
      <c r="E114" s="221"/>
      <c r="F114" s="221"/>
      <c r="G114" s="221"/>
    </row>
    <row r="115" ht="15" hidden="1" customHeight="1" spans="2:7">
      <c r="B115" s="8"/>
      <c r="C115" s="221"/>
      <c r="D115" s="221"/>
      <c r="E115" s="221"/>
      <c r="F115" s="221"/>
      <c r="G115" s="221"/>
    </row>
    <row r="116" ht="15" hidden="1" customHeight="1" spans="2:7">
      <c r="B116" s="8"/>
      <c r="C116" s="221"/>
      <c r="D116" s="221"/>
      <c r="E116" s="221"/>
      <c r="F116" s="221"/>
      <c r="G116" s="221"/>
    </row>
    <row r="117" ht="15" hidden="1" customHeight="1" spans="2:7">
      <c r="B117" s="8"/>
      <c r="C117" s="221"/>
      <c r="D117" s="221"/>
      <c r="E117" s="221"/>
      <c r="F117" s="221"/>
      <c r="G117" s="221"/>
    </row>
    <row r="118" ht="15" hidden="1" customHeight="1" spans="2:7">
      <c r="B118" s="8"/>
      <c r="C118" s="221"/>
      <c r="D118" s="221"/>
      <c r="E118" s="221"/>
      <c r="F118" s="221"/>
      <c r="G118" s="221"/>
    </row>
    <row r="119" ht="15" hidden="1" customHeight="1" spans="2:7">
      <c r="B119" s="8"/>
      <c r="C119" s="221"/>
      <c r="D119" s="221"/>
      <c r="E119" s="221"/>
      <c r="F119" s="221"/>
      <c r="G119" s="221"/>
    </row>
    <row r="120" ht="15" hidden="1" customHeight="1" spans="2:7">
      <c r="B120" s="8"/>
      <c r="C120" s="221"/>
      <c r="D120" s="221"/>
      <c r="E120" s="221"/>
      <c r="F120" s="221"/>
      <c r="G120" s="221"/>
    </row>
    <row r="121" ht="15" hidden="1" customHeight="1" spans="2:7">
      <c r="B121" s="8"/>
      <c r="C121" s="221"/>
      <c r="D121" s="221"/>
      <c r="E121" s="221"/>
      <c r="F121" s="221"/>
      <c r="G121" s="221"/>
    </row>
    <row r="122" ht="15" hidden="1" customHeight="1" spans="2:7">
      <c r="B122" s="8"/>
      <c r="C122" s="221"/>
      <c r="D122" s="221"/>
      <c r="E122" s="221"/>
      <c r="F122" s="221"/>
      <c r="G122" s="221"/>
    </row>
    <row r="123" ht="15" hidden="1" customHeight="1" spans="2:7">
      <c r="B123" s="8"/>
      <c r="C123" s="221"/>
      <c r="D123" s="221"/>
      <c r="E123" s="221"/>
      <c r="F123" s="221"/>
      <c r="G123" s="221"/>
    </row>
    <row r="124" ht="15" hidden="1" customHeight="1" spans="2:7">
      <c r="B124" s="8"/>
      <c r="C124" s="221"/>
      <c r="D124" s="221"/>
      <c r="E124" s="221"/>
      <c r="F124" s="221"/>
      <c r="G124" s="221"/>
    </row>
    <row r="125" ht="15" hidden="1" customHeight="1" spans="2:7">
      <c r="B125" s="8"/>
      <c r="C125" s="221"/>
      <c r="D125" s="221"/>
      <c r="E125" s="221"/>
      <c r="F125" s="221"/>
      <c r="G125" s="221"/>
    </row>
    <row r="126" ht="15" hidden="1" customHeight="1" spans="2:7">
      <c r="B126" s="8"/>
      <c r="C126" s="221"/>
      <c r="D126" s="221"/>
      <c r="E126" s="221"/>
      <c r="F126" s="221"/>
      <c r="G126" s="221"/>
    </row>
    <row r="127" ht="15" hidden="1" customHeight="1" spans="2:7">
      <c r="B127" s="8"/>
      <c r="C127" s="221"/>
      <c r="D127" s="221"/>
      <c r="E127" s="221"/>
      <c r="F127" s="221"/>
      <c r="G127" s="221"/>
    </row>
    <row r="128" ht="15" hidden="1" customHeight="1" spans="2:7">
      <c r="B128" s="8"/>
      <c r="C128" s="221"/>
      <c r="D128" s="221"/>
      <c r="E128" s="221"/>
      <c r="F128" s="221"/>
      <c r="G128" s="221"/>
    </row>
    <row r="129" ht="15" hidden="1" customHeight="1" spans="2:7">
      <c r="B129" s="8"/>
      <c r="C129" s="221"/>
      <c r="D129" s="221"/>
      <c r="E129" s="221"/>
      <c r="F129" s="221"/>
      <c r="G129" s="221"/>
    </row>
    <row r="130" ht="15" hidden="1" customHeight="1" spans="2:7">
      <c r="B130" s="8"/>
      <c r="C130" s="221"/>
      <c r="D130" s="221"/>
      <c r="E130" s="221"/>
      <c r="F130" s="221"/>
      <c r="G130" s="221"/>
    </row>
    <row r="131" ht="15" hidden="1" customHeight="1" spans="2:7">
      <c r="B131" s="8"/>
      <c r="C131" s="221"/>
      <c r="D131" s="221"/>
      <c r="E131" s="221"/>
      <c r="F131" s="221"/>
      <c r="G131" s="221"/>
    </row>
    <row r="132" ht="15" hidden="1" customHeight="1" spans="2:7">
      <c r="B132" s="8"/>
      <c r="C132" s="221"/>
      <c r="D132" s="221"/>
      <c r="E132" s="221"/>
      <c r="F132" s="221"/>
      <c r="G132" s="221"/>
    </row>
    <row r="133" ht="15" hidden="1" customHeight="1" spans="2:7">
      <c r="B133" s="8"/>
      <c r="C133" s="221"/>
      <c r="D133" s="221"/>
      <c r="E133" s="221"/>
      <c r="F133" s="221"/>
      <c r="G133" s="221"/>
    </row>
    <row r="134" ht="15" hidden="1" customHeight="1" spans="2:7">
      <c r="B134" s="8"/>
      <c r="C134" s="221"/>
      <c r="D134" s="221"/>
      <c r="E134" s="221"/>
      <c r="F134" s="221"/>
      <c r="G134" s="221"/>
    </row>
    <row r="135" ht="15" hidden="1" customHeight="1" spans="2:7">
      <c r="B135" s="8"/>
      <c r="C135" s="221"/>
      <c r="D135" s="221"/>
      <c r="E135" s="221"/>
      <c r="F135" s="221"/>
      <c r="G135" s="221"/>
    </row>
    <row r="136" ht="15" hidden="1" customHeight="1" spans="2:7">
      <c r="B136" s="8"/>
      <c r="C136" s="221"/>
      <c r="D136" s="221"/>
      <c r="E136" s="221"/>
      <c r="F136" s="221"/>
      <c r="G136" s="221"/>
    </row>
    <row r="137" ht="15" hidden="1" customHeight="1" spans="2:7">
      <c r="B137" s="8"/>
      <c r="C137" s="221"/>
      <c r="D137" s="221"/>
      <c r="E137" s="221"/>
      <c r="F137" s="221"/>
      <c r="G137" s="221"/>
    </row>
    <row r="138" ht="15" hidden="1" customHeight="1" spans="2:7">
      <c r="B138" s="8"/>
      <c r="C138" s="221"/>
      <c r="D138" s="221"/>
      <c r="E138" s="221"/>
      <c r="F138" s="221"/>
      <c r="G138" s="221"/>
    </row>
    <row r="139" ht="15" hidden="1" customHeight="1" spans="2:7">
      <c r="B139" s="8"/>
      <c r="C139" s="221"/>
      <c r="D139" s="221"/>
      <c r="E139" s="221"/>
      <c r="F139" s="221"/>
      <c r="G139" s="221"/>
    </row>
    <row r="140" ht="15" hidden="1" customHeight="1" spans="3:7">
      <c r="C140" s="221"/>
      <c r="D140" s="221"/>
      <c r="E140" s="221"/>
      <c r="F140" s="221"/>
      <c r="G140" s="221"/>
    </row>
    <row r="141" ht="15" hidden="1" customHeight="1" spans="3:7">
      <c r="C141" s="221"/>
      <c r="D141" s="221"/>
      <c r="E141" s="221"/>
      <c r="F141" s="221"/>
      <c r="G141" s="221"/>
    </row>
    <row r="142" ht="15" hidden="1" customHeight="1" spans="3:7">
      <c r="C142" s="221"/>
      <c r="D142" s="221"/>
      <c r="E142" s="221"/>
      <c r="F142" s="221"/>
      <c r="G142" s="221"/>
    </row>
    <row r="143" ht="15" hidden="1" customHeight="1" spans="3:7">
      <c r="C143" s="221"/>
      <c r="D143" s="221"/>
      <c r="E143" s="221"/>
      <c r="F143" s="221"/>
      <c r="G143" s="221"/>
    </row>
    <row r="144" ht="15" hidden="1" customHeight="1" spans="3:7">
      <c r="C144" s="221"/>
      <c r="D144" s="221"/>
      <c r="E144" s="221"/>
      <c r="F144" s="221"/>
      <c r="G144" s="221"/>
    </row>
    <row r="145" ht="15" hidden="1" customHeight="1" spans="3:7">
      <c r="C145" s="221"/>
      <c r="D145" s="221"/>
      <c r="E145" s="221"/>
      <c r="F145" s="221"/>
      <c r="G145" s="221"/>
    </row>
    <row r="146" ht="15" hidden="1" customHeight="1" spans="3:7">
      <c r="C146" s="221"/>
      <c r="D146" s="221"/>
      <c r="E146" s="221"/>
      <c r="F146" s="221"/>
      <c r="G146" s="221"/>
    </row>
    <row r="147" ht="15" hidden="1" customHeight="1" spans="3:7">
      <c r="C147" s="221"/>
      <c r="D147" s="221"/>
      <c r="E147" s="221"/>
      <c r="F147" s="221"/>
      <c r="G147" s="221"/>
    </row>
    <row r="148" ht="15" hidden="1" customHeight="1" spans="3:7">
      <c r="C148" s="221"/>
      <c r="D148" s="221"/>
      <c r="E148" s="221"/>
      <c r="F148" s="221"/>
      <c r="G148" s="221"/>
    </row>
    <row r="149" ht="15" hidden="1" customHeight="1" spans="3:7">
      <c r="C149" s="221"/>
      <c r="D149" s="221"/>
      <c r="E149" s="221"/>
      <c r="F149" s="221"/>
      <c r="G149" s="221"/>
    </row>
    <row r="150" ht="15" hidden="1" customHeight="1" spans="3:7">
      <c r="C150" s="221"/>
      <c r="D150" s="221"/>
      <c r="E150" s="221"/>
      <c r="F150" s="221"/>
      <c r="G150" s="221"/>
    </row>
    <row r="151" ht="15" hidden="1" customHeight="1" spans="3:7">
      <c r="C151" s="221"/>
      <c r="D151" s="221"/>
      <c r="E151" s="221"/>
      <c r="F151" s="221"/>
      <c r="G151" s="221"/>
    </row>
    <row r="152" ht="15" hidden="1" customHeight="1" spans="3:7">
      <c r="C152" s="221"/>
      <c r="D152" s="221"/>
      <c r="E152" s="221"/>
      <c r="F152" s="221"/>
      <c r="G152" s="221"/>
    </row>
    <row r="153" ht="15" hidden="1" customHeight="1" spans="3:7">
      <c r="C153" s="221"/>
      <c r="D153" s="221"/>
      <c r="E153" s="221"/>
      <c r="F153" s="221"/>
      <c r="G153" s="221"/>
    </row>
    <row r="154" ht="15" hidden="1" customHeight="1" spans="3:7">
      <c r="C154" s="221"/>
      <c r="D154" s="221"/>
      <c r="E154" s="221"/>
      <c r="F154" s="221"/>
      <c r="G154" s="221"/>
    </row>
    <row r="155" ht="15" hidden="1" customHeight="1" spans="3:7">
      <c r="C155" s="221"/>
      <c r="D155" s="221"/>
      <c r="E155" s="221"/>
      <c r="F155" s="221"/>
      <c r="G155" s="221"/>
    </row>
    <row r="156" ht="15" hidden="1" customHeight="1" spans="3:7">
      <c r="C156" s="221"/>
      <c r="D156" s="221"/>
      <c r="E156" s="221"/>
      <c r="F156" s="221"/>
      <c r="G156" s="221"/>
    </row>
    <row r="157" ht="15" hidden="1" customHeight="1" spans="3:7">
      <c r="C157" s="221"/>
      <c r="D157" s="221"/>
      <c r="E157" s="221"/>
      <c r="F157" s="221"/>
      <c r="G157" s="221"/>
    </row>
    <row r="158" ht="15" hidden="1" customHeight="1" spans="3:7">
      <c r="C158" s="221"/>
      <c r="D158" s="221"/>
      <c r="E158" s="221"/>
      <c r="F158" s="221"/>
      <c r="G158" s="221"/>
    </row>
    <row r="159" ht="15" hidden="1" customHeight="1" spans="3:7">
      <c r="C159" s="221"/>
      <c r="D159" s="221"/>
      <c r="E159" s="221"/>
      <c r="F159" s="221"/>
      <c r="G159" s="221"/>
    </row>
    <row r="160" ht="15" hidden="1" customHeight="1" spans="3:7">
      <c r="C160" s="221"/>
      <c r="D160" s="221"/>
      <c r="E160" s="221"/>
      <c r="F160" s="221"/>
      <c r="G160" s="221"/>
    </row>
    <row r="161" ht="15" hidden="1" customHeight="1" spans="3:7">
      <c r="C161" s="221"/>
      <c r="D161" s="221"/>
      <c r="E161" s="221"/>
      <c r="F161" s="221"/>
      <c r="G161" s="221"/>
    </row>
    <row r="162" ht="15" hidden="1" customHeight="1" spans="3:7">
      <c r="C162" s="221"/>
      <c r="D162" s="221"/>
      <c r="E162" s="221"/>
      <c r="F162" s="221"/>
      <c r="G162" s="221"/>
    </row>
    <row r="163" ht="15" hidden="1" customHeight="1" spans="3:7">
      <c r="C163" s="221"/>
      <c r="D163" s="221"/>
      <c r="E163" s="221"/>
      <c r="F163" s="221"/>
      <c r="G163" s="221"/>
    </row>
    <row r="164" ht="15" hidden="1" customHeight="1" spans="3:7">
      <c r="C164" s="221"/>
      <c r="D164" s="221"/>
      <c r="E164" s="221"/>
      <c r="F164" s="221"/>
      <c r="G164" s="221"/>
    </row>
    <row r="165" ht="15" hidden="1" customHeight="1" spans="3:7">
      <c r="C165" s="221"/>
      <c r="D165" s="221"/>
      <c r="E165" s="221"/>
      <c r="F165" s="221"/>
      <c r="G165" s="221"/>
    </row>
    <row r="166" ht="15" hidden="1" customHeight="1" spans="3:7">
      <c r="C166" s="221"/>
      <c r="D166" s="221"/>
      <c r="E166" s="221"/>
      <c r="F166" s="221"/>
      <c r="G166" s="221"/>
    </row>
    <row r="167" ht="15" hidden="1" customHeight="1" spans="3:7">
      <c r="C167" s="221"/>
      <c r="D167" s="221"/>
      <c r="E167" s="221"/>
      <c r="F167" s="221"/>
      <c r="G167" s="221"/>
    </row>
    <row r="168" ht="15" hidden="1" customHeight="1" spans="3:7">
      <c r="C168" s="221"/>
      <c r="D168" s="221"/>
      <c r="E168" s="221"/>
      <c r="F168" s="221"/>
      <c r="G168" s="221"/>
    </row>
    <row r="169" ht="15" hidden="1" customHeight="1" spans="3:7">
      <c r="C169" s="221"/>
      <c r="D169" s="221"/>
      <c r="E169" s="221"/>
      <c r="F169" s="221"/>
      <c r="G169" s="221"/>
    </row>
    <row r="170" ht="15" hidden="1" customHeight="1" spans="3:7">
      <c r="C170" s="221"/>
      <c r="D170" s="221"/>
      <c r="E170" s="221"/>
      <c r="F170" s="221"/>
      <c r="G170" s="221"/>
    </row>
    <row r="171" ht="15" hidden="1" customHeight="1" spans="3:7">
      <c r="C171" s="221"/>
      <c r="D171" s="221"/>
      <c r="E171" s="221"/>
      <c r="F171" s="221"/>
      <c r="G171" s="221"/>
    </row>
    <row r="172" ht="15" hidden="1" customHeight="1" spans="3:7">
      <c r="C172" s="221"/>
      <c r="D172" s="221"/>
      <c r="E172" s="221"/>
      <c r="F172" s="221"/>
      <c r="G172" s="221"/>
    </row>
    <row r="173" ht="15" hidden="1" customHeight="1" spans="3:7">
      <c r="C173" s="221"/>
      <c r="D173" s="221"/>
      <c r="E173" s="221"/>
      <c r="F173" s="221"/>
      <c r="G173" s="221"/>
    </row>
    <row r="174" ht="15" hidden="1" customHeight="1" spans="3:7">
      <c r="C174" s="221"/>
      <c r="D174" s="221"/>
      <c r="E174" s="221"/>
      <c r="F174" s="221"/>
      <c r="G174" s="221"/>
    </row>
    <row r="175" ht="15" hidden="1" customHeight="1" spans="3:7">
      <c r="C175" s="221"/>
      <c r="D175" s="221"/>
      <c r="E175" s="221"/>
      <c r="F175" s="221"/>
      <c r="G175" s="221"/>
    </row>
    <row r="176" ht="15" hidden="1" customHeight="1" spans="3:7">
      <c r="C176" s="221"/>
      <c r="D176" s="221"/>
      <c r="E176" s="221"/>
      <c r="F176" s="221"/>
      <c r="G176" s="221"/>
    </row>
    <row r="177" ht="15" hidden="1" customHeight="1" spans="3:7">
      <c r="C177" s="221"/>
      <c r="D177" s="221"/>
      <c r="E177" s="221"/>
      <c r="F177" s="221"/>
      <c r="G177" s="221"/>
    </row>
    <row r="178" ht="15" hidden="1" customHeight="1" spans="3:7">
      <c r="C178" s="221"/>
      <c r="D178" s="221"/>
      <c r="E178" s="221"/>
      <c r="F178" s="221"/>
      <c r="G178" s="221"/>
    </row>
    <row r="179" ht="15" hidden="1" customHeight="1" spans="3:7">
      <c r="C179" s="221"/>
      <c r="D179" s="221"/>
      <c r="E179" s="221"/>
      <c r="F179" s="221"/>
      <c r="G179" s="221"/>
    </row>
    <row r="180" ht="15" hidden="1" customHeight="1" spans="3:7">
      <c r="C180" s="221"/>
      <c r="D180" s="221"/>
      <c r="E180" s="221"/>
      <c r="F180" s="221"/>
      <c r="G180" s="221"/>
    </row>
    <row r="181" ht="15" hidden="1" customHeight="1" spans="3:7">
      <c r="C181" s="221"/>
      <c r="D181" s="221"/>
      <c r="E181" s="221"/>
      <c r="F181" s="221"/>
      <c r="G181" s="221"/>
    </row>
    <row r="182" ht="15" hidden="1" customHeight="1" spans="3:7">
      <c r="C182" s="221"/>
      <c r="D182" s="221"/>
      <c r="E182" s="221"/>
      <c r="F182" s="221"/>
      <c r="G182" s="221"/>
    </row>
    <row r="183" ht="15" hidden="1" customHeight="1" spans="3:7">
      <c r="C183" s="221"/>
      <c r="D183" s="221"/>
      <c r="E183" s="221"/>
      <c r="F183" s="221"/>
      <c r="G183" s="221"/>
    </row>
    <row r="184" ht="15" hidden="1" customHeight="1" spans="3:7">
      <c r="C184" s="221"/>
      <c r="D184" s="221"/>
      <c r="E184" s="221"/>
      <c r="F184" s="221"/>
      <c r="G184" s="221"/>
    </row>
    <row r="185" ht="15" hidden="1" customHeight="1" spans="3:7">
      <c r="C185" s="221"/>
      <c r="D185" s="221"/>
      <c r="E185" s="221"/>
      <c r="F185" s="221"/>
      <c r="G185" s="221"/>
    </row>
    <row r="186" ht="15" hidden="1" customHeight="1" spans="3:7">
      <c r="C186" s="221"/>
      <c r="D186" s="221"/>
      <c r="E186" s="221"/>
      <c r="F186" s="221"/>
      <c r="G186" s="221"/>
    </row>
    <row r="187" ht="15" hidden="1" customHeight="1" spans="3:7">
      <c r="C187" s="221"/>
      <c r="D187" s="221"/>
      <c r="E187" s="221"/>
      <c r="F187" s="221"/>
      <c r="G187" s="221"/>
    </row>
    <row r="188" ht="15" hidden="1" customHeight="1" spans="3:7">
      <c r="C188" s="221"/>
      <c r="D188" s="221"/>
      <c r="E188" s="221"/>
      <c r="F188" s="221"/>
      <c r="G188" s="221"/>
    </row>
    <row r="189" ht="15" hidden="1" customHeight="1" spans="3:7">
      <c r="C189" s="221"/>
      <c r="D189" s="221"/>
      <c r="E189" s="221"/>
      <c r="F189" s="221"/>
      <c r="G189" s="221"/>
    </row>
    <row r="190" ht="15" hidden="1" customHeight="1" spans="3:7">
      <c r="C190" s="221"/>
      <c r="D190" s="221"/>
      <c r="E190" s="221"/>
      <c r="F190" s="221"/>
      <c r="G190" s="221"/>
    </row>
    <row r="191" ht="15" hidden="1" customHeight="1" spans="3:7">
      <c r="C191" s="221"/>
      <c r="D191" s="221"/>
      <c r="E191" s="221"/>
      <c r="F191" s="221"/>
      <c r="G191" s="221"/>
    </row>
    <row r="192" ht="15" hidden="1" customHeight="1" spans="3:7">
      <c r="C192" s="221"/>
      <c r="D192" s="221"/>
      <c r="E192" s="221"/>
      <c r="F192" s="221"/>
      <c r="G192" s="221"/>
    </row>
    <row r="193" ht="15" hidden="1" customHeight="1" spans="3:7">
      <c r="C193" s="221"/>
      <c r="D193" s="221"/>
      <c r="E193" s="221"/>
      <c r="F193" s="221"/>
      <c r="G193" s="221"/>
    </row>
    <row r="194" ht="15" hidden="1" customHeight="1" spans="3:7">
      <c r="C194" s="221"/>
      <c r="D194" s="221"/>
      <c r="E194" s="221"/>
      <c r="F194" s="221"/>
      <c r="G194" s="221"/>
    </row>
    <row r="195" ht="15" hidden="1" customHeight="1" spans="3:7">
      <c r="C195" s="221"/>
      <c r="D195" s="221"/>
      <c r="E195" s="221"/>
      <c r="F195" s="221"/>
      <c r="G195" s="221"/>
    </row>
    <row r="196" ht="15" hidden="1" customHeight="1" spans="3:7">
      <c r="C196" s="221"/>
      <c r="D196" s="221"/>
      <c r="E196" s="221"/>
      <c r="F196" s="221"/>
      <c r="G196" s="221"/>
    </row>
    <row r="197" ht="15" hidden="1" customHeight="1" spans="3:7">
      <c r="C197" s="221"/>
      <c r="D197" s="221"/>
      <c r="E197" s="221"/>
      <c r="F197" s="221"/>
      <c r="G197" s="221"/>
    </row>
    <row r="198" ht="15" hidden="1" customHeight="1" spans="3:7">
      <c r="C198" s="221"/>
      <c r="D198" s="221"/>
      <c r="E198" s="221"/>
      <c r="F198" s="221"/>
      <c r="G198" s="221"/>
    </row>
    <row r="199" ht="15" hidden="1" customHeight="1" spans="3:7">
      <c r="C199" s="221"/>
      <c r="D199" s="221"/>
      <c r="E199" s="221"/>
      <c r="F199" s="221"/>
      <c r="G199" s="221"/>
    </row>
    <row r="200" ht="15" hidden="1" customHeight="1" spans="3:7">
      <c r="C200" s="221"/>
      <c r="D200" s="221"/>
      <c r="E200" s="221"/>
      <c r="F200" s="221"/>
      <c r="G200" s="221"/>
    </row>
    <row r="201" ht="15" hidden="1" customHeight="1" spans="3:7">
      <c r="C201" s="221"/>
      <c r="D201" s="221"/>
      <c r="E201" s="221"/>
      <c r="F201" s="221"/>
      <c r="G201" s="221"/>
    </row>
    <row r="202" ht="15" hidden="1" customHeight="1" spans="3:7">
      <c r="C202" s="221"/>
      <c r="D202" s="221"/>
      <c r="E202" s="221"/>
      <c r="F202" s="221"/>
      <c r="G202" s="221"/>
    </row>
    <row r="203" ht="15" hidden="1" customHeight="1" spans="3:7">
      <c r="C203" s="221"/>
      <c r="D203" s="221"/>
      <c r="E203" s="221"/>
      <c r="F203" s="221"/>
      <c r="G203" s="221"/>
    </row>
    <row r="204" ht="15" hidden="1" customHeight="1" spans="3:7">
      <c r="C204" s="221"/>
      <c r="D204" s="221"/>
      <c r="E204" s="221"/>
      <c r="F204" s="221"/>
      <c r="G204" s="221"/>
    </row>
    <row r="205" ht="15" hidden="1" customHeight="1" spans="3:7">
      <c r="C205" s="221"/>
      <c r="D205" s="221"/>
      <c r="E205" s="221"/>
      <c r="F205" s="221"/>
      <c r="G205" s="221"/>
    </row>
    <row r="206" ht="15" hidden="1" customHeight="1" spans="3:7">
      <c r="C206" s="221"/>
      <c r="D206" s="221"/>
      <c r="E206" s="221"/>
      <c r="F206" s="221"/>
      <c r="G206" s="221"/>
    </row>
    <row r="207" ht="15" hidden="1" customHeight="1" spans="3:7">
      <c r="C207" s="221"/>
      <c r="D207" s="221"/>
      <c r="E207" s="221"/>
      <c r="F207" s="221"/>
      <c r="G207" s="221"/>
    </row>
    <row r="208" ht="15" hidden="1" customHeight="1" spans="3:7">
      <c r="C208" s="221"/>
      <c r="D208" s="221"/>
      <c r="E208" s="221"/>
      <c r="F208" s="221"/>
      <c r="G208" s="221"/>
    </row>
    <row r="209" ht="15" hidden="1" customHeight="1" spans="3:7">
      <c r="C209" s="221"/>
      <c r="D209" s="221"/>
      <c r="E209" s="221"/>
      <c r="F209" s="221"/>
      <c r="G209" s="221"/>
    </row>
    <row r="210" ht="15" hidden="1" customHeight="1" spans="3:7">
      <c r="C210" s="221"/>
      <c r="D210" s="221"/>
      <c r="E210" s="221"/>
      <c r="F210" s="221"/>
      <c r="G210" s="221"/>
    </row>
    <row r="211" ht="15" hidden="1" customHeight="1" spans="3:7">
      <c r="C211" s="221"/>
      <c r="D211" s="221"/>
      <c r="E211" s="221"/>
      <c r="F211" s="221"/>
      <c r="G211" s="221"/>
    </row>
    <row r="212" ht="15" hidden="1" customHeight="1" spans="3:7">
      <c r="C212" s="221"/>
      <c r="D212" s="221"/>
      <c r="E212" s="221"/>
      <c r="F212" s="221"/>
      <c r="G212" s="221"/>
    </row>
    <row r="213" ht="15" hidden="1" customHeight="1" spans="3:7">
      <c r="C213" s="221"/>
      <c r="D213" s="221"/>
      <c r="E213" s="221"/>
      <c r="F213" s="221"/>
      <c r="G213" s="221"/>
    </row>
    <row r="214" ht="15" hidden="1" customHeight="1" spans="3:7">
      <c r="C214" s="221"/>
      <c r="D214" s="221"/>
      <c r="E214" s="221"/>
      <c r="F214" s="221"/>
      <c r="G214" s="221"/>
    </row>
    <row r="215" ht="15" hidden="1" customHeight="1" spans="3:7">
      <c r="C215" s="221"/>
      <c r="D215" s="221"/>
      <c r="E215" s="221"/>
      <c r="F215" s="221"/>
      <c r="G215" s="221"/>
    </row>
    <row r="216" ht="15" hidden="1" customHeight="1" spans="3:7">
      <c r="C216" s="221"/>
      <c r="D216" s="221"/>
      <c r="E216" s="221"/>
      <c r="F216" s="221"/>
      <c r="G216" s="221"/>
    </row>
    <row r="217" ht="15" hidden="1" customHeight="1" spans="3:7">
      <c r="C217" s="221"/>
      <c r="D217" s="221"/>
      <c r="E217" s="221"/>
      <c r="F217" s="221"/>
      <c r="G217" s="221"/>
    </row>
    <row r="218" ht="15" hidden="1" customHeight="1" spans="3:7">
      <c r="C218" s="221"/>
      <c r="D218" s="221"/>
      <c r="E218" s="221"/>
      <c r="F218" s="221"/>
      <c r="G218" s="221"/>
    </row>
    <row r="219" ht="15" hidden="1" customHeight="1" spans="3:7">
      <c r="C219" s="221"/>
      <c r="D219" s="221"/>
      <c r="E219" s="221"/>
      <c r="F219" s="221"/>
      <c r="G219" s="221"/>
    </row>
    <row r="220" ht="15" hidden="1" customHeight="1" spans="3:7">
      <c r="C220" s="221"/>
      <c r="D220" s="221"/>
      <c r="E220" s="221"/>
      <c r="F220" s="221"/>
      <c r="G220" s="221"/>
    </row>
    <row r="221" ht="15" hidden="1" customHeight="1" spans="3:7">
      <c r="C221" s="221"/>
      <c r="D221" s="221"/>
      <c r="E221" s="221"/>
      <c r="F221" s="221"/>
      <c r="G221" s="221"/>
    </row>
    <row r="222" ht="15" hidden="1" customHeight="1" spans="3:7">
      <c r="C222" s="221"/>
      <c r="D222" s="221"/>
      <c r="E222" s="221"/>
      <c r="F222" s="221"/>
      <c r="G222" s="221"/>
    </row>
    <row r="223" ht="15" hidden="1" customHeight="1" spans="3:7">
      <c r="C223" s="221"/>
      <c r="D223" s="221"/>
      <c r="E223" s="221"/>
      <c r="F223" s="221"/>
      <c r="G223" s="221"/>
    </row>
    <row r="224" ht="15" hidden="1" customHeight="1" spans="3:7">
      <c r="C224" s="221"/>
      <c r="D224" s="221"/>
      <c r="E224" s="221"/>
      <c r="F224" s="221"/>
      <c r="G224" s="221"/>
    </row>
    <row r="225" ht="15" hidden="1" customHeight="1" spans="3:7">
      <c r="C225" s="221"/>
      <c r="D225" s="221"/>
      <c r="E225" s="221"/>
      <c r="F225" s="221"/>
      <c r="G225" s="221"/>
    </row>
    <row r="226" ht="15" hidden="1" customHeight="1" spans="3:7">
      <c r="C226" s="221"/>
      <c r="D226" s="221"/>
      <c r="E226" s="221"/>
      <c r="F226" s="221"/>
      <c r="G226" s="221"/>
    </row>
    <row r="227" ht="15" hidden="1" customHeight="1" spans="3:7">
      <c r="C227" s="221"/>
      <c r="D227" s="221"/>
      <c r="E227" s="221"/>
      <c r="F227" s="221"/>
      <c r="G227" s="221"/>
    </row>
    <row r="228" ht="15" hidden="1" customHeight="1" spans="3:7">
      <c r="C228" s="221"/>
      <c r="D228" s="221"/>
      <c r="E228" s="221"/>
      <c r="F228" s="221"/>
      <c r="G228" s="221"/>
    </row>
    <row r="229" ht="15" hidden="1" customHeight="1" spans="3:7">
      <c r="C229" s="221"/>
      <c r="D229" s="221"/>
      <c r="E229" s="221"/>
      <c r="F229" s="221"/>
      <c r="G229" s="221"/>
    </row>
    <row r="230" ht="15" hidden="1" customHeight="1" spans="3:7">
      <c r="C230" s="221"/>
      <c r="D230" s="221"/>
      <c r="E230" s="221"/>
      <c r="F230" s="221"/>
      <c r="G230" s="221"/>
    </row>
    <row r="231" ht="15" hidden="1" customHeight="1" spans="3:7">
      <c r="C231" s="221"/>
      <c r="D231" s="221"/>
      <c r="E231" s="221"/>
      <c r="F231" s="221"/>
      <c r="G231" s="221"/>
    </row>
    <row r="232" ht="15" hidden="1" customHeight="1" spans="3:7">
      <c r="C232" s="221"/>
      <c r="D232" s="221"/>
      <c r="E232" s="221"/>
      <c r="F232" s="221"/>
      <c r="G232" s="221"/>
    </row>
    <row r="233" ht="15" hidden="1" customHeight="1" spans="3:7">
      <c r="C233" s="221"/>
      <c r="D233" s="221"/>
      <c r="E233" s="221"/>
      <c r="F233" s="221"/>
      <c r="G233" s="221"/>
    </row>
    <row r="234" ht="15" hidden="1" customHeight="1" spans="3:7">
      <c r="C234" s="221"/>
      <c r="D234" s="221"/>
      <c r="E234" s="221"/>
      <c r="F234" s="221"/>
      <c r="G234" s="221"/>
    </row>
    <row r="235" ht="15" hidden="1" customHeight="1" spans="3:7">
      <c r="C235" s="221"/>
      <c r="D235" s="221"/>
      <c r="E235" s="221"/>
      <c r="F235" s="221"/>
      <c r="G235" s="221"/>
    </row>
    <row r="236" ht="15" hidden="1" customHeight="1" spans="3:7">
      <c r="C236" s="221"/>
      <c r="D236" s="221"/>
      <c r="E236" s="221"/>
      <c r="F236" s="221"/>
      <c r="G236" s="221"/>
    </row>
    <row r="237" ht="15" hidden="1" customHeight="1" spans="3:7">
      <c r="C237" s="221"/>
      <c r="D237" s="221"/>
      <c r="E237" s="221"/>
      <c r="F237" s="221"/>
      <c r="G237" s="221"/>
    </row>
    <row r="238" ht="15" hidden="1" customHeight="1" spans="3:7">
      <c r="C238" s="221"/>
      <c r="D238" s="221"/>
      <c r="E238" s="221"/>
      <c r="F238" s="221"/>
      <c r="G238" s="221"/>
    </row>
    <row r="239" ht="15" hidden="1" customHeight="1" spans="3:7">
      <c r="C239" s="221"/>
      <c r="D239" s="221"/>
      <c r="E239" s="221"/>
      <c r="F239" s="221"/>
      <c r="G239" s="221"/>
    </row>
    <row r="240" ht="15" hidden="1" customHeight="1" spans="3:7">
      <c r="C240" s="221"/>
      <c r="D240" s="221"/>
      <c r="E240" s="221"/>
      <c r="F240" s="221"/>
      <c r="G240" s="221"/>
    </row>
    <row r="241" ht="15" hidden="1" customHeight="1" spans="3:7">
      <c r="C241" s="221"/>
      <c r="D241" s="221"/>
      <c r="E241" s="221"/>
      <c r="F241" s="221"/>
      <c r="G241" s="221"/>
    </row>
    <row r="242" ht="15" hidden="1" customHeight="1" spans="3:7">
      <c r="C242" s="221"/>
      <c r="D242" s="221"/>
      <c r="E242" s="221"/>
      <c r="F242" s="221"/>
      <c r="G242" s="221"/>
    </row>
    <row r="243" ht="15" hidden="1" customHeight="1" spans="3:7">
      <c r="C243" s="221"/>
      <c r="D243" s="221"/>
      <c r="E243" s="221"/>
      <c r="F243" s="221"/>
      <c r="G243" s="221"/>
    </row>
    <row r="244" ht="15" hidden="1" customHeight="1" spans="3:7">
      <c r="C244" s="221"/>
      <c r="D244" s="221"/>
      <c r="E244" s="221"/>
      <c r="F244" s="221"/>
      <c r="G244" s="221"/>
    </row>
    <row r="245" ht="15" hidden="1" customHeight="1" spans="3:7">
      <c r="C245" s="221"/>
      <c r="D245" s="221"/>
      <c r="E245" s="221"/>
      <c r="F245" s="221"/>
      <c r="G245" s="221"/>
    </row>
    <row r="246" ht="15" hidden="1" customHeight="1" spans="3:7">
      <c r="C246" s="221"/>
      <c r="D246" s="221"/>
      <c r="E246" s="221"/>
      <c r="F246" s="221"/>
      <c r="G246" s="221"/>
    </row>
    <row r="247" ht="15" hidden="1" customHeight="1" spans="3:7">
      <c r="C247" s="221"/>
      <c r="D247" s="221"/>
      <c r="E247" s="221"/>
      <c r="F247" s="221"/>
      <c r="G247" s="221"/>
    </row>
    <row r="248" ht="15" hidden="1" customHeight="1" spans="3:7">
      <c r="C248" s="221"/>
      <c r="D248" s="221"/>
      <c r="E248" s="221"/>
      <c r="F248" s="221"/>
      <c r="G248" s="221"/>
    </row>
    <row r="249" ht="15" hidden="1" customHeight="1" spans="3:7">
      <c r="C249" s="221"/>
      <c r="D249" s="221"/>
      <c r="E249" s="221"/>
      <c r="F249" s="221"/>
      <c r="G249" s="221"/>
    </row>
    <row r="250" ht="15" hidden="1" customHeight="1" spans="3:7">
      <c r="C250" s="221"/>
      <c r="D250" s="221"/>
      <c r="E250" s="221"/>
      <c r="F250" s="221"/>
      <c r="G250" s="221"/>
    </row>
    <row r="251" ht="15" hidden="1" customHeight="1" spans="3:7">
      <c r="C251" s="221"/>
      <c r="D251" s="221"/>
      <c r="E251" s="221"/>
      <c r="F251" s="221"/>
      <c r="G251" s="221"/>
    </row>
    <row r="252" ht="15" hidden="1" customHeight="1" spans="3:7">
      <c r="C252" s="221"/>
      <c r="D252" s="221"/>
      <c r="E252" s="221"/>
      <c r="F252" s="221"/>
      <c r="G252" s="221"/>
    </row>
    <row r="253" ht="15" hidden="1" customHeight="1" spans="3:7">
      <c r="C253" s="221"/>
      <c r="D253" s="221"/>
      <c r="E253" s="221"/>
      <c r="F253" s="221"/>
      <c r="G253" s="221"/>
    </row>
    <row r="254" ht="15" hidden="1" customHeight="1" spans="3:7">
      <c r="C254" s="221"/>
      <c r="D254" s="221"/>
      <c r="E254" s="221"/>
      <c r="F254" s="221"/>
      <c r="G254" s="221"/>
    </row>
    <row r="255" ht="15" hidden="1" customHeight="1" spans="3:7">
      <c r="C255" s="221"/>
      <c r="D255" s="221"/>
      <c r="E255" s="221"/>
      <c r="F255" s="221"/>
      <c r="G255" s="221"/>
    </row>
    <row r="256" ht="15" hidden="1" customHeight="1" spans="3:7">
      <c r="C256" s="221"/>
      <c r="D256" s="221"/>
      <c r="E256" s="221"/>
      <c r="F256" s="221"/>
      <c r="G256" s="221"/>
    </row>
    <row r="257" ht="15" hidden="1" customHeight="1" spans="3:7">
      <c r="C257" s="221"/>
      <c r="D257" s="221"/>
      <c r="E257" s="221"/>
      <c r="F257" s="221"/>
      <c r="G257" s="221"/>
    </row>
    <row r="258" ht="15" hidden="1" customHeight="1" spans="3:7">
      <c r="C258" s="221"/>
      <c r="D258" s="221"/>
      <c r="E258" s="221"/>
      <c r="F258" s="221"/>
      <c r="G258" s="221"/>
    </row>
    <row r="259" ht="15" hidden="1" customHeight="1" spans="3:7">
      <c r="C259" s="221"/>
      <c r="D259" s="221"/>
      <c r="E259" s="221"/>
      <c r="F259" s="221"/>
      <c r="G259" s="221"/>
    </row>
    <row r="260" ht="15" hidden="1" customHeight="1" spans="3:7">
      <c r="C260" s="221"/>
      <c r="D260" s="221"/>
      <c r="E260" s="221"/>
      <c r="F260" s="221"/>
      <c r="G260" s="221"/>
    </row>
    <row r="261" ht="15" hidden="1" customHeight="1" spans="3:7">
      <c r="C261" s="221"/>
      <c r="D261" s="221"/>
      <c r="E261" s="221"/>
      <c r="F261" s="221"/>
      <c r="G261" s="221"/>
    </row>
    <row r="262" ht="15" hidden="1" customHeight="1" spans="3:7">
      <c r="C262" s="221"/>
      <c r="D262" s="221"/>
      <c r="E262" s="221"/>
      <c r="F262" s="221"/>
      <c r="G262" s="221"/>
    </row>
    <row r="263" ht="15" hidden="1" customHeight="1" spans="3:7">
      <c r="C263" s="221"/>
      <c r="D263" s="221"/>
      <c r="E263" s="221"/>
      <c r="F263" s="221"/>
      <c r="G263" s="221"/>
    </row>
    <row r="264" ht="15" hidden="1" customHeight="1" spans="3:7">
      <c r="C264" s="221"/>
      <c r="D264" s="221"/>
      <c r="E264" s="221"/>
      <c r="F264" s="221"/>
      <c r="G264" s="221"/>
    </row>
    <row r="265" ht="15" hidden="1" customHeight="1" spans="3:7">
      <c r="C265" s="221"/>
      <c r="D265" s="221"/>
      <c r="E265" s="221"/>
      <c r="F265" s="221"/>
      <c r="G265" s="221"/>
    </row>
    <row r="266" ht="15" hidden="1" customHeight="1" spans="3:7">
      <c r="C266" s="221"/>
      <c r="D266" s="221"/>
      <c r="E266" s="221"/>
      <c r="F266" s="221"/>
      <c r="G266" s="221"/>
    </row>
    <row r="267" ht="15" hidden="1" customHeight="1" spans="3:7">
      <c r="C267" s="221"/>
      <c r="D267" s="221"/>
      <c r="E267" s="221"/>
      <c r="F267" s="221"/>
      <c r="G267" s="221"/>
    </row>
    <row r="268" ht="15" hidden="1" customHeight="1" spans="3:7">
      <c r="C268" s="221"/>
      <c r="D268" s="221"/>
      <c r="E268" s="221"/>
      <c r="F268" s="221"/>
      <c r="G268" s="221"/>
    </row>
    <row r="269" ht="15" hidden="1" customHeight="1" spans="3:7">
      <c r="C269" s="221"/>
      <c r="D269" s="221"/>
      <c r="E269" s="221"/>
      <c r="F269" s="221"/>
      <c r="G269" s="221"/>
    </row>
    <row r="270" ht="15" hidden="1" customHeight="1" spans="3:7">
      <c r="C270" s="221"/>
      <c r="D270" s="221"/>
      <c r="E270" s="221"/>
      <c r="F270" s="221"/>
      <c r="G270" s="221"/>
    </row>
    <row r="271" ht="15" hidden="1" customHeight="1" spans="3:7">
      <c r="C271" s="221"/>
      <c r="D271" s="221"/>
      <c r="E271" s="221"/>
      <c r="F271" s="221"/>
      <c r="G271" s="221"/>
    </row>
    <row r="272" ht="15" hidden="1" customHeight="1" spans="3:7">
      <c r="C272" s="221"/>
      <c r="D272" s="221"/>
      <c r="E272" s="221"/>
      <c r="F272" s="221"/>
      <c r="G272" s="221"/>
    </row>
    <row r="273" ht="15" hidden="1" customHeight="1" spans="3:7">
      <c r="C273" s="221"/>
      <c r="D273" s="221"/>
      <c r="E273" s="221"/>
      <c r="F273" s="221"/>
      <c r="G273" s="221"/>
    </row>
    <row r="274" ht="15" hidden="1" customHeight="1" spans="3:7">
      <c r="C274" s="221"/>
      <c r="D274" s="221"/>
      <c r="E274" s="221"/>
      <c r="F274" s="221"/>
      <c r="G274" s="221"/>
    </row>
    <row r="275" ht="15" hidden="1" customHeight="1" spans="3:7">
      <c r="C275" s="221"/>
      <c r="D275" s="221"/>
      <c r="E275" s="221"/>
      <c r="F275" s="221"/>
      <c r="G275" s="221"/>
    </row>
    <row r="276" ht="15" hidden="1" customHeight="1" spans="3:7">
      <c r="C276" s="221"/>
      <c r="D276" s="221"/>
      <c r="E276" s="221"/>
      <c r="F276" s="221"/>
      <c r="G276" s="221"/>
    </row>
    <row r="277" ht="15" hidden="1" customHeight="1" spans="3:7">
      <c r="C277" s="221"/>
      <c r="D277" s="221"/>
      <c r="E277" s="221"/>
      <c r="F277" s="221"/>
      <c r="G277" s="221"/>
    </row>
    <row r="278" ht="15" hidden="1" customHeight="1" spans="3:7">
      <c r="C278" s="221"/>
      <c r="D278" s="221"/>
      <c r="E278" s="221"/>
      <c r="F278" s="221"/>
      <c r="G278" s="221"/>
    </row>
    <row r="279" ht="15" hidden="1" customHeight="1" spans="3:7">
      <c r="C279" s="221"/>
      <c r="D279" s="221"/>
      <c r="E279" s="221"/>
      <c r="F279" s="221"/>
      <c r="G279" s="221"/>
    </row>
    <row r="280" ht="15" hidden="1" customHeight="1" spans="3:7">
      <c r="C280" s="221"/>
      <c r="D280" s="221"/>
      <c r="E280" s="221"/>
      <c r="F280" s="221"/>
      <c r="G280" s="221"/>
    </row>
    <row r="281" ht="15" hidden="1" customHeight="1" spans="3:7">
      <c r="C281" s="221"/>
      <c r="D281" s="221"/>
      <c r="E281" s="221"/>
      <c r="F281" s="221"/>
      <c r="G281" s="221"/>
    </row>
    <row r="282" ht="15" hidden="1" customHeight="1" spans="3:7">
      <c r="C282" s="221"/>
      <c r="D282" s="221"/>
      <c r="E282" s="221"/>
      <c r="F282" s="221"/>
      <c r="G282" s="221"/>
    </row>
    <row r="283" ht="15" hidden="1" customHeight="1" spans="3:7">
      <c r="C283" s="221"/>
      <c r="D283" s="221"/>
      <c r="E283" s="221"/>
      <c r="F283" s="221"/>
      <c r="G283" s="221"/>
    </row>
    <row r="284" ht="15" hidden="1" customHeight="1" spans="3:7">
      <c r="C284" s="221"/>
      <c r="D284" s="221"/>
      <c r="E284" s="221"/>
      <c r="F284" s="221"/>
      <c r="G284" s="221"/>
    </row>
    <row r="285" ht="15" hidden="1" customHeight="1" spans="3:7">
      <c r="C285" s="221"/>
      <c r="D285" s="221"/>
      <c r="E285" s="221"/>
      <c r="F285" s="221"/>
      <c r="G285" s="221"/>
    </row>
    <row r="286" ht="15" hidden="1" customHeight="1" spans="3:7">
      <c r="C286" s="221"/>
      <c r="D286" s="221"/>
      <c r="E286" s="221"/>
      <c r="F286" s="221"/>
      <c r="G286" s="221"/>
    </row>
    <row r="287" ht="15" hidden="1" customHeight="1" spans="3:7">
      <c r="C287" s="221"/>
      <c r="D287" s="221"/>
      <c r="E287" s="221"/>
      <c r="F287" s="221"/>
      <c r="G287" s="221"/>
    </row>
    <row r="288" ht="15" hidden="1" customHeight="1" spans="3:7">
      <c r="C288" s="221"/>
      <c r="D288" s="221"/>
      <c r="E288" s="221"/>
      <c r="F288" s="221"/>
      <c r="G288" s="221"/>
    </row>
    <row r="289" ht="15" hidden="1" customHeight="1" spans="3:7">
      <c r="C289" s="221"/>
      <c r="D289" s="221"/>
      <c r="E289" s="221"/>
      <c r="F289" s="221"/>
      <c r="G289" s="221"/>
    </row>
    <row r="290" ht="15" hidden="1" customHeight="1" spans="3:7">
      <c r="C290" s="221"/>
      <c r="D290" s="221"/>
      <c r="E290" s="221"/>
      <c r="F290" s="221"/>
      <c r="G290" s="221"/>
    </row>
    <row r="291" ht="15" hidden="1" customHeight="1" spans="3:7">
      <c r="C291" s="221"/>
      <c r="D291" s="221"/>
      <c r="E291" s="221"/>
      <c r="F291" s="221"/>
      <c r="G291" s="221"/>
    </row>
    <row r="292" ht="15" hidden="1" customHeight="1" spans="3:7">
      <c r="C292" s="221"/>
      <c r="D292" s="221"/>
      <c r="E292" s="221"/>
      <c r="F292" s="221"/>
      <c r="G292" s="221"/>
    </row>
    <row r="293" ht="15" hidden="1" customHeight="1" spans="3:7">
      <c r="C293" s="221"/>
      <c r="D293" s="221"/>
      <c r="E293" s="221"/>
      <c r="F293" s="221"/>
      <c r="G293" s="221"/>
    </row>
    <row r="294" ht="15" hidden="1" customHeight="1" spans="3:7">
      <c r="C294" s="221"/>
      <c r="D294" s="221"/>
      <c r="E294" s="221"/>
      <c r="F294" s="221"/>
      <c r="G294" s="221"/>
    </row>
    <row r="295" ht="15" hidden="1" customHeight="1" spans="3:7">
      <c r="C295" s="221"/>
      <c r="D295" s="221"/>
      <c r="E295" s="221"/>
      <c r="F295" s="221"/>
      <c r="G295" s="221"/>
    </row>
    <row r="296" ht="15" hidden="1" customHeight="1" spans="3:7">
      <c r="C296" s="221"/>
      <c r="D296" s="221"/>
      <c r="E296" s="221"/>
      <c r="F296" s="221"/>
      <c r="G296" s="221"/>
    </row>
    <row r="297" ht="15" hidden="1" customHeight="1" spans="3:7">
      <c r="C297" s="221"/>
      <c r="D297" s="221"/>
      <c r="E297" s="221"/>
      <c r="F297" s="221"/>
      <c r="G297" s="221"/>
    </row>
    <row r="298" ht="15" hidden="1" customHeight="1" spans="3:7">
      <c r="C298" s="221"/>
      <c r="D298" s="221"/>
      <c r="E298" s="221"/>
      <c r="F298" s="221"/>
      <c r="G298" s="221"/>
    </row>
    <row r="299" ht="15" hidden="1" customHeight="1" spans="3:7">
      <c r="C299" s="221"/>
      <c r="D299" s="221"/>
      <c r="E299" s="221"/>
      <c r="F299" s="221"/>
      <c r="G299" s="221"/>
    </row>
    <row r="300" ht="15" hidden="1" customHeight="1" spans="3:7">
      <c r="C300" s="221"/>
      <c r="D300" s="221"/>
      <c r="E300" s="221"/>
      <c r="F300" s="221"/>
      <c r="G300" s="221"/>
    </row>
    <row r="301" ht="15" hidden="1" customHeight="1" spans="3:7">
      <c r="C301" s="221"/>
      <c r="D301" s="221"/>
      <c r="E301" s="221"/>
      <c r="F301" s="221"/>
      <c r="G301" s="221"/>
    </row>
    <row r="302" ht="15" hidden="1" customHeight="1" spans="3:7">
      <c r="C302" s="221"/>
      <c r="D302" s="221"/>
      <c r="E302" s="221"/>
      <c r="F302" s="221"/>
      <c r="G302" s="221"/>
    </row>
    <row r="303" ht="15" hidden="1" customHeight="1" spans="3:7">
      <c r="C303" s="221"/>
      <c r="D303" s="221"/>
      <c r="E303" s="221"/>
      <c r="F303" s="221"/>
      <c r="G303" s="221"/>
    </row>
    <row r="304" ht="15" hidden="1" customHeight="1" spans="3:7">
      <c r="C304" s="221"/>
      <c r="D304" s="221"/>
      <c r="E304" s="221"/>
      <c r="F304" s="221"/>
      <c r="G304" s="221"/>
    </row>
    <row r="305" ht="15" hidden="1" customHeight="1" spans="3:7">
      <c r="C305" s="221"/>
      <c r="D305" s="221"/>
      <c r="E305" s="221"/>
      <c r="F305" s="221"/>
      <c r="G305" s="221"/>
    </row>
    <row r="306" ht="15" hidden="1" customHeight="1" spans="3:7">
      <c r="C306" s="221"/>
      <c r="D306" s="221"/>
      <c r="E306" s="221"/>
      <c r="F306" s="221"/>
      <c r="G306" s="221"/>
    </row>
    <row r="307" ht="15" hidden="1" customHeight="1" spans="3:7">
      <c r="C307" s="221"/>
      <c r="D307" s="221"/>
      <c r="E307" s="221"/>
      <c r="F307" s="221"/>
      <c r="G307" s="221"/>
    </row>
    <row r="308" ht="15" hidden="1" customHeight="1" spans="3:7">
      <c r="C308" s="221"/>
      <c r="D308" s="221"/>
      <c r="E308" s="221"/>
      <c r="F308" s="221"/>
      <c r="G308" s="221"/>
    </row>
    <row r="309" ht="15" hidden="1" customHeight="1" spans="3:7">
      <c r="C309" s="221"/>
      <c r="D309" s="221"/>
      <c r="E309" s="221"/>
      <c r="F309" s="221"/>
      <c r="G309" s="221"/>
    </row>
    <row r="310" ht="15" hidden="1" customHeight="1" spans="3:7">
      <c r="C310" s="221"/>
      <c r="D310" s="221"/>
      <c r="E310" s="221"/>
      <c r="F310" s="221"/>
      <c r="G310" s="221"/>
    </row>
    <row r="311" ht="15" hidden="1" customHeight="1" spans="3:7">
      <c r="C311" s="221"/>
      <c r="D311" s="221"/>
      <c r="E311" s="221"/>
      <c r="F311" s="221"/>
      <c r="G311" s="221"/>
    </row>
    <row r="312" ht="15" hidden="1" customHeight="1" spans="3:7">
      <c r="C312" s="221"/>
      <c r="D312" s="221"/>
      <c r="E312" s="221"/>
      <c r="F312" s="221"/>
      <c r="G312" s="221"/>
    </row>
    <row r="313" ht="15" hidden="1" customHeight="1" spans="3:7">
      <c r="C313" s="221"/>
      <c r="D313" s="221"/>
      <c r="E313" s="221"/>
      <c r="F313" s="221"/>
      <c r="G313" s="221"/>
    </row>
    <row r="314" ht="15" hidden="1" customHeight="1" spans="3:7">
      <c r="C314" s="221"/>
      <c r="D314" s="221"/>
      <c r="E314" s="221"/>
      <c r="F314" s="221"/>
      <c r="G314" s="221"/>
    </row>
    <row r="315" ht="15" hidden="1" customHeight="1" spans="3:7">
      <c r="C315" s="221"/>
      <c r="D315" s="221"/>
      <c r="E315" s="221"/>
      <c r="F315" s="221"/>
      <c r="G315" s="221"/>
    </row>
    <row r="316" ht="15" hidden="1" customHeight="1" spans="3:7">
      <c r="C316" s="221"/>
      <c r="D316" s="221"/>
      <c r="E316" s="221"/>
      <c r="F316" s="221"/>
      <c r="G316" s="221"/>
    </row>
    <row r="317" ht="15" hidden="1" customHeight="1" spans="3:7">
      <c r="C317" s="221"/>
      <c r="D317" s="221"/>
      <c r="E317" s="221"/>
      <c r="F317" s="221"/>
      <c r="G317" s="221"/>
    </row>
    <row r="318" ht="15" hidden="1" customHeight="1" spans="3:7">
      <c r="C318" s="221"/>
      <c r="D318" s="221"/>
      <c r="E318" s="221"/>
      <c r="F318" s="221"/>
      <c r="G318" s="221"/>
    </row>
    <row r="319" ht="15" hidden="1" customHeight="1" spans="3:7">
      <c r="C319" s="221"/>
      <c r="D319" s="221"/>
      <c r="E319" s="221"/>
      <c r="F319" s="221"/>
      <c r="G319" s="221"/>
    </row>
    <row r="320" ht="15" hidden="1" customHeight="1" spans="3:7">
      <c r="C320" s="221"/>
      <c r="D320" s="221"/>
      <c r="E320" s="221"/>
      <c r="F320" s="221"/>
      <c r="G320" s="221"/>
    </row>
    <row r="321" ht="15" hidden="1" customHeight="1" spans="3:7">
      <c r="C321" s="221"/>
      <c r="D321" s="221"/>
      <c r="E321" s="221"/>
      <c r="F321" s="221"/>
      <c r="G321" s="221"/>
    </row>
    <row r="322" ht="15" hidden="1" customHeight="1" spans="3:7">
      <c r="C322" s="221"/>
      <c r="D322" s="221"/>
      <c r="E322" s="221"/>
      <c r="F322" s="221"/>
      <c r="G322" s="221"/>
    </row>
    <row r="323" ht="15" hidden="1" customHeight="1" spans="3:7">
      <c r="C323" s="221"/>
      <c r="D323" s="221"/>
      <c r="E323" s="221"/>
      <c r="F323" s="221"/>
      <c r="G323" s="221"/>
    </row>
    <row r="324" ht="15" hidden="1" customHeight="1" spans="3:7">
      <c r="C324" s="221"/>
      <c r="D324" s="221"/>
      <c r="E324" s="221"/>
      <c r="F324" s="221"/>
      <c r="G324" s="221"/>
    </row>
    <row r="325" ht="15" hidden="1" customHeight="1" spans="3:7">
      <c r="C325" s="221"/>
      <c r="D325" s="221"/>
      <c r="E325" s="221"/>
      <c r="F325" s="221"/>
      <c r="G325" s="221"/>
    </row>
    <row r="326" ht="15" hidden="1" customHeight="1" spans="3:7">
      <c r="C326" s="221"/>
      <c r="D326" s="221"/>
      <c r="E326" s="221"/>
      <c r="F326" s="221"/>
      <c r="G326" s="221"/>
    </row>
    <row r="327" ht="15" hidden="1" customHeight="1" spans="3:7">
      <c r="C327" s="221"/>
      <c r="D327" s="221"/>
      <c r="E327" s="221"/>
      <c r="F327" s="221"/>
      <c r="G327" s="221"/>
    </row>
    <row r="328" ht="15" hidden="1" customHeight="1" spans="3:7">
      <c r="C328" s="221"/>
      <c r="D328" s="221"/>
      <c r="E328" s="221"/>
      <c r="F328" s="221"/>
      <c r="G328" s="221"/>
    </row>
    <row r="329" ht="15" hidden="1" customHeight="1" spans="3:7">
      <c r="C329" s="221"/>
      <c r="D329" s="221"/>
      <c r="E329" s="221"/>
      <c r="F329" s="221"/>
      <c r="G329" s="221"/>
    </row>
    <row r="330" ht="15" hidden="1" customHeight="1" spans="3:7">
      <c r="C330" s="221"/>
      <c r="D330" s="221"/>
      <c r="E330" s="221"/>
      <c r="F330" s="221"/>
      <c r="G330" s="221"/>
    </row>
    <row r="331" ht="15" hidden="1" customHeight="1" spans="3:7">
      <c r="C331" s="221"/>
      <c r="D331" s="221"/>
      <c r="E331" s="221"/>
      <c r="F331" s="221"/>
      <c r="G331" s="221"/>
    </row>
    <row r="332" ht="15" hidden="1" customHeight="1" spans="3:7">
      <c r="C332" s="221"/>
      <c r="D332" s="221"/>
      <c r="E332" s="221"/>
      <c r="F332" s="221"/>
      <c r="G332" s="221"/>
    </row>
    <row r="333" ht="15" hidden="1" customHeight="1" spans="3:7">
      <c r="C333" s="221"/>
      <c r="D333" s="221"/>
      <c r="E333" s="221"/>
      <c r="F333" s="221"/>
      <c r="G333" s="221"/>
    </row>
    <row r="334" ht="15" hidden="1" customHeight="1" spans="3:7">
      <c r="C334" s="221"/>
      <c r="D334" s="221"/>
      <c r="E334" s="221"/>
      <c r="F334" s="221"/>
      <c r="G334" s="221"/>
    </row>
    <row r="335" ht="15" hidden="1" customHeight="1" spans="3:7">
      <c r="C335" s="221"/>
      <c r="D335" s="221"/>
      <c r="E335" s="221"/>
      <c r="F335" s="221"/>
      <c r="G335" s="221"/>
    </row>
    <row r="336" ht="15" hidden="1" customHeight="1" spans="3:7">
      <c r="C336" s="221"/>
      <c r="D336" s="221"/>
      <c r="E336" s="221"/>
      <c r="F336" s="221"/>
      <c r="G336" s="221"/>
    </row>
    <row r="337" ht="15" hidden="1" customHeight="1" spans="3:7">
      <c r="C337" s="221"/>
      <c r="D337" s="221"/>
      <c r="E337" s="221"/>
      <c r="F337" s="221"/>
      <c r="G337" s="221"/>
    </row>
    <row r="338" ht="15" hidden="1" customHeight="1" spans="3:7">
      <c r="C338" s="221"/>
      <c r="D338" s="221"/>
      <c r="E338" s="221"/>
      <c r="F338" s="221"/>
      <c r="G338" s="221"/>
    </row>
    <row r="339" ht="15" hidden="1" customHeight="1" spans="3:7">
      <c r="C339" s="221"/>
      <c r="D339" s="221"/>
      <c r="E339" s="221"/>
      <c r="F339" s="221"/>
      <c r="G339" s="221"/>
    </row>
    <row r="340" ht="15" hidden="1" customHeight="1" spans="3:7">
      <c r="C340" s="221"/>
      <c r="D340" s="221"/>
      <c r="E340" s="221"/>
      <c r="F340" s="221"/>
      <c r="G340" s="221"/>
    </row>
    <row r="341" ht="15" hidden="1" customHeight="1" spans="3:7">
      <c r="C341" s="221"/>
      <c r="D341" s="221"/>
      <c r="E341" s="221"/>
      <c r="F341" s="221"/>
      <c r="G341" s="221"/>
    </row>
    <row r="342" ht="15" hidden="1" customHeight="1" spans="3:7">
      <c r="C342" s="221"/>
      <c r="D342" s="221"/>
      <c r="E342" s="221"/>
      <c r="F342" s="221"/>
      <c r="G342" s="221"/>
    </row>
    <row r="343" ht="15" hidden="1" customHeight="1" spans="3:7">
      <c r="C343" s="221"/>
      <c r="D343" s="221"/>
      <c r="E343" s="221"/>
      <c r="F343" s="221"/>
      <c r="G343" s="221"/>
    </row>
    <row r="344" ht="15" hidden="1" customHeight="1" spans="3:7">
      <c r="C344" s="221"/>
      <c r="D344" s="221"/>
      <c r="E344" s="221"/>
      <c r="F344" s="221"/>
      <c r="G344" s="221"/>
    </row>
    <row r="345" ht="15" hidden="1" customHeight="1" spans="3:7">
      <c r="C345" s="221"/>
      <c r="D345" s="221"/>
      <c r="E345" s="221"/>
      <c r="F345" s="221"/>
      <c r="G345" s="221"/>
    </row>
    <row r="346" ht="15" hidden="1" customHeight="1" spans="3:7">
      <c r="C346" s="221"/>
      <c r="D346" s="221"/>
      <c r="E346" s="221"/>
      <c r="F346" s="221"/>
      <c r="G346" s="221"/>
    </row>
    <row r="347" ht="15" hidden="1" customHeight="1" spans="3:7">
      <c r="C347" s="221"/>
      <c r="D347" s="221"/>
      <c r="E347" s="221"/>
      <c r="F347" s="221"/>
      <c r="G347" s="221"/>
    </row>
    <row r="348" ht="15" hidden="1" customHeight="1" spans="3:7">
      <c r="C348" s="221"/>
      <c r="D348" s="221"/>
      <c r="E348" s="221"/>
      <c r="F348" s="221"/>
      <c r="G348" s="221"/>
    </row>
    <row r="349" ht="15" hidden="1" customHeight="1" spans="3:7">
      <c r="C349" s="221"/>
      <c r="D349" s="221"/>
      <c r="E349" s="221"/>
      <c r="F349" s="221"/>
      <c r="G349" s="221"/>
    </row>
    <row r="350" ht="15" hidden="1" customHeight="1" spans="3:7">
      <c r="C350" s="221"/>
      <c r="D350" s="221"/>
      <c r="E350" s="221"/>
      <c r="F350" s="221"/>
      <c r="G350" s="221"/>
    </row>
    <row r="351" ht="15" hidden="1" customHeight="1" spans="3:7">
      <c r="C351" s="221"/>
      <c r="D351" s="221"/>
      <c r="E351" s="221"/>
      <c r="F351" s="221"/>
      <c r="G351" s="221"/>
    </row>
    <row r="352" ht="15" hidden="1" customHeight="1" spans="3:7">
      <c r="C352" s="221"/>
      <c r="D352" s="221"/>
      <c r="E352" s="221"/>
      <c r="F352" s="221"/>
      <c r="G352" s="221"/>
    </row>
    <row r="353" ht="15" hidden="1" customHeight="1" spans="3:7">
      <c r="C353" s="221"/>
      <c r="D353" s="221"/>
      <c r="E353" s="221"/>
      <c r="F353" s="221"/>
      <c r="G353" s="221"/>
    </row>
    <row r="354" ht="15" hidden="1" customHeight="1" spans="3:7">
      <c r="C354" s="221"/>
      <c r="D354" s="221"/>
      <c r="E354" s="221"/>
      <c r="F354" s="221"/>
      <c r="G354" s="221"/>
    </row>
    <row r="355" ht="15" hidden="1" customHeight="1" spans="3:7">
      <c r="C355" s="221"/>
      <c r="D355" s="221"/>
      <c r="E355" s="221"/>
      <c r="F355" s="221"/>
      <c r="G355" s="221"/>
    </row>
    <row r="356" ht="15" hidden="1" customHeight="1" spans="3:7">
      <c r="C356" s="221"/>
      <c r="D356" s="221"/>
      <c r="E356" s="221"/>
      <c r="F356" s="221"/>
      <c r="G356" s="221"/>
    </row>
    <row r="357" ht="15" hidden="1" customHeight="1" spans="3:7">
      <c r="C357" s="221"/>
      <c r="D357" s="221"/>
      <c r="E357" s="221"/>
      <c r="F357" s="221"/>
      <c r="G357" s="221"/>
    </row>
    <row r="358" ht="15" hidden="1" customHeight="1" spans="3:7">
      <c r="C358" s="221"/>
      <c r="D358" s="221"/>
      <c r="E358" s="221"/>
      <c r="F358" s="221"/>
      <c r="G358" s="221"/>
    </row>
    <row r="359" ht="15" hidden="1" customHeight="1" spans="3:7">
      <c r="C359" s="221"/>
      <c r="D359" s="221"/>
      <c r="E359" s="221"/>
      <c r="F359" s="221"/>
      <c r="G359" s="221"/>
    </row>
    <row r="360" ht="15" hidden="1" customHeight="1" spans="3:7">
      <c r="C360" s="221"/>
      <c r="D360" s="221"/>
      <c r="E360" s="221"/>
      <c r="F360" s="221"/>
      <c r="G360" s="221"/>
    </row>
    <row r="361" ht="15" hidden="1" customHeight="1" spans="3:7">
      <c r="C361" s="221"/>
      <c r="D361" s="221"/>
      <c r="E361" s="221"/>
      <c r="F361" s="221"/>
      <c r="G361" s="221"/>
    </row>
    <row r="362" ht="15" hidden="1" customHeight="1" spans="3:7">
      <c r="C362" s="221"/>
      <c r="D362" s="221"/>
      <c r="E362" s="221"/>
      <c r="F362" s="221"/>
      <c r="G362" s="221"/>
    </row>
    <row r="363" ht="15" hidden="1" customHeight="1" spans="3:7">
      <c r="C363" s="221"/>
      <c r="D363" s="221"/>
      <c r="E363" s="221"/>
      <c r="F363" s="221"/>
      <c r="G363" s="221"/>
    </row>
    <row r="364" ht="15" hidden="1" customHeight="1" spans="3:7">
      <c r="C364" s="221"/>
      <c r="D364" s="221"/>
      <c r="E364" s="221"/>
      <c r="F364" s="221"/>
      <c r="G364" s="221"/>
    </row>
    <row r="365" ht="15" hidden="1" customHeight="1" spans="3:7">
      <c r="C365" s="221"/>
      <c r="D365" s="221"/>
      <c r="E365" s="221"/>
      <c r="F365" s="221"/>
      <c r="G365" s="221"/>
    </row>
    <row r="366" ht="15" hidden="1" customHeight="1" spans="3:7">
      <c r="C366" s="221"/>
      <c r="D366" s="221"/>
      <c r="E366" s="221"/>
      <c r="F366" s="221"/>
      <c r="G366" s="221"/>
    </row>
    <row r="367" ht="15" hidden="1" customHeight="1" spans="3:7">
      <c r="C367" s="221"/>
      <c r="D367" s="221"/>
      <c r="E367" s="221"/>
      <c r="F367" s="221"/>
      <c r="G367" s="221"/>
    </row>
    <row r="368" ht="15" hidden="1" customHeight="1" spans="3:7">
      <c r="C368" s="221"/>
      <c r="D368" s="221"/>
      <c r="E368" s="221"/>
      <c r="F368" s="221"/>
      <c r="G368" s="221"/>
    </row>
    <row r="369" ht="15" hidden="1" customHeight="1" spans="3:7">
      <c r="C369" s="221"/>
      <c r="D369" s="221"/>
      <c r="E369" s="221"/>
      <c r="F369" s="221"/>
      <c r="G369" s="221"/>
    </row>
    <row r="370" ht="15" hidden="1" customHeight="1" spans="3:7">
      <c r="C370" s="221"/>
      <c r="D370" s="221"/>
      <c r="E370" s="221"/>
      <c r="F370" s="221"/>
      <c r="G370" s="221"/>
    </row>
    <row r="371" ht="15" hidden="1" customHeight="1" spans="3:7">
      <c r="C371" s="221"/>
      <c r="D371" s="221"/>
      <c r="E371" s="221"/>
      <c r="F371" s="221"/>
      <c r="G371" s="221"/>
    </row>
    <row r="372" ht="15" hidden="1" customHeight="1" spans="3:7">
      <c r="C372" s="221"/>
      <c r="D372" s="221"/>
      <c r="E372" s="221"/>
      <c r="F372" s="221"/>
      <c r="G372" s="221"/>
    </row>
    <row r="373" ht="15" hidden="1" customHeight="1" spans="3:7">
      <c r="C373" s="221"/>
      <c r="D373" s="221"/>
      <c r="E373" s="221"/>
      <c r="F373" s="221"/>
      <c r="G373" s="221"/>
    </row>
    <row r="374" ht="15" hidden="1" customHeight="1" spans="3:7">
      <c r="C374" s="221"/>
      <c r="D374" s="221"/>
      <c r="E374" s="221"/>
      <c r="F374" s="221"/>
      <c r="G374" s="221"/>
    </row>
    <row r="375" ht="15" hidden="1" customHeight="1" spans="3:7">
      <c r="C375" s="221"/>
      <c r="D375" s="221"/>
      <c r="E375" s="221"/>
      <c r="F375" s="221"/>
      <c r="G375" s="221"/>
    </row>
    <row r="376" ht="15" hidden="1" customHeight="1" spans="3:7">
      <c r="C376" s="221"/>
      <c r="D376" s="221"/>
      <c r="E376" s="221"/>
      <c r="F376" s="221"/>
      <c r="G376" s="221"/>
    </row>
    <row r="377" ht="15" hidden="1" customHeight="1" spans="3:7">
      <c r="C377" s="221"/>
      <c r="D377" s="221"/>
      <c r="E377" s="221"/>
      <c r="F377" s="221"/>
      <c r="G377" s="221"/>
    </row>
    <row r="378" ht="15" hidden="1" customHeight="1" spans="3:7">
      <c r="C378" s="221"/>
      <c r="D378" s="221"/>
      <c r="E378" s="221"/>
      <c r="F378" s="221"/>
      <c r="G378" s="221"/>
    </row>
    <row r="379" ht="15" hidden="1" customHeight="1" spans="3:7">
      <c r="C379" s="221"/>
      <c r="D379" s="221"/>
      <c r="E379" s="221"/>
      <c r="F379" s="221"/>
      <c r="G379" s="221"/>
    </row>
    <row r="380" ht="15" hidden="1" customHeight="1" spans="3:7">
      <c r="C380" s="221"/>
      <c r="D380" s="221"/>
      <c r="E380" s="221"/>
      <c r="F380" s="221"/>
      <c r="G380" s="221"/>
    </row>
    <row r="381" ht="15" hidden="1" customHeight="1" spans="3:7">
      <c r="C381" s="221"/>
      <c r="D381" s="221"/>
      <c r="E381" s="221"/>
      <c r="F381" s="221"/>
      <c r="G381" s="221"/>
    </row>
    <row r="382" ht="15" hidden="1" customHeight="1" spans="3:7">
      <c r="C382" s="221"/>
      <c r="D382" s="221"/>
      <c r="E382" s="221"/>
      <c r="F382" s="221"/>
      <c r="G382" s="221"/>
    </row>
    <row r="383" ht="15" hidden="1" customHeight="1" spans="3:7">
      <c r="C383" s="221"/>
      <c r="D383" s="221"/>
      <c r="E383" s="221"/>
      <c r="F383" s="221"/>
      <c r="G383" s="221"/>
    </row>
    <row r="384" ht="15" hidden="1" customHeight="1" spans="3:7">
      <c r="C384" s="221"/>
      <c r="D384" s="221"/>
      <c r="E384" s="221"/>
      <c r="F384" s="221"/>
      <c r="G384" s="221"/>
    </row>
    <row r="385" ht="15" hidden="1" customHeight="1" spans="3:7">
      <c r="C385" s="221"/>
      <c r="D385" s="221"/>
      <c r="E385" s="221"/>
      <c r="F385" s="221"/>
      <c r="G385" s="221"/>
    </row>
    <row r="386" ht="15" hidden="1" customHeight="1" spans="3:7">
      <c r="C386" s="221"/>
      <c r="D386" s="221"/>
      <c r="E386" s="221"/>
      <c r="F386" s="221"/>
      <c r="G386" s="221"/>
    </row>
    <row r="387" ht="15" hidden="1" customHeight="1" spans="3:7">
      <c r="C387" s="221"/>
      <c r="D387" s="221"/>
      <c r="E387" s="221"/>
      <c r="F387" s="221"/>
      <c r="G387" s="221"/>
    </row>
    <row r="388" ht="15" hidden="1" customHeight="1" spans="3:7">
      <c r="C388" s="221"/>
      <c r="D388" s="221"/>
      <c r="E388" s="221"/>
      <c r="F388" s="221"/>
      <c r="G388" s="221"/>
    </row>
    <row r="389" ht="15" hidden="1" customHeight="1" spans="3:7">
      <c r="C389" s="221"/>
      <c r="D389" s="221"/>
      <c r="E389" s="221"/>
      <c r="F389" s="221"/>
      <c r="G389" s="221"/>
    </row>
    <row r="390" ht="15" hidden="1" customHeight="1" spans="3:7">
      <c r="C390" s="221"/>
      <c r="D390" s="221"/>
      <c r="E390" s="221"/>
      <c r="F390" s="221"/>
      <c r="G390" s="221"/>
    </row>
    <row r="391" ht="15" hidden="1" customHeight="1" spans="3:7">
      <c r="C391" s="221"/>
      <c r="D391" s="221"/>
      <c r="E391" s="221"/>
      <c r="F391" s="221"/>
      <c r="G391" s="221"/>
    </row>
    <row r="392" ht="15" hidden="1" customHeight="1" spans="3:7">
      <c r="C392" s="221"/>
      <c r="D392" s="221"/>
      <c r="E392" s="221"/>
      <c r="F392" s="221"/>
      <c r="G392" s="221"/>
    </row>
    <row r="393" ht="15" hidden="1" customHeight="1" spans="3:7">
      <c r="C393" s="221"/>
      <c r="D393" s="221"/>
      <c r="E393" s="221"/>
      <c r="F393" s="221"/>
      <c r="G393" s="221"/>
    </row>
    <row r="394" ht="15" hidden="1" customHeight="1" spans="3:7">
      <c r="C394" s="221"/>
      <c r="D394" s="221"/>
      <c r="E394" s="221"/>
      <c r="F394" s="221"/>
      <c r="G394" s="221"/>
    </row>
    <row r="395" ht="15" hidden="1" customHeight="1" spans="3:7">
      <c r="C395" s="221"/>
      <c r="D395" s="221"/>
      <c r="E395" s="221"/>
      <c r="F395" s="221"/>
      <c r="G395" s="221"/>
    </row>
    <row r="396" ht="15" hidden="1" customHeight="1" spans="3:7">
      <c r="C396" s="221"/>
      <c r="D396" s="221"/>
      <c r="E396" s="221"/>
      <c r="F396" s="221"/>
      <c r="G396" s="221"/>
    </row>
    <row r="397" ht="15" hidden="1" customHeight="1" spans="3:7">
      <c r="C397" s="221"/>
      <c r="D397" s="221"/>
      <c r="E397" s="221"/>
      <c r="F397" s="221"/>
      <c r="G397" s="221"/>
    </row>
    <row r="398" ht="15" hidden="1" customHeight="1" spans="3:7">
      <c r="C398" s="221"/>
      <c r="D398" s="221"/>
      <c r="E398" s="221"/>
      <c r="F398" s="221"/>
      <c r="G398" s="221"/>
    </row>
    <row r="399" ht="15" hidden="1" customHeight="1" spans="3:7">
      <c r="C399" s="221"/>
      <c r="D399" s="221"/>
      <c r="E399" s="221"/>
      <c r="F399" s="221"/>
      <c r="G399" s="221"/>
    </row>
    <row r="400" ht="15" hidden="1" customHeight="1" spans="3:7">
      <c r="C400" s="221"/>
      <c r="D400" s="221"/>
      <c r="E400" s="221"/>
      <c r="F400" s="221"/>
      <c r="G400" s="221"/>
    </row>
    <row r="401" ht="15" hidden="1" customHeight="1" spans="3:7">
      <c r="C401" s="221"/>
      <c r="D401" s="221"/>
      <c r="E401" s="221"/>
      <c r="F401" s="221"/>
      <c r="G401" s="221"/>
    </row>
    <row r="402" ht="15" hidden="1" customHeight="1" spans="3:7">
      <c r="C402" s="221"/>
      <c r="D402" s="221"/>
      <c r="E402" s="221"/>
      <c r="F402" s="221"/>
      <c r="G402" s="221"/>
    </row>
    <row r="403" ht="15" hidden="1" customHeight="1" spans="3:7">
      <c r="C403" s="221"/>
      <c r="D403" s="221"/>
      <c r="E403" s="221"/>
      <c r="F403" s="221"/>
      <c r="G403" s="221"/>
    </row>
    <row r="404" ht="15" hidden="1" customHeight="1" spans="3:7">
      <c r="C404" s="221"/>
      <c r="D404" s="221"/>
      <c r="E404" s="221"/>
      <c r="F404" s="221"/>
      <c r="G404" s="221"/>
    </row>
    <row r="405" ht="15" hidden="1" customHeight="1" spans="3:7">
      <c r="C405" s="221"/>
      <c r="D405" s="221"/>
      <c r="E405" s="221"/>
      <c r="F405" s="221"/>
      <c r="G405" s="221"/>
    </row>
    <row r="406" ht="15" hidden="1" customHeight="1" spans="3:7">
      <c r="C406" s="221"/>
      <c r="D406" s="221"/>
      <c r="E406" s="221"/>
      <c r="F406" s="221"/>
      <c r="G406" s="221"/>
    </row>
    <row r="407" ht="15" hidden="1" customHeight="1" spans="3:7">
      <c r="C407" s="221"/>
      <c r="D407" s="221"/>
      <c r="E407" s="221"/>
      <c r="F407" s="221"/>
      <c r="G407" s="221"/>
    </row>
    <row r="408" ht="15" hidden="1" customHeight="1" spans="3:7">
      <c r="C408" s="221"/>
      <c r="D408" s="221"/>
      <c r="E408" s="221"/>
      <c r="F408" s="221"/>
      <c r="G408" s="221"/>
    </row>
    <row r="409" ht="15" hidden="1" customHeight="1" spans="3:7">
      <c r="C409" s="221"/>
      <c r="D409" s="221"/>
      <c r="E409" s="221"/>
      <c r="F409" s="221"/>
      <c r="G409" s="221"/>
    </row>
    <row r="410" ht="15" hidden="1" customHeight="1" spans="3:7">
      <c r="C410" s="221"/>
      <c r="D410" s="221"/>
      <c r="E410" s="221"/>
      <c r="F410" s="221"/>
      <c r="G410" s="221"/>
    </row>
    <row r="411" ht="15" hidden="1" customHeight="1" spans="3:7">
      <c r="C411" s="221"/>
      <c r="D411" s="221"/>
      <c r="E411" s="221"/>
      <c r="F411" s="221"/>
      <c r="G411" s="221"/>
    </row>
    <row r="412" ht="15" hidden="1" customHeight="1" spans="3:7">
      <c r="C412" s="221"/>
      <c r="D412" s="221"/>
      <c r="E412" s="221"/>
      <c r="F412" s="221"/>
      <c r="G412" s="221"/>
    </row>
    <row r="413" ht="15" hidden="1" customHeight="1" spans="2:7">
      <c r="B413" s="233"/>
      <c r="C413" s="221"/>
      <c r="D413" s="221"/>
      <c r="E413" s="221"/>
      <c r="F413" s="221"/>
      <c r="G413" s="221"/>
    </row>
    <row r="414" ht="15" hidden="1" customHeight="1" spans="2:7">
      <c r="B414" s="233"/>
      <c r="C414" s="233"/>
      <c r="E414" s="233"/>
      <c r="F414" s="233"/>
      <c r="G414" s="233"/>
    </row>
    <row r="415" ht="15" hidden="1" customHeight="1" spans="3:7">
      <c r="C415" s="233"/>
      <c r="E415" s="233"/>
      <c r="F415" s="233"/>
      <c r="G415" s="233"/>
    </row>
    <row r="416" ht="15" hidden="1" customHeight="1"/>
    <row r="417" ht="15" hidden="1" customHeight="1"/>
    <row r="418" ht="15" hidden="1" customHeight="1"/>
    <row r="419" ht="15" hidden="1" customHeight="1"/>
    <row r="420" ht="15" hidden="1" customHeight="1"/>
    <row r="421" ht="15" hidden="1" customHeight="1"/>
    <row r="422" ht="15" hidden="1" customHeight="1"/>
    <row r="423" ht="15" hidden="1" customHeight="1"/>
    <row r="424" ht="15" hidden="1" customHeight="1" spans="8:8">
      <c r="H424" s="233"/>
    </row>
    <row r="425" ht="15" hidden="1" customHeight="1" spans="8:8">
      <c r="H425" s="233"/>
    </row>
  </sheetData>
  <sheetProtection password="CAB0" sheet="1" objects="1" scenarios="1"/>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tabColor theme="7" tint="-0.249977111117893"/>
  </sheetPr>
  <dimension ref="B1:AS423"/>
  <sheetViews>
    <sheetView workbookViewId="0">
      <selection activeCell="B3" sqref="B3"/>
    </sheetView>
  </sheetViews>
  <sheetFormatPr defaultColWidth="0" defaultRowHeight="14.4" customHeight="1" zeroHeight="1"/>
  <cols>
    <col min="1" max="1" width="5.71296296296296" style="7" customWidth="1"/>
    <col min="2" max="5" width="15.712962962963" style="7" customWidth="1"/>
    <col min="6" max="6" width="5.71296296296296" style="7" customWidth="1"/>
    <col min="7" max="46" width="5.71296296296296" style="7" hidden="1" customWidth="1"/>
    <col min="47" max="16384" width="8.71296296296296" style="7" hidden="1"/>
  </cols>
  <sheetData>
    <row r="1" ht="24.95" customHeight="1" spans="2:45">
      <c r="B1" s="5" t="str">
        <f>LEFT(Disclaimer!B1,Maintenance!I3)</f>
        <v>CIE S 026 α-opic Toolbox - v1.049a - 2020/11</v>
      </c>
      <c r="C1" s="221"/>
      <c r="E1" s="221"/>
      <c r="F1" s="221"/>
      <c r="G1" s="221"/>
      <c r="H1" s="221"/>
      <c r="I1" s="221"/>
      <c r="L1" s="221"/>
      <c r="N1" s="221"/>
      <c r="O1" s="221"/>
      <c r="Q1" s="221"/>
      <c r="S1" s="221"/>
      <c r="U1" s="221"/>
      <c r="V1" s="221"/>
      <c r="X1" s="221"/>
      <c r="Z1" s="221"/>
      <c r="AB1" s="221"/>
      <c r="AC1" s="221"/>
      <c r="AE1" s="221"/>
      <c r="AG1" s="221"/>
      <c r="AH1" s="221"/>
      <c r="AI1" s="221"/>
      <c r="AJ1" s="221"/>
      <c r="AK1" s="221"/>
      <c r="AL1" s="221"/>
      <c r="AN1" s="221"/>
      <c r="AO1" s="221"/>
      <c r="AP1" s="221"/>
      <c r="AQ1" s="221"/>
      <c r="AR1" s="221"/>
      <c r="AS1" s="221"/>
    </row>
    <row r="2" spans="2:45">
      <c r="B2" s="221"/>
      <c r="C2" s="221"/>
      <c r="E2" s="221"/>
      <c r="F2" s="221"/>
      <c r="G2" s="221"/>
      <c r="H2" s="221"/>
      <c r="I2" s="7" t="s">
        <v>309</v>
      </c>
      <c r="L2" s="221" t="s">
        <v>310</v>
      </c>
      <c r="N2" s="221"/>
      <c r="O2" s="221"/>
      <c r="Q2" s="221"/>
      <c r="S2" s="221"/>
      <c r="U2" s="221"/>
      <c r="V2" s="221"/>
      <c r="X2" s="221"/>
      <c r="AB2" s="221"/>
      <c r="AC2" s="221"/>
      <c r="AE2" s="221"/>
      <c r="AG2" s="221"/>
      <c r="AH2" s="221"/>
      <c r="AI2" s="221"/>
      <c r="AJ2" s="221"/>
      <c r="AK2" s="221"/>
      <c r="AL2" s="221"/>
      <c r="AN2" s="221"/>
      <c r="AO2" s="221"/>
      <c r="AP2" s="221"/>
      <c r="AQ2" s="221"/>
      <c r="AR2" s="221"/>
      <c r="AS2" s="221"/>
    </row>
    <row r="3" spans="2:45">
      <c r="B3" s="222" t="s">
        <v>311</v>
      </c>
      <c r="C3" s="15" t="s">
        <v>136</v>
      </c>
      <c r="F3" s="221"/>
      <c r="G3" s="221"/>
      <c r="L3" s="247" t="s">
        <v>312</v>
      </c>
      <c r="AG3" s="221"/>
      <c r="AH3" s="221"/>
      <c r="AI3" s="221"/>
      <c r="AJ3" s="221"/>
      <c r="AK3" s="221"/>
      <c r="AL3" s="221"/>
      <c r="AN3" s="221"/>
      <c r="AO3" s="221"/>
      <c r="AP3" s="221"/>
      <c r="AQ3" s="221"/>
      <c r="AR3" s="221"/>
      <c r="AS3" s="221"/>
    </row>
    <row r="4" ht="15" customHeight="1" spans="2:45">
      <c r="B4" s="221"/>
      <c r="C4" s="15" t="s">
        <v>137</v>
      </c>
      <c r="F4" s="221"/>
      <c r="G4" s="221"/>
      <c r="L4" s="248" t="s">
        <v>313</v>
      </c>
      <c r="AG4" s="221"/>
      <c r="AH4" s="221"/>
      <c r="AI4" s="221"/>
      <c r="AJ4" s="221"/>
      <c r="AK4" s="221"/>
      <c r="AL4" s="221"/>
      <c r="AN4" s="221"/>
      <c r="AO4" s="221"/>
      <c r="AP4" s="221"/>
      <c r="AQ4" s="221"/>
      <c r="AR4" s="221"/>
      <c r="AS4" s="221"/>
    </row>
    <row r="5" ht="15" customHeight="1" spans="2:45">
      <c r="B5" s="221"/>
      <c r="C5" s="221"/>
      <c r="D5" s="221"/>
      <c r="E5" s="221"/>
      <c r="F5" s="221"/>
      <c r="G5" s="221"/>
      <c r="J5" s="221"/>
      <c r="K5" s="221"/>
      <c r="L5" s="221"/>
      <c r="M5" s="221"/>
      <c r="N5" s="221"/>
      <c r="O5" s="249"/>
      <c r="P5" s="249"/>
      <c r="Q5" s="249"/>
      <c r="S5" s="221"/>
      <c r="T5" s="221"/>
      <c r="U5" s="221"/>
      <c r="V5" s="249"/>
      <c r="W5" s="249"/>
      <c r="X5" s="249"/>
      <c r="Z5" s="221"/>
      <c r="AA5" s="221"/>
      <c r="AB5" s="221"/>
      <c r="AC5" s="249"/>
      <c r="AD5" s="249"/>
      <c r="AE5" s="249"/>
      <c r="AG5" s="221"/>
      <c r="AH5" s="221"/>
      <c r="AI5" s="221"/>
      <c r="AJ5" s="221"/>
      <c r="AK5" s="221"/>
      <c r="AL5" s="221"/>
      <c r="AN5" s="221"/>
      <c r="AO5" s="221"/>
      <c r="AP5" s="221"/>
      <c r="AQ5" s="221"/>
      <c r="AR5" s="221"/>
      <c r="AS5" s="221"/>
    </row>
    <row r="6" ht="15" hidden="1" customHeight="1" spans="9:45">
      <c r="I6" s="221" t="s">
        <v>314</v>
      </c>
      <c r="J6" s="221"/>
      <c r="K6" s="221"/>
      <c r="L6" s="221" t="s">
        <v>315</v>
      </c>
      <c r="M6" s="221"/>
      <c r="N6" s="221"/>
      <c r="O6" s="249"/>
      <c r="P6" s="249"/>
      <c r="Q6" s="249"/>
      <c r="S6" s="221" t="s">
        <v>315</v>
      </c>
      <c r="T6" s="221"/>
      <c r="U6" s="221"/>
      <c r="V6" s="249"/>
      <c r="W6" s="249"/>
      <c r="X6" s="249"/>
      <c r="Z6" s="221" t="s">
        <v>315</v>
      </c>
      <c r="AA6" s="221"/>
      <c r="AB6" s="221"/>
      <c r="AC6" s="249"/>
      <c r="AD6" s="249"/>
      <c r="AE6" s="249"/>
      <c r="AG6" s="221" t="s">
        <v>316</v>
      </c>
      <c r="AH6" s="221"/>
      <c r="AI6" s="221"/>
      <c r="AJ6" s="221"/>
      <c r="AK6" s="221"/>
      <c r="AL6" s="221"/>
      <c r="AN6" s="221" t="s">
        <v>317</v>
      </c>
      <c r="AO6" s="221"/>
      <c r="AP6" s="221"/>
      <c r="AQ6" s="221"/>
      <c r="AR6" s="221"/>
      <c r="AS6" s="221"/>
    </row>
    <row r="7" ht="15" hidden="1" customHeight="1" spans="10:45">
      <c r="J7" s="221"/>
      <c r="K7" s="221"/>
      <c r="L7" s="221" t="s">
        <v>318</v>
      </c>
      <c r="M7" s="221"/>
      <c r="N7" s="221"/>
      <c r="O7" s="221"/>
      <c r="P7" s="221"/>
      <c r="Q7" s="221"/>
      <c r="S7" s="221" t="s">
        <v>313</v>
      </c>
      <c r="T7" s="221"/>
      <c r="U7" s="221"/>
      <c r="V7" s="221"/>
      <c r="W7" s="221"/>
      <c r="X7" s="221"/>
      <c r="Z7" s="221" t="s">
        <v>319</v>
      </c>
      <c r="AA7" s="221" t="str">
        <f>'Advanced Inputs'!J11</f>
        <v>Lucas et al., 2014</v>
      </c>
      <c r="AB7" s="221"/>
      <c r="AC7" s="221"/>
      <c r="AD7" s="221"/>
      <c r="AE7" s="221"/>
      <c r="AG7" s="221"/>
      <c r="AH7" s="221"/>
      <c r="AI7" s="221"/>
      <c r="AJ7" s="221"/>
      <c r="AK7" s="221"/>
      <c r="AL7" s="221"/>
      <c r="AN7" s="221"/>
      <c r="AO7" s="221"/>
      <c r="AP7" s="221"/>
      <c r="AQ7" s="221"/>
      <c r="AR7" s="221"/>
      <c r="AS7" s="221"/>
    </row>
    <row r="8" ht="15" hidden="1" customHeight="1" spans="10:45">
      <c r="J8" s="221"/>
      <c r="K8" s="221"/>
      <c r="L8" s="221"/>
      <c r="O8" s="221"/>
      <c r="P8" s="221"/>
      <c r="Q8" s="221"/>
      <c r="S8" s="221"/>
      <c r="V8" s="221"/>
      <c r="W8" s="221"/>
      <c r="X8" s="221"/>
      <c r="Z8" s="221" t="s">
        <v>320</v>
      </c>
      <c r="AA8" s="7">
        <f>IF($AA$7=Photobiology!$L$4,COLUMN(S1)-COLUMN(L1),0)</f>
        <v>7</v>
      </c>
      <c r="AC8" s="221"/>
      <c r="AD8" s="221"/>
      <c r="AE8" s="221"/>
      <c r="AG8" s="221"/>
      <c r="AH8" s="221"/>
      <c r="AI8" s="221"/>
      <c r="AJ8" s="221"/>
      <c r="AK8" s="221"/>
      <c r="AL8" s="221"/>
      <c r="AN8" s="221"/>
      <c r="AO8" s="221"/>
      <c r="AP8" s="221"/>
      <c r="AQ8" s="221"/>
      <c r="AR8" s="221"/>
      <c r="AS8" s="221"/>
    </row>
    <row r="9" ht="15" hidden="1" customHeight="1" spans="3:45">
      <c r="C9" s="7" t="s">
        <v>321</v>
      </c>
      <c r="I9" s="221"/>
      <c r="J9" s="221"/>
      <c r="K9" s="221"/>
      <c r="L9" s="221"/>
      <c r="O9" s="221"/>
      <c r="P9" s="221"/>
      <c r="Q9" s="221"/>
      <c r="S9" s="221" t="s">
        <v>322</v>
      </c>
      <c r="V9" s="221"/>
      <c r="W9" s="221"/>
      <c r="X9" s="221"/>
      <c r="Z9" s="221"/>
      <c r="AC9" s="221"/>
      <c r="AD9" s="221"/>
      <c r="AE9" s="221"/>
      <c r="AG9" s="221"/>
      <c r="AH9" s="221"/>
      <c r="AI9" s="221"/>
      <c r="AJ9" s="221"/>
      <c r="AK9" s="221"/>
      <c r="AL9" s="221"/>
      <c r="AN9" s="221"/>
      <c r="AO9" s="221"/>
      <c r="AP9" s="221"/>
      <c r="AQ9" s="221"/>
      <c r="AR9" s="221"/>
      <c r="AS9" s="221"/>
    </row>
    <row r="10" ht="15" hidden="1" customHeight="1" spans="3:45">
      <c r="C10" s="223" t="s">
        <v>323</v>
      </c>
      <c r="D10" s="224">
        <v>0.817289644883213</v>
      </c>
      <c r="E10" s="225" t="s">
        <v>324</v>
      </c>
      <c r="I10" s="221"/>
      <c r="J10" s="221"/>
      <c r="K10" s="221"/>
      <c r="L10" s="221"/>
      <c r="M10" s="221"/>
      <c r="N10" s="221"/>
      <c r="O10" s="221"/>
      <c r="P10" s="221"/>
      <c r="Q10" s="221"/>
      <c r="S10" s="221"/>
      <c r="T10" s="221"/>
      <c r="U10" s="221"/>
      <c r="V10" s="221"/>
      <c r="W10" s="221"/>
      <c r="X10" s="221"/>
      <c r="Z10" s="221"/>
      <c r="AA10" s="221"/>
      <c r="AB10" s="221"/>
      <c r="AC10" s="221"/>
      <c r="AD10" s="221"/>
      <c r="AE10" s="221"/>
      <c r="AG10" s="221"/>
      <c r="AH10" s="221"/>
      <c r="AI10" s="221"/>
      <c r="AJ10" s="221"/>
      <c r="AK10" s="221"/>
      <c r="AL10" s="221"/>
      <c r="AN10" s="221"/>
      <c r="AO10" s="221"/>
      <c r="AP10" s="221"/>
      <c r="AQ10" s="221"/>
      <c r="AR10" s="221"/>
      <c r="AS10" s="221"/>
    </row>
    <row r="11" ht="15" hidden="1" customHeight="1" spans="3:45">
      <c r="C11" s="226" t="s">
        <v>325</v>
      </c>
      <c r="D11" s="224">
        <v>1.45582633881653</v>
      </c>
      <c r="E11" s="225" t="s">
        <v>324</v>
      </c>
      <c r="K11" s="221"/>
      <c r="L11" s="221" t="s">
        <v>326</v>
      </c>
      <c r="M11" s="221"/>
      <c r="N11" s="221"/>
      <c r="O11" s="221"/>
      <c r="P11" s="221"/>
      <c r="Q11" s="221"/>
      <c r="S11" s="221" t="s">
        <v>327</v>
      </c>
      <c r="T11" s="221"/>
      <c r="U11" s="221"/>
      <c r="V11" s="221"/>
      <c r="W11" s="221"/>
      <c r="X11" s="221"/>
      <c r="Z11" s="221" t="s">
        <v>326</v>
      </c>
      <c r="AA11" s="221"/>
      <c r="AB11" s="221"/>
      <c r="AC11" s="221"/>
      <c r="AD11" s="221"/>
      <c r="AE11" s="221"/>
      <c r="AG11" s="221" t="s">
        <v>328</v>
      </c>
      <c r="AH11" s="231">
        <f ca="1">MAX(AH21:AH421)</f>
        <v>0.00227272727272727</v>
      </c>
      <c r="AI11" s="231">
        <f ca="1">MAX(AI21:AI421)</f>
        <v>0.00184151277029668</v>
      </c>
      <c r="AJ11" s="231">
        <f ca="1">MAX(AJ21:AJ421)</f>
        <v>0.00175661643252829</v>
      </c>
      <c r="AK11" s="231">
        <f ca="1">MAX(AK21:AK421)</f>
        <v>0.00196180703565116</v>
      </c>
      <c r="AL11" s="231">
        <f ca="1">MAX(AL21:AL421)</f>
        <v>0.00204592184174151</v>
      </c>
      <c r="AN11" s="221" t="s">
        <v>329</v>
      </c>
      <c r="AO11" s="221"/>
      <c r="AP11" s="221"/>
      <c r="AQ11" s="221"/>
      <c r="AR11" s="221"/>
      <c r="AS11" s="221"/>
    </row>
    <row r="12" ht="15" hidden="1" customHeight="1" spans="3:45">
      <c r="C12" s="227" t="s">
        <v>330</v>
      </c>
      <c r="D12" s="224">
        <v>1.62890776589039</v>
      </c>
      <c r="E12" s="225" t="s">
        <v>324</v>
      </c>
      <c r="I12" s="221"/>
      <c r="J12" s="221"/>
      <c r="K12" s="221"/>
      <c r="L12" s="221"/>
      <c r="M12" s="221"/>
      <c r="N12" s="221"/>
      <c r="O12" s="221"/>
      <c r="P12" s="221"/>
      <c r="Q12" s="221"/>
      <c r="S12" s="221"/>
      <c r="T12" s="221"/>
      <c r="U12" s="221"/>
      <c r="V12" s="221"/>
      <c r="W12" s="221"/>
      <c r="X12" s="221"/>
      <c r="Z12" s="221"/>
      <c r="AA12" s="221"/>
      <c r="AB12" s="221"/>
      <c r="AC12" s="221"/>
      <c r="AD12" s="221"/>
      <c r="AE12" s="221"/>
      <c r="AG12" s="221"/>
      <c r="AH12" s="221"/>
      <c r="AI12" s="221"/>
      <c r="AJ12" s="221"/>
      <c r="AK12" s="221"/>
      <c r="AL12" s="221"/>
      <c r="AN12" s="221"/>
      <c r="AO12" s="221"/>
      <c r="AP12" s="221"/>
      <c r="AQ12" s="221"/>
      <c r="AR12" s="221"/>
      <c r="AS12" s="221"/>
    </row>
    <row r="13" ht="15" hidden="1" customHeight="1" spans="3:45">
      <c r="C13" s="228" t="s">
        <v>132</v>
      </c>
      <c r="D13" s="224">
        <v>1.4497035760559</v>
      </c>
      <c r="E13" s="225" t="s">
        <v>324</v>
      </c>
      <c r="I13" s="221"/>
      <c r="J13" s="221"/>
      <c r="K13" s="221"/>
      <c r="L13" s="221"/>
      <c r="M13" s="221"/>
      <c r="N13" s="221"/>
      <c r="O13" s="221"/>
      <c r="P13" s="221"/>
      <c r="Q13" s="221"/>
      <c r="S13" s="221"/>
      <c r="T13" s="221"/>
      <c r="U13" s="221"/>
      <c r="V13" s="221"/>
      <c r="W13" s="221"/>
      <c r="X13" s="221"/>
      <c r="Z13" s="221"/>
      <c r="AA13" s="221"/>
      <c r="AB13" s="221"/>
      <c r="AC13" s="221"/>
      <c r="AD13" s="221"/>
      <c r="AE13" s="221"/>
      <c r="AG13" s="221"/>
      <c r="AH13" s="221"/>
      <c r="AI13" s="221"/>
      <c r="AJ13" s="221"/>
      <c r="AK13" s="221"/>
      <c r="AL13" s="221"/>
      <c r="AN13" s="221"/>
      <c r="AO13" s="221"/>
      <c r="AP13" s="221"/>
      <c r="AQ13" s="221"/>
      <c r="AR13" s="221"/>
      <c r="AS13" s="221"/>
    </row>
    <row r="14" ht="15" hidden="1" customHeight="1" spans="3:45">
      <c r="C14" s="229" t="s">
        <v>133</v>
      </c>
      <c r="D14" s="224">
        <v>1.32621318911359</v>
      </c>
      <c r="E14" s="225" t="s">
        <v>324</v>
      </c>
      <c r="I14" s="221"/>
      <c r="J14" s="221"/>
      <c r="K14" s="221"/>
      <c r="L14" s="221"/>
      <c r="M14" s="221"/>
      <c r="N14" s="221"/>
      <c r="O14" s="221"/>
      <c r="P14" s="221"/>
      <c r="Q14" s="221"/>
      <c r="S14" s="221"/>
      <c r="T14" s="221"/>
      <c r="U14" s="221"/>
      <c r="V14" s="221"/>
      <c r="W14" s="221"/>
      <c r="X14" s="221"/>
      <c r="Z14" s="221"/>
      <c r="AA14" s="221"/>
      <c r="AB14" s="221"/>
      <c r="AC14" s="221"/>
      <c r="AD14" s="221"/>
      <c r="AE14" s="221"/>
      <c r="AG14" s="221"/>
      <c r="AH14" s="221"/>
      <c r="AI14" s="221"/>
      <c r="AJ14" s="221"/>
      <c r="AK14" s="221"/>
      <c r="AL14" s="221"/>
      <c r="AN14" s="221"/>
      <c r="AO14" s="221"/>
      <c r="AP14" s="221"/>
      <c r="AQ14" s="221"/>
      <c r="AR14" s="221"/>
      <c r="AS14" s="221"/>
    </row>
    <row r="15" ht="15" hidden="1" customHeight="1" spans="9:45">
      <c r="I15" s="221"/>
      <c r="J15" s="221"/>
      <c r="K15" s="221"/>
      <c r="L15" s="221"/>
      <c r="M15" s="221"/>
      <c r="N15" s="221"/>
      <c r="O15" s="221"/>
      <c r="P15" s="221"/>
      <c r="Q15" s="221"/>
      <c r="S15" s="221"/>
      <c r="T15" s="221"/>
      <c r="U15" s="221"/>
      <c r="V15" s="221"/>
      <c r="W15" s="221"/>
      <c r="X15" s="221"/>
      <c r="Z15" s="221"/>
      <c r="AA15" s="221"/>
      <c r="AB15" s="221"/>
      <c r="AC15" s="221"/>
      <c r="AD15" s="221"/>
      <c r="AE15" s="221"/>
      <c r="AG15" s="221"/>
      <c r="AH15" s="221"/>
      <c r="AI15" s="221"/>
      <c r="AJ15" s="221"/>
      <c r="AK15" s="221"/>
      <c r="AL15" s="221"/>
      <c r="AN15" s="221"/>
      <c r="AO15" s="221"/>
      <c r="AP15" s="221"/>
      <c r="AQ15" s="221"/>
      <c r="AR15" s="221"/>
      <c r="AS15" s="221"/>
    </row>
    <row r="16" ht="15" hidden="1" customHeight="1" spans="9:45">
      <c r="I16" s="221"/>
      <c r="J16" s="221"/>
      <c r="K16" s="221"/>
      <c r="L16" s="221"/>
      <c r="M16" s="221"/>
      <c r="N16" s="221"/>
      <c r="O16" s="221"/>
      <c r="P16" s="221"/>
      <c r="Q16" s="221"/>
      <c r="S16" s="221"/>
      <c r="T16" s="221"/>
      <c r="U16" s="221"/>
      <c r="V16" s="221"/>
      <c r="W16" s="221"/>
      <c r="X16" s="221"/>
      <c r="Z16" s="221"/>
      <c r="AA16" s="221"/>
      <c r="AB16" s="221"/>
      <c r="AC16" s="221"/>
      <c r="AD16" s="221"/>
      <c r="AE16" s="221"/>
      <c r="AG16" s="221"/>
      <c r="AH16" s="221"/>
      <c r="AI16" s="221"/>
      <c r="AJ16" s="221"/>
      <c r="AK16" s="221"/>
      <c r="AL16" s="221"/>
      <c r="AN16" s="221"/>
      <c r="AO16" s="221"/>
      <c r="AP16" s="221"/>
      <c r="AQ16" s="221"/>
      <c r="AR16" s="221"/>
      <c r="AS16" s="221"/>
    </row>
    <row r="17" ht="15" hidden="1" customHeight="1" spans="9:45">
      <c r="I17" s="221"/>
      <c r="J17" s="221"/>
      <c r="K17" s="221"/>
      <c r="L17" s="221"/>
      <c r="M17" s="221"/>
      <c r="N17" s="221"/>
      <c r="O17" s="221"/>
      <c r="P17" s="221"/>
      <c r="Q17" s="221"/>
      <c r="S17" s="221"/>
      <c r="T17" s="221"/>
      <c r="U17" s="221"/>
      <c r="V17" s="221"/>
      <c r="W17" s="221"/>
      <c r="X17" s="221"/>
      <c r="Z17" s="221"/>
      <c r="AA17" s="221"/>
      <c r="AB17" s="221"/>
      <c r="AC17" s="221"/>
      <c r="AD17" s="221"/>
      <c r="AE17" s="221"/>
      <c r="AG17" s="221"/>
      <c r="AH17" s="221"/>
      <c r="AI17" s="221"/>
      <c r="AJ17" s="221"/>
      <c r="AK17" s="221"/>
      <c r="AL17" s="221"/>
      <c r="AN17" s="221"/>
      <c r="AO17" s="221"/>
      <c r="AP17" s="221"/>
      <c r="AQ17" s="221"/>
      <c r="AR17" s="221"/>
      <c r="AS17" s="221"/>
    </row>
    <row r="18" ht="15" hidden="1" customHeight="1" spans="9:45">
      <c r="I18" s="221"/>
      <c r="J18" s="221"/>
      <c r="K18" s="221"/>
      <c r="L18" s="221"/>
      <c r="M18" s="221" t="s">
        <v>323</v>
      </c>
      <c r="N18" s="221" t="s">
        <v>325</v>
      </c>
      <c r="O18" s="221" t="s">
        <v>330</v>
      </c>
      <c r="P18" s="221" t="s">
        <v>132</v>
      </c>
      <c r="Q18" s="221" t="s">
        <v>133</v>
      </c>
      <c r="S18" s="221"/>
      <c r="T18" s="221" t="s">
        <v>129</v>
      </c>
      <c r="U18" s="221" t="s">
        <v>130</v>
      </c>
      <c r="V18" s="221" t="s">
        <v>131</v>
      </c>
      <c r="W18" s="221" t="s">
        <v>132</v>
      </c>
      <c r="X18" s="221" t="s">
        <v>133</v>
      </c>
      <c r="Z18" s="221"/>
      <c r="AA18" s="221" t="str">
        <f ca="1">IF(OFFSET(M18,0,$AA$8)=0,"",OFFSET(M18,0,$AA$8))</f>
        <v>Cyanopic</v>
      </c>
      <c r="AB18" s="221" t="str">
        <f ca="1">IF(OFFSET(N18,0,$AA$8)=0,"",OFFSET(N18,0,$AA$8))</f>
        <v>Chloropic</v>
      </c>
      <c r="AC18" s="221" t="str">
        <f ca="1">IF(OFFSET(O18,0,$AA$8)=0,"",OFFSET(O18,0,$AA$8))</f>
        <v>Erythropic</v>
      </c>
      <c r="AD18" s="221" t="str">
        <f ca="1">IF(OFFSET(P18,0,$AA$8)=0,"",OFFSET(P18,0,$AA$8))</f>
        <v>Rhodopic</v>
      </c>
      <c r="AE18" s="221" t="str">
        <f ca="1">IF(OFFSET(Q18,0,$AA$8)=0,"",OFFSET(Q18,0,$AA$8))</f>
        <v>Melanopic</v>
      </c>
      <c r="AG18" s="221"/>
      <c r="AH18" s="221"/>
      <c r="AI18" s="221"/>
      <c r="AJ18" s="221"/>
      <c r="AK18" s="221"/>
      <c r="AL18" s="221"/>
      <c r="AN18" s="221"/>
      <c r="AO18" s="221"/>
      <c r="AP18" s="221"/>
      <c r="AQ18" s="221"/>
      <c r="AR18" s="221"/>
      <c r="AS18" s="221"/>
    </row>
    <row r="19" ht="15" hidden="1" customHeight="1" spans="9:45">
      <c r="I19" s="221"/>
      <c r="J19" s="221"/>
      <c r="K19" s="221"/>
      <c r="L19" s="221"/>
      <c r="M19" s="221"/>
      <c r="N19" s="221"/>
      <c r="O19" s="221"/>
      <c r="P19" s="221"/>
      <c r="Q19" s="221"/>
      <c r="S19" s="221"/>
      <c r="T19" s="221"/>
      <c r="U19" s="221"/>
      <c r="V19" s="221"/>
      <c r="W19" s="221"/>
      <c r="X19" s="221"/>
      <c r="Z19" s="221"/>
      <c r="AA19" s="221"/>
      <c r="AB19" s="221"/>
      <c r="AC19" s="221"/>
      <c r="AD19" s="221"/>
      <c r="AE19" s="221"/>
      <c r="AG19" s="221"/>
      <c r="AH19" s="221"/>
      <c r="AI19" s="221"/>
      <c r="AJ19" s="221"/>
      <c r="AK19" s="221"/>
      <c r="AL19" s="221"/>
      <c r="AN19" s="221"/>
      <c r="AO19" s="221"/>
      <c r="AP19" s="221"/>
      <c r="AQ19" s="221"/>
      <c r="AR19" s="221"/>
      <c r="AS19" s="221"/>
    </row>
    <row r="20" ht="15" hidden="1" customHeight="1" spans="6:45">
      <c r="F20" s="239"/>
      <c r="I20" s="12" t="s">
        <v>111</v>
      </c>
      <c r="J20" s="221" t="s">
        <v>331</v>
      </c>
      <c r="L20" s="12" t="s">
        <v>111</v>
      </c>
      <c r="M20" s="221" t="s">
        <v>332</v>
      </c>
      <c r="N20" s="221" t="s">
        <v>333</v>
      </c>
      <c r="O20" s="221" t="s">
        <v>334</v>
      </c>
      <c r="P20" s="221" t="s">
        <v>335</v>
      </c>
      <c r="Q20" s="221" t="s">
        <v>336</v>
      </c>
      <c r="S20" s="12" t="s">
        <v>111</v>
      </c>
      <c r="T20" s="221" t="s">
        <v>332</v>
      </c>
      <c r="U20" s="221" t="s">
        <v>333</v>
      </c>
      <c r="V20" s="221" t="s">
        <v>334</v>
      </c>
      <c r="W20" s="221" t="s">
        <v>337</v>
      </c>
      <c r="X20" s="221" t="s">
        <v>338</v>
      </c>
      <c r="Z20" s="12" t="s">
        <v>111</v>
      </c>
      <c r="AA20" s="221" t="str">
        <f ca="1">IF(OFFSET(M20,0,$AA$8)=0,"",OFFSET(M20,0,$AA$8))</f>
        <v>sc</v>
      </c>
      <c r="AB20" s="221" t="str">
        <f ca="1">IF(OFFSET(N20,0,$AA$8)=0,"",OFFSET(N20,0,$AA$8))</f>
        <v>mc</v>
      </c>
      <c r="AC20" s="221" t="str">
        <f ca="1">IF(OFFSET(O20,0,$AA$8)=0,"",OFFSET(O20,0,$AA$8))</f>
        <v>lc</v>
      </c>
      <c r="AD20" s="221" t="str">
        <f ca="1">IF(OFFSET(P20,0,$AA$8)=0,"",OFFSET(P20,0,$AA$8))</f>
        <v>r</v>
      </c>
      <c r="AE20" s="221" t="str">
        <f ca="1">IF(OFFSET(Q20,0,$AA$8)=0,"",OFFSET(Q20,0,$AA$8))</f>
        <v>z</v>
      </c>
      <c r="AG20" s="12" t="s">
        <v>111</v>
      </c>
      <c r="AH20" s="221" t="str">
        <f ca="1">AA20</f>
        <v>sc</v>
      </c>
      <c r="AI20" s="221" t="str">
        <f ca="1">AB20</f>
        <v>mc</v>
      </c>
      <c r="AJ20" s="221" t="str">
        <f ca="1">AC20</f>
        <v>lc</v>
      </c>
      <c r="AK20" s="221" t="str">
        <f ca="1">AD20</f>
        <v>r</v>
      </c>
      <c r="AL20" s="221" t="str">
        <f ca="1">AE20</f>
        <v>z</v>
      </c>
      <c r="AN20" s="12" t="s">
        <v>111</v>
      </c>
      <c r="AO20" s="221" t="s">
        <v>332</v>
      </c>
      <c r="AP20" s="221" t="s">
        <v>333</v>
      </c>
      <c r="AQ20" s="221" t="s">
        <v>334</v>
      </c>
      <c r="AR20" s="221" t="s">
        <v>335</v>
      </c>
      <c r="AS20" s="221" t="s">
        <v>336</v>
      </c>
    </row>
    <row r="21" ht="15" hidden="1" customHeight="1" spans="9:45">
      <c r="I21" s="12">
        <v>380</v>
      </c>
      <c r="J21" s="230">
        <v>3.9e-5</v>
      </c>
      <c r="L21" s="12">
        <v>380</v>
      </c>
      <c r="M21" s="230"/>
      <c r="N21" s="230"/>
      <c r="O21" s="230"/>
      <c r="P21" s="231">
        <v>0.000589</v>
      </c>
      <c r="Q21" s="230">
        <v>0.000918165</v>
      </c>
      <c r="S21" s="12">
        <v>380</v>
      </c>
      <c r="T21" s="230">
        <v>0.00535929915560725</v>
      </c>
      <c r="U21" s="230">
        <v>0.000924583204489533</v>
      </c>
      <c r="V21" s="230">
        <v>0.000854175282546522</v>
      </c>
      <c r="W21" s="231">
        <v>0.00106574180050091</v>
      </c>
      <c r="X21" s="230">
        <v>0.000918165563099261</v>
      </c>
      <c r="Z21" s="12">
        <v>380</v>
      </c>
      <c r="AA21" s="230">
        <f ca="1" t="shared" ref="AA21:AA84" si="0">OFFSET(M21,0,$AA$8)</f>
        <v>0.00535929915560725</v>
      </c>
      <c r="AB21" s="230">
        <f ca="1" t="shared" ref="AB21:AB84" si="1">OFFSET(N21,0,$AA$8)</f>
        <v>0.000924583204489533</v>
      </c>
      <c r="AC21" s="230">
        <f ca="1" t="shared" ref="AC21:AC84" si="2">OFFSET(O21,0,$AA$8)</f>
        <v>0.000854175282546522</v>
      </c>
      <c r="AD21" s="230">
        <f ca="1" t="shared" ref="AD21:AD84" si="3">OFFSET(P21,0,$AA$8)</f>
        <v>0.00106574180050091</v>
      </c>
      <c r="AE21" s="230">
        <f ca="1" t="shared" ref="AE21:AE84" si="4">OFFSET(Q21,0,$AA$8)</f>
        <v>0.000918165563099261</v>
      </c>
      <c r="AG21" s="12">
        <v>380</v>
      </c>
      <c r="AH21" s="231">
        <f ca="1" t="shared" ref="AH21:AH84" si="5">AA21/$Z21</f>
        <v>1.41034188305454e-5</v>
      </c>
      <c r="AI21" s="231">
        <f ca="1" t="shared" ref="AI21:AI84" si="6">AB21/$Z21</f>
        <v>2.43311369602509e-6</v>
      </c>
      <c r="AJ21" s="231">
        <f ca="1" t="shared" ref="AJ21:AJ84" si="7">AC21/$Z21</f>
        <v>2.2478296909119e-6</v>
      </c>
      <c r="AK21" s="231">
        <f ca="1" t="shared" ref="AK21:AK84" si="8">AD21/$Z21</f>
        <v>2.80458368552871e-6</v>
      </c>
      <c r="AL21" s="231">
        <f ca="1" t="shared" ref="AL21:AL84" si="9">AE21/$Z21</f>
        <v>2.41622516605069e-6</v>
      </c>
      <c r="AN21" s="12">
        <v>380</v>
      </c>
      <c r="AO21" s="231">
        <f ca="1" t="shared" ref="AO21:AO84" si="10">IF(AH21=0,"",AH21/AH$11)</f>
        <v>0.00620550428543997</v>
      </c>
      <c r="AP21" s="231">
        <f ca="1" t="shared" ref="AP21:AP84" si="11">IF(AI21=0,"",AI21/AI$11)</f>
        <v>0.00132125811738633</v>
      </c>
      <c r="AQ21" s="231">
        <f ca="1" t="shared" ref="AQ21:AQ84" si="12">IF(AJ21=0,"",AJ21/AJ$11)</f>
        <v>0.00127963603737704</v>
      </c>
      <c r="AR21" s="231">
        <f ca="1" t="shared" ref="AR21:AR84" si="13">IF(AK21=0,"",AK21/AK$11)</f>
        <v>0.00142959202131611</v>
      </c>
      <c r="AS21" s="231">
        <f ca="1" t="shared" ref="AS21:AS84" si="14">IF(AL21=0,"",AL21/AL$11)</f>
        <v>0.00118099583119655</v>
      </c>
    </row>
    <row r="22" ht="15" hidden="1" customHeight="1" spans="9:45">
      <c r="I22" s="12">
        <v>381</v>
      </c>
      <c r="J22" s="230">
        <v>4.28264e-5</v>
      </c>
      <c r="L22" s="12">
        <v>381</v>
      </c>
      <c r="M22" s="230"/>
      <c r="N22" s="230"/>
      <c r="O22" s="230"/>
      <c r="P22" s="231">
        <v>0.000665</v>
      </c>
      <c r="Q22" s="230">
        <v>0.00104557</v>
      </c>
      <c r="S22" s="12">
        <v>381</v>
      </c>
      <c r="T22" s="230">
        <v>0.00612622580054943</v>
      </c>
      <c r="U22" s="230">
        <v>0.00103210290396338</v>
      </c>
      <c r="V22" s="230">
        <v>0.000956169750092272</v>
      </c>
      <c r="W22" s="231">
        <v>0.00119178248901139</v>
      </c>
      <c r="X22" s="230">
        <v>0.00103288031365703</v>
      </c>
      <c r="Z22" s="12">
        <v>381</v>
      </c>
      <c r="AA22" s="230">
        <f ca="1" t="shared" si="0"/>
        <v>0.00612622580054943</v>
      </c>
      <c r="AB22" s="230">
        <f ca="1" t="shared" si="1"/>
        <v>0.00103210290396338</v>
      </c>
      <c r="AC22" s="230">
        <f ca="1" t="shared" si="2"/>
        <v>0.000956169750092272</v>
      </c>
      <c r="AD22" s="230">
        <f ca="1" t="shared" si="3"/>
        <v>0.00119178248901139</v>
      </c>
      <c r="AE22" s="230">
        <f ca="1" t="shared" si="4"/>
        <v>0.00103288031365703</v>
      </c>
      <c r="AG22" s="12">
        <v>381</v>
      </c>
      <c r="AH22" s="231">
        <f ca="1" t="shared" si="5"/>
        <v>1.6079332809841e-5</v>
      </c>
      <c r="AI22" s="231">
        <f ca="1" t="shared" si="6"/>
        <v>2.70893150646556e-6</v>
      </c>
      <c r="AJ22" s="231">
        <f ca="1" t="shared" si="7"/>
        <v>2.50963189000596e-6</v>
      </c>
      <c r="AK22" s="231">
        <f ca="1" t="shared" si="8"/>
        <v>3.12803802890129e-6</v>
      </c>
      <c r="AL22" s="231">
        <f ca="1" t="shared" si="9"/>
        <v>2.71097195185572e-6</v>
      </c>
      <c r="AN22" s="12">
        <v>381</v>
      </c>
      <c r="AO22" s="231">
        <f ca="1" t="shared" si="10"/>
        <v>0.00707490643633005</v>
      </c>
      <c r="AP22" s="231">
        <f ca="1" t="shared" si="11"/>
        <v>0.00147103596030406</v>
      </c>
      <c r="AQ22" s="231">
        <f ca="1" t="shared" si="12"/>
        <v>0.00142867380922417</v>
      </c>
      <c r="AR22" s="231">
        <f ca="1" t="shared" si="13"/>
        <v>0.00159446773921016</v>
      </c>
      <c r="AS22" s="231">
        <f ca="1" t="shared" si="14"/>
        <v>0.00132506134718622</v>
      </c>
    </row>
    <row r="23" ht="15" hidden="1" customHeight="1" spans="9:45">
      <c r="I23" s="12">
        <v>382</v>
      </c>
      <c r="J23" s="230">
        <v>4.69146e-5</v>
      </c>
      <c r="L23" s="12">
        <v>382</v>
      </c>
      <c r="M23" s="230"/>
      <c r="N23" s="230"/>
      <c r="O23" s="230"/>
      <c r="P23" s="231">
        <v>0.000752</v>
      </c>
      <c r="Q23" s="230">
        <v>0.00117858</v>
      </c>
      <c r="S23" s="12">
        <v>382</v>
      </c>
      <c r="T23" s="230">
        <v>0.00700099874821982</v>
      </c>
      <c r="U23" s="230">
        <v>0.00115184489010151</v>
      </c>
      <c r="V23" s="230">
        <v>0.00106999315645537</v>
      </c>
      <c r="W23" s="231">
        <v>0.0013331100423925</v>
      </c>
      <c r="X23" s="230">
        <v>0.00116280529305925</v>
      </c>
      <c r="Z23" s="12">
        <v>382</v>
      </c>
      <c r="AA23" s="230">
        <f ca="1" t="shared" si="0"/>
        <v>0.00700099874821982</v>
      </c>
      <c r="AB23" s="230">
        <f ca="1" t="shared" si="1"/>
        <v>0.00115184489010151</v>
      </c>
      <c r="AC23" s="230">
        <f ca="1" t="shared" si="2"/>
        <v>0.00106999315645537</v>
      </c>
      <c r="AD23" s="230">
        <f ca="1" t="shared" si="3"/>
        <v>0.0013331100423925</v>
      </c>
      <c r="AE23" s="230">
        <f ca="1" t="shared" si="4"/>
        <v>0.00116280529305925</v>
      </c>
      <c r="AG23" s="12">
        <v>382</v>
      </c>
      <c r="AH23" s="231">
        <f ca="1" t="shared" si="5"/>
        <v>1.83272218539786e-5</v>
      </c>
      <c r="AI23" s="231">
        <f ca="1" t="shared" si="6"/>
        <v>3.01530075942804e-6</v>
      </c>
      <c r="AJ23" s="231">
        <f ca="1" t="shared" si="7"/>
        <v>2.80102920538055e-6</v>
      </c>
      <c r="AK23" s="231">
        <f ca="1" t="shared" si="8"/>
        <v>3.48981686490183e-6</v>
      </c>
      <c r="AL23" s="231">
        <f ca="1" t="shared" si="9"/>
        <v>3.04399291376767e-6</v>
      </c>
      <c r="AN23" s="12">
        <v>382</v>
      </c>
      <c r="AO23" s="231">
        <f ca="1" t="shared" si="10"/>
        <v>0.00806397761575058</v>
      </c>
      <c r="AP23" s="231">
        <f ca="1" t="shared" si="11"/>
        <v>0.00163740420814038</v>
      </c>
      <c r="AQ23" s="231">
        <f ca="1" t="shared" si="12"/>
        <v>0.00159455937762636</v>
      </c>
      <c r="AR23" s="231">
        <f ca="1" t="shared" si="13"/>
        <v>0.00177887875896189</v>
      </c>
      <c r="AS23" s="231">
        <f ca="1" t="shared" si="14"/>
        <v>0.00148783440875561</v>
      </c>
    </row>
    <row r="24" ht="15" hidden="1" customHeight="1" spans="9:45">
      <c r="I24" s="12">
        <v>383</v>
      </c>
      <c r="J24" s="230">
        <v>5.15896e-5</v>
      </c>
      <c r="L24" s="12">
        <v>383</v>
      </c>
      <c r="M24" s="230"/>
      <c r="N24" s="230"/>
      <c r="O24" s="230"/>
      <c r="P24" s="231">
        <v>0.000854</v>
      </c>
      <c r="Q24" s="230">
        <v>0.00132279</v>
      </c>
      <c r="S24" s="12">
        <v>383</v>
      </c>
      <c r="T24" s="230">
        <v>0.00799837938388374</v>
      </c>
      <c r="U24" s="230">
        <v>0.00128518012301074</v>
      </c>
      <c r="V24" s="230">
        <v>0.00119698580456309</v>
      </c>
      <c r="W24" s="231">
        <v>0.00149168114418551</v>
      </c>
      <c r="X24" s="230">
        <v>0.00131011071916605</v>
      </c>
      <c r="Z24" s="12">
        <v>383</v>
      </c>
      <c r="AA24" s="230">
        <f ca="1" t="shared" si="0"/>
        <v>0.00799837938388374</v>
      </c>
      <c r="AB24" s="230">
        <f ca="1" t="shared" si="1"/>
        <v>0.00128518012301074</v>
      </c>
      <c r="AC24" s="230">
        <f ca="1" t="shared" si="2"/>
        <v>0.00119698580456309</v>
      </c>
      <c r="AD24" s="230">
        <f ca="1" t="shared" si="3"/>
        <v>0.00149168114418551</v>
      </c>
      <c r="AE24" s="230">
        <f ca="1" t="shared" si="4"/>
        <v>0.00131011071916605</v>
      </c>
      <c r="AG24" s="12">
        <v>383</v>
      </c>
      <c r="AH24" s="231">
        <f ca="1" t="shared" si="5"/>
        <v>2.08834970858583e-5</v>
      </c>
      <c r="AI24" s="231">
        <f ca="1" t="shared" si="6"/>
        <v>3.35556167887922e-6</v>
      </c>
      <c r="AJ24" s="231">
        <f ca="1" t="shared" si="7"/>
        <v>3.12528930695324e-6</v>
      </c>
      <c r="AK24" s="231">
        <f ca="1" t="shared" si="8"/>
        <v>3.8947288359935e-6</v>
      </c>
      <c r="AL24" s="231">
        <f ca="1" t="shared" si="9"/>
        <v>3.42065461923251e-6</v>
      </c>
      <c r="AN24" s="12">
        <v>383</v>
      </c>
      <c r="AO24" s="231">
        <f ca="1" t="shared" si="10"/>
        <v>0.00918873871777767</v>
      </c>
      <c r="AP24" s="231">
        <f ca="1" t="shared" si="11"/>
        <v>0.00182217670873855</v>
      </c>
      <c r="AQ24" s="231">
        <f ca="1" t="shared" si="12"/>
        <v>0.00177915294943189</v>
      </c>
      <c r="AR24" s="231">
        <f ca="1" t="shared" si="13"/>
        <v>0.00198527620974749</v>
      </c>
      <c r="AS24" s="231">
        <f ca="1" t="shared" si="14"/>
        <v>0.00167193807184775</v>
      </c>
    </row>
    <row r="25" ht="15" hidden="1" customHeight="1" spans="9:45">
      <c r="I25" s="12">
        <v>384</v>
      </c>
      <c r="J25" s="230">
        <v>5.71764e-5</v>
      </c>
      <c r="L25" s="12">
        <v>384</v>
      </c>
      <c r="M25" s="230"/>
      <c r="N25" s="230"/>
      <c r="O25" s="230"/>
      <c r="P25" s="231">
        <v>0.000972</v>
      </c>
      <c r="Q25" s="230">
        <v>0.00148381</v>
      </c>
      <c r="S25" s="12">
        <v>384</v>
      </c>
      <c r="T25" s="230">
        <v>0.00913505149820918</v>
      </c>
      <c r="U25" s="230">
        <v>0.00143363963773784</v>
      </c>
      <c r="V25" s="230">
        <v>0.00133862212861168</v>
      </c>
      <c r="W25" s="231">
        <v>0.00166973288277291</v>
      </c>
      <c r="X25" s="230">
        <v>0.00147729422466796</v>
      </c>
      <c r="Z25" s="12">
        <v>384</v>
      </c>
      <c r="AA25" s="230">
        <f ca="1" t="shared" si="0"/>
        <v>0.00913505149820918</v>
      </c>
      <c r="AB25" s="230">
        <f ca="1" t="shared" si="1"/>
        <v>0.00143363963773784</v>
      </c>
      <c r="AC25" s="230">
        <f ca="1" t="shared" si="2"/>
        <v>0.00133862212861168</v>
      </c>
      <c r="AD25" s="230">
        <f ca="1" t="shared" si="3"/>
        <v>0.00166973288277291</v>
      </c>
      <c r="AE25" s="230">
        <f ca="1" t="shared" si="4"/>
        <v>0.00147729422466796</v>
      </c>
      <c r="AG25" s="12">
        <v>384</v>
      </c>
      <c r="AH25" s="231">
        <f ca="1" t="shared" si="5"/>
        <v>2.37891966099197e-5</v>
      </c>
      <c r="AI25" s="231">
        <f ca="1" t="shared" si="6"/>
        <v>3.73343655660896e-6</v>
      </c>
      <c r="AJ25" s="231">
        <f ca="1" t="shared" si="7"/>
        <v>3.48599512659292e-6</v>
      </c>
      <c r="AK25" s="231">
        <f ca="1" t="shared" si="8"/>
        <v>4.34826271555445e-6</v>
      </c>
      <c r="AL25" s="231">
        <f ca="1" t="shared" si="9"/>
        <v>3.84712037673948e-6</v>
      </c>
      <c r="AN25" s="12">
        <v>384</v>
      </c>
      <c r="AO25" s="231">
        <f ca="1" t="shared" si="10"/>
        <v>0.0104672465083647</v>
      </c>
      <c r="AP25" s="231">
        <f ca="1" t="shared" si="11"/>
        <v>0.0020273747849207</v>
      </c>
      <c r="AQ25" s="231">
        <f ca="1" t="shared" si="12"/>
        <v>0.00198449420262768</v>
      </c>
      <c r="AR25" s="231">
        <f ca="1" t="shared" si="13"/>
        <v>0.00221645790668254</v>
      </c>
      <c r="AS25" s="231">
        <f ca="1" t="shared" si="14"/>
        <v>0.00188038482128172</v>
      </c>
    </row>
    <row r="26" ht="15" hidden="1" customHeight="1" spans="9:45">
      <c r="I26" s="12">
        <v>385</v>
      </c>
      <c r="J26" s="230">
        <v>6.4e-5</v>
      </c>
      <c r="L26" s="12">
        <v>385</v>
      </c>
      <c r="M26" s="230"/>
      <c r="N26" s="230"/>
      <c r="O26" s="230"/>
      <c r="P26" s="232">
        <v>0.001108</v>
      </c>
      <c r="Q26" s="230">
        <v>0.00166724</v>
      </c>
      <c r="S26" s="12">
        <v>385</v>
      </c>
      <c r="T26" s="230">
        <v>0.0104298725138065</v>
      </c>
      <c r="U26" s="230">
        <v>0.00159892833933165</v>
      </c>
      <c r="V26" s="230">
        <v>0.00149655264898118</v>
      </c>
      <c r="W26" s="232">
        <v>0.0018697993307524</v>
      </c>
      <c r="X26" s="230">
        <v>0.00166723953461159</v>
      </c>
      <c r="Z26" s="12">
        <v>385</v>
      </c>
      <c r="AA26" s="230">
        <f ca="1" t="shared" si="0"/>
        <v>0.0104298725138065</v>
      </c>
      <c r="AB26" s="230">
        <f ca="1" t="shared" si="1"/>
        <v>0.00159892833933165</v>
      </c>
      <c r="AC26" s="230">
        <f ca="1" t="shared" si="2"/>
        <v>0.00149655264898118</v>
      </c>
      <c r="AD26" s="230">
        <f ca="1" t="shared" si="3"/>
        <v>0.0018697993307524</v>
      </c>
      <c r="AE26" s="230">
        <f ca="1" t="shared" si="4"/>
        <v>0.00166723953461159</v>
      </c>
      <c r="AG26" s="12">
        <v>385</v>
      </c>
      <c r="AH26" s="231">
        <f ca="1" t="shared" si="5"/>
        <v>2.7090577957939e-5</v>
      </c>
      <c r="AI26" s="231">
        <f ca="1" t="shared" si="6"/>
        <v>4.15306062164065e-6</v>
      </c>
      <c r="AJ26" s="231">
        <f ca="1" t="shared" si="7"/>
        <v>3.88714973761345e-6</v>
      </c>
      <c r="AK26" s="231">
        <f ca="1" t="shared" si="8"/>
        <v>4.85662163831792e-6</v>
      </c>
      <c r="AL26" s="231">
        <f ca="1" t="shared" si="9"/>
        <v>4.33049229769244e-6</v>
      </c>
      <c r="AN26" s="12">
        <v>385</v>
      </c>
      <c r="AO26" s="231">
        <f ca="1" t="shared" si="10"/>
        <v>0.0119198543014931</v>
      </c>
      <c r="AP26" s="231">
        <f ca="1" t="shared" si="11"/>
        <v>0.00225524399755944</v>
      </c>
      <c r="AQ26" s="231">
        <f ca="1" t="shared" si="12"/>
        <v>0.00221286199174324</v>
      </c>
      <c r="AR26" s="231">
        <f ca="1" t="shared" si="13"/>
        <v>0.0024755857992455</v>
      </c>
      <c r="AS26" s="231">
        <f ca="1" t="shared" si="14"/>
        <v>0.00211664600735983</v>
      </c>
    </row>
    <row r="27" ht="15" hidden="1" customHeight="1" spans="9:45">
      <c r="I27" s="12">
        <v>386</v>
      </c>
      <c r="J27" s="230">
        <v>7.234421e-5</v>
      </c>
      <c r="L27" s="12">
        <v>386</v>
      </c>
      <c r="M27" s="230"/>
      <c r="N27" s="230"/>
      <c r="O27" s="230"/>
      <c r="P27" s="232">
        <v>0.001268</v>
      </c>
      <c r="Q27" s="230">
        <v>0.00188102</v>
      </c>
      <c r="S27" s="12">
        <v>386</v>
      </c>
      <c r="T27" s="230">
        <v>0.0119042215239311</v>
      </c>
      <c r="U27" s="230">
        <v>0.00178294932569988</v>
      </c>
      <c r="V27" s="230">
        <v>0.00167259964395173</v>
      </c>
      <c r="W27" s="232">
        <v>0.00209479727364282</v>
      </c>
      <c r="X27" s="230">
        <v>0.0018832674490729</v>
      </c>
      <c r="Z27" s="12">
        <v>386</v>
      </c>
      <c r="AA27" s="230">
        <f ca="1" t="shared" si="0"/>
        <v>0.0119042215239311</v>
      </c>
      <c r="AB27" s="230">
        <f ca="1" t="shared" si="1"/>
        <v>0.00178294932569988</v>
      </c>
      <c r="AC27" s="230">
        <f ca="1" t="shared" si="2"/>
        <v>0.00167259964395173</v>
      </c>
      <c r="AD27" s="230">
        <f ca="1" t="shared" si="3"/>
        <v>0.00209479727364282</v>
      </c>
      <c r="AE27" s="230">
        <f ca="1" t="shared" si="4"/>
        <v>0.0018832674490729</v>
      </c>
      <c r="AG27" s="12">
        <v>386</v>
      </c>
      <c r="AH27" s="231">
        <f ca="1" t="shared" si="5"/>
        <v>3.08399521345365e-5</v>
      </c>
      <c r="AI27" s="231">
        <f ca="1" t="shared" si="6"/>
        <v>4.6190397038857e-6</v>
      </c>
      <c r="AJ27" s="231">
        <f ca="1" t="shared" si="7"/>
        <v>4.33315969935681e-6</v>
      </c>
      <c r="AK27" s="231">
        <f ca="1" t="shared" si="8"/>
        <v>5.42693594207984e-6</v>
      </c>
      <c r="AL27" s="231">
        <f ca="1" t="shared" si="9"/>
        <v>4.87893121521477e-6</v>
      </c>
      <c r="AN27" s="12">
        <v>386</v>
      </c>
      <c r="AO27" s="231">
        <f ca="1" t="shared" si="10"/>
        <v>0.0135695789391961</v>
      </c>
      <c r="AP27" s="231">
        <f ca="1" t="shared" si="11"/>
        <v>0.00250828545877612</v>
      </c>
      <c r="AQ27" s="231">
        <f ca="1" t="shared" si="12"/>
        <v>0.00246676486631752</v>
      </c>
      <c r="AR27" s="231">
        <f ca="1" t="shared" si="13"/>
        <v>0.00276629446396013</v>
      </c>
      <c r="AS27" s="231">
        <f ca="1" t="shared" si="14"/>
        <v>0.00238471045944833</v>
      </c>
    </row>
    <row r="28" ht="15" hidden="1" customHeight="1" spans="9:45">
      <c r="I28" s="12">
        <v>387</v>
      </c>
      <c r="J28" s="230">
        <v>8.221224e-5</v>
      </c>
      <c r="L28" s="12">
        <v>387</v>
      </c>
      <c r="M28" s="230"/>
      <c r="N28" s="230"/>
      <c r="O28" s="230"/>
      <c r="P28" s="232">
        <v>0.001453</v>
      </c>
      <c r="Q28" s="230">
        <v>0.00212989</v>
      </c>
      <c r="S28" s="12">
        <v>387</v>
      </c>
      <c r="T28" s="230">
        <v>0.01358219620859</v>
      </c>
      <c r="U28" s="230">
        <v>0.00198782432152904</v>
      </c>
      <c r="V28" s="230">
        <v>0.00186879214505165</v>
      </c>
      <c r="W28" s="232">
        <v>0.00234803193852895</v>
      </c>
      <c r="X28" s="230">
        <v>0.00212922227046499</v>
      </c>
      <c r="Z28" s="12">
        <v>387</v>
      </c>
      <c r="AA28" s="230">
        <f ca="1" t="shared" si="0"/>
        <v>0.01358219620859</v>
      </c>
      <c r="AB28" s="230">
        <f ca="1" t="shared" si="1"/>
        <v>0.00198782432152904</v>
      </c>
      <c r="AC28" s="230">
        <f ca="1" t="shared" si="2"/>
        <v>0.00186879214505165</v>
      </c>
      <c r="AD28" s="230">
        <f ca="1" t="shared" si="3"/>
        <v>0.00234803193852895</v>
      </c>
      <c r="AE28" s="230">
        <f ca="1" t="shared" si="4"/>
        <v>0.00212922227046499</v>
      </c>
      <c r="AG28" s="12">
        <v>387</v>
      </c>
      <c r="AH28" s="231">
        <f ca="1" t="shared" si="5"/>
        <v>3.50961142340827e-5</v>
      </c>
      <c r="AI28" s="231">
        <f ca="1" t="shared" si="6"/>
        <v>5.1364969548554e-6</v>
      </c>
      <c r="AJ28" s="231">
        <f ca="1" t="shared" si="7"/>
        <v>4.82892027145129e-6</v>
      </c>
      <c r="AK28" s="231">
        <f ca="1" t="shared" si="8"/>
        <v>6.06726599103088e-6</v>
      </c>
      <c r="AL28" s="231">
        <f ca="1" t="shared" si="9"/>
        <v>5.50186633195088e-6</v>
      </c>
      <c r="AN28" s="12">
        <v>387</v>
      </c>
      <c r="AO28" s="231">
        <f ca="1" t="shared" si="10"/>
        <v>0.0154422902629964</v>
      </c>
      <c r="AP28" s="231">
        <f ca="1" t="shared" si="11"/>
        <v>0.00278928120277323</v>
      </c>
      <c r="AQ28" s="231">
        <f ca="1" t="shared" si="12"/>
        <v>0.0027489895813516</v>
      </c>
      <c r="AR28" s="231">
        <f ca="1" t="shared" si="13"/>
        <v>0.00309269254354419</v>
      </c>
      <c r="AS28" s="231">
        <f ca="1" t="shared" si="14"/>
        <v>0.00268918695704799</v>
      </c>
    </row>
    <row r="29" ht="15" hidden="1" customHeight="1" spans="9:45">
      <c r="I29" s="12">
        <v>388</v>
      </c>
      <c r="J29" s="230">
        <v>9.350816e-5</v>
      </c>
      <c r="L29" s="12">
        <v>388</v>
      </c>
      <c r="M29" s="230"/>
      <c r="N29" s="230"/>
      <c r="O29" s="230"/>
      <c r="P29" s="232">
        <v>0.001668</v>
      </c>
      <c r="Q29" s="230">
        <v>0.00241457</v>
      </c>
      <c r="S29" s="12">
        <v>388</v>
      </c>
      <c r="T29" s="230">
        <v>0.0154910908165064</v>
      </c>
      <c r="U29" s="230">
        <v>0.00221592470807984</v>
      </c>
      <c r="V29" s="230">
        <v>0.00208738231663923</v>
      </c>
      <c r="W29" s="232">
        <v>0.00263329794367551</v>
      </c>
      <c r="X29" s="230">
        <v>0.00240952257725103</v>
      </c>
      <c r="Z29" s="12">
        <v>388</v>
      </c>
      <c r="AA29" s="230">
        <f ca="1" t="shared" si="0"/>
        <v>0.0154910908165064</v>
      </c>
      <c r="AB29" s="230">
        <f ca="1" t="shared" si="1"/>
        <v>0.00221592470807984</v>
      </c>
      <c r="AC29" s="230">
        <f ca="1" t="shared" si="2"/>
        <v>0.00208738231663923</v>
      </c>
      <c r="AD29" s="230">
        <f ca="1" t="shared" si="3"/>
        <v>0.00263329794367551</v>
      </c>
      <c r="AE29" s="230">
        <f ca="1" t="shared" si="4"/>
        <v>0.00240952257725103</v>
      </c>
      <c r="AG29" s="12">
        <v>388</v>
      </c>
      <c r="AH29" s="231">
        <f ca="1" t="shared" si="5"/>
        <v>3.99254917951196e-5</v>
      </c>
      <c r="AI29" s="231">
        <f ca="1" t="shared" si="6"/>
        <v>5.71114615484495e-6</v>
      </c>
      <c r="AJ29" s="231">
        <f ca="1" t="shared" si="7"/>
        <v>5.37985133154441e-6</v>
      </c>
      <c r="AK29" s="231">
        <f ca="1" t="shared" si="8"/>
        <v>6.78685037029771e-6</v>
      </c>
      <c r="AL29" s="231">
        <f ca="1" t="shared" si="9"/>
        <v>6.21010973518307e-6</v>
      </c>
      <c r="AN29" s="12">
        <v>388</v>
      </c>
      <c r="AO29" s="231">
        <f ca="1" t="shared" si="10"/>
        <v>0.0175672163898526</v>
      </c>
      <c r="AP29" s="231">
        <f ca="1" t="shared" si="11"/>
        <v>0.00310133399396673</v>
      </c>
      <c r="AQ29" s="231">
        <f ca="1" t="shared" si="12"/>
        <v>0.0030626215444206</v>
      </c>
      <c r="AR29" s="231">
        <f ca="1" t="shared" si="13"/>
        <v>0.00345948926013767</v>
      </c>
      <c r="AS29" s="231">
        <f ca="1" t="shared" si="14"/>
        <v>0.00303536020217515</v>
      </c>
    </row>
    <row r="30" ht="15" hidden="1" customHeight="1" spans="9:45">
      <c r="I30" s="12">
        <v>389</v>
      </c>
      <c r="J30" s="230">
        <v>0.0001061361</v>
      </c>
      <c r="L30" s="12">
        <v>389</v>
      </c>
      <c r="M30" s="230"/>
      <c r="N30" s="230"/>
      <c r="O30" s="230"/>
      <c r="P30" s="232">
        <v>0.001918</v>
      </c>
      <c r="Q30" s="230">
        <v>0.00273583</v>
      </c>
      <c r="S30" s="12">
        <v>389</v>
      </c>
      <c r="T30" s="230">
        <v>0.017661720187125</v>
      </c>
      <c r="U30" s="230">
        <v>0.00246988652073356</v>
      </c>
      <c r="V30" s="230">
        <v>0.00233085898571931</v>
      </c>
      <c r="W30" s="232">
        <v>0.00295493546196847</v>
      </c>
      <c r="X30" s="230">
        <v>0.00272928570165297</v>
      </c>
      <c r="Z30" s="12">
        <v>389</v>
      </c>
      <c r="AA30" s="230">
        <f ca="1" t="shared" si="0"/>
        <v>0.017661720187125</v>
      </c>
      <c r="AB30" s="230">
        <f ca="1" t="shared" si="1"/>
        <v>0.00246988652073356</v>
      </c>
      <c r="AC30" s="230">
        <f ca="1" t="shared" si="2"/>
        <v>0.00233085898571931</v>
      </c>
      <c r="AD30" s="230">
        <f ca="1" t="shared" si="3"/>
        <v>0.00295493546196847</v>
      </c>
      <c r="AE30" s="230">
        <f ca="1" t="shared" si="4"/>
        <v>0.00272928570165297</v>
      </c>
      <c r="AG30" s="12">
        <v>389</v>
      </c>
      <c r="AH30" s="231">
        <f ca="1" t="shared" si="5"/>
        <v>4.5402879658419e-5</v>
      </c>
      <c r="AI30" s="231">
        <f ca="1" t="shared" si="6"/>
        <v>6.34932267540761e-6</v>
      </c>
      <c r="AJ30" s="231">
        <f ca="1" t="shared" si="7"/>
        <v>5.99192541316018e-6</v>
      </c>
      <c r="AK30" s="231">
        <f ca="1" t="shared" si="8"/>
        <v>7.59623512074157e-6</v>
      </c>
      <c r="AL30" s="231">
        <f ca="1" t="shared" si="9"/>
        <v>7.01615861607447e-6</v>
      </c>
      <c r="AN30" s="12">
        <v>389</v>
      </c>
      <c r="AO30" s="231">
        <f ca="1" t="shared" si="10"/>
        <v>0.0199772670497044</v>
      </c>
      <c r="AP30" s="231">
        <f ca="1" t="shared" si="11"/>
        <v>0.00344788414059419</v>
      </c>
      <c r="AQ30" s="231">
        <f ca="1" t="shared" si="12"/>
        <v>0.00341106077695973</v>
      </c>
      <c r="AR30" s="231">
        <f ca="1" t="shared" si="13"/>
        <v>0.00387206029069023</v>
      </c>
      <c r="AS30" s="231">
        <f ca="1" t="shared" si="14"/>
        <v>0.00342933853724453</v>
      </c>
    </row>
    <row r="31" ht="15" hidden="1" customHeight="1" spans="9:45">
      <c r="I31" s="12">
        <v>390</v>
      </c>
      <c r="J31" s="230">
        <v>0.00012</v>
      </c>
      <c r="L31" s="12">
        <v>390</v>
      </c>
      <c r="M31" s="230">
        <v>0.00614265</v>
      </c>
      <c r="N31" s="230">
        <v>0.000358227</v>
      </c>
      <c r="O31" s="230">
        <v>0.000407619</v>
      </c>
      <c r="P31" s="232">
        <v>0.002209</v>
      </c>
      <c r="Q31" s="230">
        <v>0.00309442</v>
      </c>
      <c r="S31" s="12">
        <v>390</v>
      </c>
      <c r="T31" s="230">
        <v>0.0201288053426097</v>
      </c>
      <c r="U31" s="230">
        <v>0.00275268172753513</v>
      </c>
      <c r="V31" s="230">
        <v>0.00260200424051111</v>
      </c>
      <c r="W31" s="232">
        <v>0.00331792068508433</v>
      </c>
      <c r="X31" s="230">
        <v>0.00309441815198648</v>
      </c>
      <c r="Z31" s="12">
        <v>390</v>
      </c>
      <c r="AA31" s="230">
        <f ca="1" t="shared" si="0"/>
        <v>0.0201288053426097</v>
      </c>
      <c r="AB31" s="230">
        <f ca="1" t="shared" si="1"/>
        <v>0.00275268172753513</v>
      </c>
      <c r="AC31" s="230">
        <f ca="1" t="shared" si="2"/>
        <v>0.00260200424051111</v>
      </c>
      <c r="AD31" s="230">
        <f ca="1" t="shared" si="3"/>
        <v>0.00331792068508433</v>
      </c>
      <c r="AE31" s="230">
        <f ca="1" t="shared" si="4"/>
        <v>0.00309441815198648</v>
      </c>
      <c r="AG31" s="12">
        <v>390</v>
      </c>
      <c r="AH31" s="231">
        <f ca="1" t="shared" si="5"/>
        <v>5.16123213913069e-5</v>
      </c>
      <c r="AI31" s="231">
        <f ca="1" t="shared" si="6"/>
        <v>7.0581582757311e-6</v>
      </c>
      <c r="AJ31" s="231">
        <f ca="1" t="shared" si="7"/>
        <v>6.67180574490028e-6</v>
      </c>
      <c r="AK31" s="231">
        <f ca="1" t="shared" si="8"/>
        <v>8.50748893611367e-6</v>
      </c>
      <c r="AL31" s="231">
        <f ca="1" t="shared" si="9"/>
        <v>7.93440551791405e-6</v>
      </c>
      <c r="AN31" s="12">
        <v>390</v>
      </c>
      <c r="AO31" s="231">
        <f ca="1" t="shared" si="10"/>
        <v>0.022709421412175</v>
      </c>
      <c r="AP31" s="231">
        <f ca="1" t="shared" si="11"/>
        <v>0.00383280441470627</v>
      </c>
      <c r="AQ31" s="231">
        <f ca="1" t="shared" si="12"/>
        <v>0.00379810049670182</v>
      </c>
      <c r="AR31" s="231">
        <f ca="1" t="shared" si="13"/>
        <v>0.00433655746029571</v>
      </c>
      <c r="AS31" s="231">
        <f ca="1" t="shared" si="14"/>
        <v>0.00387815670962298</v>
      </c>
    </row>
    <row r="32" ht="15" hidden="1" customHeight="1" spans="9:45">
      <c r="I32" s="12">
        <v>391</v>
      </c>
      <c r="J32" s="230">
        <v>0.000134984</v>
      </c>
      <c r="L32" s="12">
        <v>391</v>
      </c>
      <c r="M32" s="230">
        <v>0.0074428</v>
      </c>
      <c r="N32" s="230">
        <v>0.00043866</v>
      </c>
      <c r="O32" s="230">
        <v>0.000497068</v>
      </c>
      <c r="P32" s="232">
        <v>0.002547</v>
      </c>
      <c r="Q32" s="230">
        <v>0.00350706</v>
      </c>
      <c r="S32" s="12">
        <v>391</v>
      </c>
      <c r="T32" s="230">
        <v>0.0229315811131485</v>
      </c>
      <c r="U32" s="230">
        <v>0.00306761604035677</v>
      </c>
      <c r="V32" s="230">
        <v>0.00290388223591464</v>
      </c>
      <c r="W32" s="232">
        <v>0.00372794073900821</v>
      </c>
      <c r="X32" s="230">
        <v>0.00351174522035877</v>
      </c>
      <c r="Z32" s="12">
        <v>391</v>
      </c>
      <c r="AA32" s="230">
        <f ca="1" t="shared" si="0"/>
        <v>0.0229315811131485</v>
      </c>
      <c r="AB32" s="230">
        <f ca="1" t="shared" si="1"/>
        <v>0.00306761604035677</v>
      </c>
      <c r="AC32" s="230">
        <f ca="1" t="shared" si="2"/>
        <v>0.00290388223591464</v>
      </c>
      <c r="AD32" s="230">
        <f ca="1" t="shared" si="3"/>
        <v>0.00372794073900821</v>
      </c>
      <c r="AE32" s="230">
        <f ca="1" t="shared" si="4"/>
        <v>0.00351174522035877</v>
      </c>
      <c r="AG32" s="12">
        <v>391</v>
      </c>
      <c r="AH32" s="231">
        <f ca="1" t="shared" si="5"/>
        <v>5.86485450464156e-5</v>
      </c>
      <c r="AI32" s="231">
        <f ca="1" t="shared" si="6"/>
        <v>7.84556532060555e-6</v>
      </c>
      <c r="AJ32" s="231">
        <f ca="1" t="shared" si="7"/>
        <v>7.42680878750547e-6</v>
      </c>
      <c r="AK32" s="231">
        <f ca="1" t="shared" si="8"/>
        <v>9.5343752915811e-6</v>
      </c>
      <c r="AL32" s="231">
        <f ca="1" t="shared" si="9"/>
        <v>8.98144557636514e-6</v>
      </c>
      <c r="AN32" s="12">
        <v>391</v>
      </c>
      <c r="AO32" s="231">
        <f ca="1" t="shared" si="10"/>
        <v>0.0258053598204229</v>
      </c>
      <c r="AP32" s="231">
        <f ca="1" t="shared" si="11"/>
        <v>0.00426039148202136</v>
      </c>
      <c r="AQ32" s="231">
        <f ca="1" t="shared" si="12"/>
        <v>0.00422790579091651</v>
      </c>
      <c r="AR32" s="231">
        <f ca="1" t="shared" si="13"/>
        <v>0.00485999648197635</v>
      </c>
      <c r="AS32" s="231">
        <f ca="1" t="shared" si="14"/>
        <v>0.0043899260436655</v>
      </c>
    </row>
    <row r="33" ht="15" hidden="1" customHeight="1" spans="9:45">
      <c r="I33" s="12">
        <v>392</v>
      </c>
      <c r="J33" s="230">
        <v>0.000151492</v>
      </c>
      <c r="L33" s="12">
        <v>392</v>
      </c>
      <c r="M33" s="230">
        <v>0.00901661</v>
      </c>
      <c r="N33" s="230">
        <v>0.00053623</v>
      </c>
      <c r="O33" s="230">
        <v>0.000604713</v>
      </c>
      <c r="P33" s="232">
        <v>0.002939</v>
      </c>
      <c r="Q33" s="230">
        <v>0.00399078</v>
      </c>
      <c r="S33" s="12">
        <v>392</v>
      </c>
      <c r="T33" s="230">
        <v>0.026114216481264</v>
      </c>
      <c r="U33" s="230">
        <v>0.00341840094604124</v>
      </c>
      <c r="V33" s="230">
        <v>0.00323991786076332</v>
      </c>
      <c r="W33" s="232">
        <v>0.00419154371577608</v>
      </c>
      <c r="X33" s="230">
        <v>0.00398914662937953</v>
      </c>
      <c r="Z33" s="12">
        <v>392</v>
      </c>
      <c r="AA33" s="230">
        <f ca="1" t="shared" si="0"/>
        <v>0.026114216481264</v>
      </c>
      <c r="AB33" s="230">
        <f ca="1" t="shared" si="1"/>
        <v>0.00341840094604124</v>
      </c>
      <c r="AC33" s="230">
        <f ca="1" t="shared" si="2"/>
        <v>0.00323991786076332</v>
      </c>
      <c r="AD33" s="230">
        <f ca="1" t="shared" si="3"/>
        <v>0.00419154371577608</v>
      </c>
      <c r="AE33" s="230">
        <f ca="1" t="shared" si="4"/>
        <v>0.00398914662937953</v>
      </c>
      <c r="AG33" s="12">
        <v>392</v>
      </c>
      <c r="AH33" s="231">
        <f ca="1" t="shared" si="5"/>
        <v>6.6617899186898e-5</v>
      </c>
      <c r="AI33" s="231">
        <f ca="1" t="shared" si="6"/>
        <v>8.72041057663582e-6</v>
      </c>
      <c r="AJ33" s="231">
        <f ca="1" t="shared" si="7"/>
        <v>8.2650965835799e-6</v>
      </c>
      <c r="AK33" s="231">
        <f ca="1" t="shared" si="8"/>
        <v>1.06927135606533e-5</v>
      </c>
      <c r="AL33" s="231">
        <f ca="1" t="shared" si="9"/>
        <v>1.01763944627029e-5</v>
      </c>
      <c r="AN33" s="12">
        <v>392</v>
      </c>
      <c r="AO33" s="231">
        <f ca="1" t="shared" si="10"/>
        <v>0.0293118756422351</v>
      </c>
      <c r="AP33" s="231">
        <f ca="1" t="shared" si="11"/>
        <v>0.00473546027879616</v>
      </c>
      <c r="AQ33" s="231">
        <f ca="1" t="shared" si="12"/>
        <v>0.00470512311653829</v>
      </c>
      <c r="AR33" s="231">
        <f ca="1" t="shared" si="13"/>
        <v>0.00545044103030457</v>
      </c>
      <c r="AS33" s="231">
        <f ca="1" t="shared" si="14"/>
        <v>0.00497398984412847</v>
      </c>
    </row>
    <row r="34" ht="15" hidden="1" customHeight="1" spans="9:45">
      <c r="I34" s="12">
        <v>393</v>
      </c>
      <c r="J34" s="230">
        <v>0.000170208</v>
      </c>
      <c r="L34" s="12">
        <v>393</v>
      </c>
      <c r="M34" s="230">
        <v>0.010917</v>
      </c>
      <c r="N34" s="230">
        <v>0.000654061</v>
      </c>
      <c r="O34" s="230">
        <v>0.00073364</v>
      </c>
      <c r="P34" s="232">
        <v>0.003394</v>
      </c>
      <c r="Q34" s="230">
        <v>0.00454679</v>
      </c>
      <c r="S34" s="12">
        <v>393</v>
      </c>
      <c r="T34" s="230">
        <v>0.0297265836190222</v>
      </c>
      <c r="U34" s="230">
        <v>0.00380919319670348</v>
      </c>
      <c r="V34" s="230">
        <v>0.00361389058814347</v>
      </c>
      <c r="W34" s="232">
        <v>0.00471623025507841</v>
      </c>
      <c r="X34" s="230">
        <v>0.00453574885908354</v>
      </c>
      <c r="Z34" s="12">
        <v>393</v>
      </c>
      <c r="AA34" s="230">
        <f ca="1" t="shared" si="0"/>
        <v>0.0297265836190222</v>
      </c>
      <c r="AB34" s="230">
        <f ca="1" t="shared" si="1"/>
        <v>0.00380919319670348</v>
      </c>
      <c r="AC34" s="230">
        <f ca="1" t="shared" si="2"/>
        <v>0.00361389058814347</v>
      </c>
      <c r="AD34" s="230">
        <f ca="1" t="shared" si="3"/>
        <v>0.00471623025507841</v>
      </c>
      <c r="AE34" s="230">
        <f ca="1" t="shared" si="4"/>
        <v>0.00453574885908354</v>
      </c>
      <c r="AG34" s="12">
        <v>393</v>
      </c>
      <c r="AH34" s="231">
        <f ca="1" t="shared" si="5"/>
        <v>7.56401618804636e-5</v>
      </c>
      <c r="AI34" s="231">
        <f ca="1" t="shared" si="6"/>
        <v>9.69260355395288e-6</v>
      </c>
      <c r="AJ34" s="231">
        <f ca="1" t="shared" si="7"/>
        <v>9.1956503515101e-6</v>
      </c>
      <c r="AK34" s="231">
        <f ca="1" t="shared" si="8"/>
        <v>1.20005858907848e-5</v>
      </c>
      <c r="AL34" s="231">
        <f ca="1" t="shared" si="9"/>
        <v>1.15413456974136e-5</v>
      </c>
      <c r="AN34" s="12">
        <v>393</v>
      </c>
      <c r="AO34" s="231">
        <f ca="1" t="shared" si="10"/>
        <v>0.033281671227404</v>
      </c>
      <c r="AP34" s="231">
        <f ca="1" t="shared" si="11"/>
        <v>0.00526339198418446</v>
      </c>
      <c r="AQ34" s="231">
        <f ca="1" t="shared" si="12"/>
        <v>0.00523486526781195</v>
      </c>
      <c r="AR34" s="231">
        <f ca="1" t="shared" si="13"/>
        <v>0.0061171081929582</v>
      </c>
      <c r="AS34" s="231">
        <f ca="1" t="shared" si="14"/>
        <v>0.00564114692064163</v>
      </c>
    </row>
    <row r="35" ht="15" hidden="1" customHeight="1" spans="9:45">
      <c r="I35" s="12">
        <v>394</v>
      </c>
      <c r="J35" s="230">
        <v>0.000191816</v>
      </c>
      <c r="L35" s="12">
        <v>394</v>
      </c>
      <c r="M35" s="230">
        <v>0.0132053</v>
      </c>
      <c r="N35" s="230">
        <v>0.000795649</v>
      </c>
      <c r="O35" s="230">
        <v>0.000887247</v>
      </c>
      <c r="P35" s="232">
        <v>0.003921</v>
      </c>
      <c r="Q35" s="230">
        <v>0.00517625</v>
      </c>
      <c r="S35" s="12">
        <v>394</v>
      </c>
      <c r="T35" s="230">
        <v>0.0338248593969716</v>
      </c>
      <c r="U35" s="230">
        <v>0.00424466089228522</v>
      </c>
      <c r="V35" s="230">
        <v>0.00403001813071399</v>
      </c>
      <c r="W35" s="232">
        <v>0.00531061722781836</v>
      </c>
      <c r="X35" s="230">
        <v>0.00516209508595925</v>
      </c>
      <c r="Z35" s="12">
        <v>394</v>
      </c>
      <c r="AA35" s="230">
        <f ca="1" t="shared" si="0"/>
        <v>0.0338248593969716</v>
      </c>
      <c r="AB35" s="230">
        <f ca="1" t="shared" si="1"/>
        <v>0.00424466089228522</v>
      </c>
      <c r="AC35" s="230">
        <f ca="1" t="shared" si="2"/>
        <v>0.00403001813071399</v>
      </c>
      <c r="AD35" s="230">
        <f ca="1" t="shared" si="3"/>
        <v>0.00531061722781836</v>
      </c>
      <c r="AE35" s="230">
        <f ca="1" t="shared" si="4"/>
        <v>0.00516209508595925</v>
      </c>
      <c r="AG35" s="12">
        <v>394</v>
      </c>
      <c r="AH35" s="231">
        <f ca="1" t="shared" si="5"/>
        <v>8.58498969466284e-5</v>
      </c>
      <c r="AI35" s="231">
        <f ca="1" t="shared" si="6"/>
        <v>1.07732509956478e-5</v>
      </c>
      <c r="AJ35" s="231">
        <f ca="1" t="shared" si="7"/>
        <v>1.02284724129797e-5</v>
      </c>
      <c r="AK35" s="231">
        <f ca="1" t="shared" si="8"/>
        <v>1.3478723928473e-5</v>
      </c>
      <c r="AL35" s="231">
        <f ca="1" t="shared" si="9"/>
        <v>1.31017641775615e-5</v>
      </c>
      <c r="AN35" s="12">
        <v>394</v>
      </c>
      <c r="AO35" s="231">
        <f ca="1" t="shared" si="10"/>
        <v>0.0377739546565165</v>
      </c>
      <c r="AP35" s="231">
        <f ca="1" t="shared" si="11"/>
        <v>0.00585021791291304</v>
      </c>
      <c r="AQ35" s="231">
        <f ca="1" t="shared" si="12"/>
        <v>0.00582282632882915</v>
      </c>
      <c r="AR35" s="231">
        <f ca="1" t="shared" si="13"/>
        <v>0.00687056559770118</v>
      </c>
      <c r="AS35" s="231">
        <f ca="1" t="shared" si="14"/>
        <v>0.00640384393492235</v>
      </c>
    </row>
    <row r="36" ht="15" hidden="1" customHeight="1" spans="9:45">
      <c r="I36" s="12">
        <v>395</v>
      </c>
      <c r="J36" s="230">
        <v>0.000217</v>
      </c>
      <c r="L36" s="12">
        <v>395</v>
      </c>
      <c r="M36" s="230">
        <v>0.0159515</v>
      </c>
      <c r="N36" s="230">
        <v>0.000964828</v>
      </c>
      <c r="O36" s="230">
        <v>0.00106921</v>
      </c>
      <c r="P36" s="231">
        <v>0.00453</v>
      </c>
      <c r="Q36" s="230">
        <v>0.00588035</v>
      </c>
      <c r="S36" s="12">
        <v>395</v>
      </c>
      <c r="T36" s="230">
        <v>0.0384722866564772</v>
      </c>
      <c r="U36" s="230">
        <v>0.004730052923626</v>
      </c>
      <c r="V36" s="230">
        <v>0.00449297497847968</v>
      </c>
      <c r="W36" s="231">
        <v>0.00598462579295982</v>
      </c>
      <c r="X36" s="230">
        <v>0.00588034761467361</v>
      </c>
      <c r="Z36" s="12">
        <v>395</v>
      </c>
      <c r="AA36" s="230">
        <f ca="1" t="shared" si="0"/>
        <v>0.0384722866564772</v>
      </c>
      <c r="AB36" s="230">
        <f ca="1" t="shared" si="1"/>
        <v>0.004730052923626</v>
      </c>
      <c r="AC36" s="230">
        <f ca="1" t="shared" si="2"/>
        <v>0.00449297497847968</v>
      </c>
      <c r="AD36" s="230">
        <f ca="1" t="shared" si="3"/>
        <v>0.00598462579295982</v>
      </c>
      <c r="AE36" s="230">
        <f ca="1" t="shared" si="4"/>
        <v>0.00588034761467361</v>
      </c>
      <c r="AG36" s="12">
        <v>395</v>
      </c>
      <c r="AH36" s="231">
        <f ca="1" t="shared" si="5"/>
        <v>9.73981940670309e-5</v>
      </c>
      <c r="AI36" s="231">
        <f ca="1" t="shared" si="6"/>
        <v>1.19748175281671e-5</v>
      </c>
      <c r="AJ36" s="231">
        <f ca="1" t="shared" si="7"/>
        <v>1.13746201986827e-5</v>
      </c>
      <c r="AK36" s="231">
        <f ca="1" t="shared" si="8"/>
        <v>1.51509513745818e-5</v>
      </c>
      <c r="AL36" s="231">
        <f ca="1" t="shared" si="9"/>
        <v>1.48869559865155e-5</v>
      </c>
      <c r="AN36" s="12">
        <v>395</v>
      </c>
      <c r="AO36" s="231">
        <f ca="1" t="shared" si="10"/>
        <v>0.0428552053894936</v>
      </c>
      <c r="AP36" s="231">
        <f ca="1" t="shared" si="11"/>
        <v>0.00650270675355558</v>
      </c>
      <c r="AQ36" s="231">
        <f ca="1" t="shared" si="12"/>
        <v>0.00647530103217313</v>
      </c>
      <c r="AR36" s="231">
        <f ca="1" t="shared" si="13"/>
        <v>0.0077229569979358</v>
      </c>
      <c r="AS36" s="231">
        <f ca="1" t="shared" si="14"/>
        <v>0.00727640503306985</v>
      </c>
    </row>
    <row r="37" ht="15" hidden="1" customHeight="1" spans="9:45">
      <c r="I37" s="12">
        <v>396</v>
      </c>
      <c r="J37" s="230">
        <v>0.0002469067</v>
      </c>
      <c r="L37" s="12">
        <v>396</v>
      </c>
      <c r="M37" s="230">
        <v>0.0192347</v>
      </c>
      <c r="N37" s="230">
        <v>0.00116572</v>
      </c>
      <c r="O37" s="230">
        <v>0.0012834</v>
      </c>
      <c r="P37" s="231">
        <v>0.00524</v>
      </c>
      <c r="Q37" s="230">
        <v>0.00669334</v>
      </c>
      <c r="S37" s="12">
        <v>396</v>
      </c>
      <c r="T37" s="230">
        <v>0.0437399215730808</v>
      </c>
      <c r="U37" s="230">
        <v>0.00527125468479953</v>
      </c>
      <c r="V37" s="230">
        <v>0.0050079501824988</v>
      </c>
      <c r="W37" s="231">
        <v>0.00674964606370625</v>
      </c>
      <c r="X37" s="230">
        <v>0.00670461740285898</v>
      </c>
      <c r="Z37" s="12">
        <v>396</v>
      </c>
      <c r="AA37" s="230">
        <f ca="1" t="shared" si="0"/>
        <v>0.0437399215730808</v>
      </c>
      <c r="AB37" s="230">
        <f ca="1" t="shared" si="1"/>
        <v>0.00527125468479953</v>
      </c>
      <c r="AC37" s="230">
        <f ca="1" t="shared" si="2"/>
        <v>0.0050079501824988</v>
      </c>
      <c r="AD37" s="230">
        <f ca="1" t="shared" si="3"/>
        <v>0.00674964606370625</v>
      </c>
      <c r="AE37" s="230">
        <f ca="1" t="shared" si="4"/>
        <v>0.00670461740285898</v>
      </c>
      <c r="AG37" s="12">
        <v>396</v>
      </c>
      <c r="AH37" s="231">
        <f ca="1" t="shared" si="5"/>
        <v>0.00011045434740677</v>
      </c>
      <c r="AI37" s="231">
        <f ca="1" t="shared" si="6"/>
        <v>1.33112492040392e-5</v>
      </c>
      <c r="AJ37" s="231">
        <f ca="1" t="shared" si="7"/>
        <v>1.26463388446939e-5</v>
      </c>
      <c r="AK37" s="231">
        <f ca="1" t="shared" si="8"/>
        <v>1.7044560766935e-5</v>
      </c>
      <c r="AL37" s="231">
        <f ca="1" t="shared" si="9"/>
        <v>1.69308520274217e-5</v>
      </c>
      <c r="AN37" s="12">
        <v>396</v>
      </c>
      <c r="AO37" s="231">
        <f ca="1" t="shared" si="10"/>
        <v>0.0485999128589787</v>
      </c>
      <c r="AP37" s="231">
        <f ca="1" t="shared" si="11"/>
        <v>0.00722843165616205</v>
      </c>
      <c r="AQ37" s="231">
        <f ca="1" t="shared" si="12"/>
        <v>0.00719926024288188</v>
      </c>
      <c r="AR37" s="231">
        <f ca="1" t="shared" si="13"/>
        <v>0.00868819433164973</v>
      </c>
      <c r="AS37" s="231">
        <f ca="1" t="shared" si="14"/>
        <v>0.00827541486775953</v>
      </c>
    </row>
    <row r="38" ht="15" hidden="1" customHeight="1" spans="9:45">
      <c r="I38" s="12">
        <v>397</v>
      </c>
      <c r="J38" s="230">
        <v>0.00028124</v>
      </c>
      <c r="L38" s="12">
        <v>397</v>
      </c>
      <c r="M38" s="230">
        <v>0.0231436</v>
      </c>
      <c r="N38" s="230">
        <v>0.00140263</v>
      </c>
      <c r="O38" s="230">
        <v>0.00153382</v>
      </c>
      <c r="P38" s="231">
        <v>0.00605</v>
      </c>
      <c r="Q38" s="230">
        <v>0.00765102</v>
      </c>
      <c r="S38" s="12">
        <v>397</v>
      </c>
      <c r="T38" s="230">
        <v>0.0497079668459565</v>
      </c>
      <c r="U38" s="230">
        <v>0.00587490705275559</v>
      </c>
      <c r="V38" s="230">
        <v>0.00558072985190752</v>
      </c>
      <c r="W38" s="231">
        <v>0.00761878994576487</v>
      </c>
      <c r="X38" s="230">
        <v>0.00765115499726195</v>
      </c>
      <c r="Z38" s="12">
        <v>397</v>
      </c>
      <c r="AA38" s="230">
        <f ca="1" t="shared" si="0"/>
        <v>0.0497079668459565</v>
      </c>
      <c r="AB38" s="230">
        <f ca="1" t="shared" si="1"/>
        <v>0.00587490705275559</v>
      </c>
      <c r="AC38" s="230">
        <f ca="1" t="shared" si="2"/>
        <v>0.00558072985190752</v>
      </c>
      <c r="AD38" s="230">
        <f ca="1" t="shared" si="3"/>
        <v>0.00761878994576487</v>
      </c>
      <c r="AE38" s="230">
        <f ca="1" t="shared" si="4"/>
        <v>0.00765115499726195</v>
      </c>
      <c r="AG38" s="12">
        <v>397</v>
      </c>
      <c r="AH38" s="231">
        <f ca="1" t="shared" si="5"/>
        <v>0.000125208984498631</v>
      </c>
      <c r="AI38" s="231">
        <f ca="1" t="shared" si="6"/>
        <v>1.47982545409461e-5</v>
      </c>
      <c r="AJ38" s="231">
        <f ca="1" t="shared" si="7"/>
        <v>1.40572540350315e-5</v>
      </c>
      <c r="AK38" s="231">
        <f ca="1" t="shared" si="8"/>
        <v>1.91909066643951e-5</v>
      </c>
      <c r="AL38" s="231">
        <f ca="1" t="shared" si="9"/>
        <v>1.92724307235817e-5</v>
      </c>
      <c r="AN38" s="12">
        <v>397</v>
      </c>
      <c r="AO38" s="231">
        <f ca="1" t="shared" si="10"/>
        <v>0.0550919531793976</v>
      </c>
      <c r="AP38" s="231">
        <f ca="1" t="shared" si="11"/>
        <v>0.00803592284541256</v>
      </c>
      <c r="AQ38" s="231">
        <f ca="1" t="shared" si="12"/>
        <v>0.00800246073913755</v>
      </c>
      <c r="AR38" s="231">
        <f ca="1" t="shared" si="13"/>
        <v>0.00978226008758568</v>
      </c>
      <c r="AS38" s="231">
        <f ca="1" t="shared" si="14"/>
        <v>0.00941992520456052</v>
      </c>
    </row>
    <row r="39" ht="15" hidden="1" customHeight="1" spans="9:45">
      <c r="I39" s="12">
        <v>398</v>
      </c>
      <c r="J39" s="230">
        <v>0.00031852</v>
      </c>
      <c r="L39" s="12">
        <v>398</v>
      </c>
      <c r="M39" s="230">
        <v>0.027775</v>
      </c>
      <c r="N39" s="230">
        <v>0.00167992</v>
      </c>
      <c r="O39" s="230">
        <v>0.00182443</v>
      </c>
      <c r="P39" s="231">
        <v>0.00698</v>
      </c>
      <c r="Q39" s="230">
        <v>0.00875694</v>
      </c>
      <c r="S39" s="12">
        <v>398</v>
      </c>
      <c r="T39" s="230">
        <v>0.0564662569415647</v>
      </c>
      <c r="U39" s="230">
        <v>0.00654850253544234</v>
      </c>
      <c r="V39" s="230">
        <v>0.006217703381839</v>
      </c>
      <c r="W39" s="231">
        <v>0.00860716245322773</v>
      </c>
      <c r="X39" s="230">
        <v>0.00873878390239837</v>
      </c>
      <c r="Z39" s="12">
        <v>398</v>
      </c>
      <c r="AA39" s="230">
        <f ca="1" t="shared" si="0"/>
        <v>0.0564662569415647</v>
      </c>
      <c r="AB39" s="230">
        <f ca="1" t="shared" si="1"/>
        <v>0.00654850253544234</v>
      </c>
      <c r="AC39" s="230">
        <f ca="1" t="shared" si="2"/>
        <v>0.006217703381839</v>
      </c>
      <c r="AD39" s="230">
        <f ca="1" t="shared" si="3"/>
        <v>0.00860716245322773</v>
      </c>
      <c r="AE39" s="230">
        <f ca="1" t="shared" si="4"/>
        <v>0.00873878390239837</v>
      </c>
      <c r="AG39" s="12">
        <v>398</v>
      </c>
      <c r="AH39" s="231">
        <f ca="1" t="shared" si="5"/>
        <v>0.000141875017441117</v>
      </c>
      <c r="AI39" s="231">
        <f ca="1" t="shared" si="6"/>
        <v>1.64535239583978e-5</v>
      </c>
      <c r="AJ39" s="231">
        <f ca="1" t="shared" si="7"/>
        <v>1.56223703061281e-5</v>
      </c>
      <c r="AK39" s="231">
        <f ca="1" t="shared" si="8"/>
        <v>2.16260363146425e-5</v>
      </c>
      <c r="AL39" s="231">
        <f ca="1" t="shared" si="9"/>
        <v>2.19567434733627e-5</v>
      </c>
      <c r="AN39" s="12">
        <v>398</v>
      </c>
      <c r="AO39" s="231">
        <f ca="1" t="shared" si="10"/>
        <v>0.0624250076740916</v>
      </c>
      <c r="AP39" s="231">
        <f ca="1" t="shared" si="11"/>
        <v>0.00893478678171048</v>
      </c>
      <c r="AQ39" s="231">
        <f ca="1" t="shared" si="12"/>
        <v>0.00889344424704197</v>
      </c>
      <c r="AR39" s="231">
        <f ca="1" t="shared" si="13"/>
        <v>0.0110235287781321</v>
      </c>
      <c r="AS39" s="231">
        <f ca="1" t="shared" si="14"/>
        <v>0.0107319561409408</v>
      </c>
    </row>
    <row r="40" ht="15" hidden="1" customHeight="1" spans="9:45">
      <c r="I40" s="12">
        <v>399</v>
      </c>
      <c r="J40" s="230">
        <v>0.0003572667</v>
      </c>
      <c r="L40" s="12">
        <v>399</v>
      </c>
      <c r="M40" s="230">
        <v>0.0332339</v>
      </c>
      <c r="N40" s="230">
        <v>0.0020018</v>
      </c>
      <c r="O40" s="230">
        <v>0.00215896</v>
      </c>
      <c r="P40" s="231">
        <v>0.00806</v>
      </c>
      <c r="Q40" s="230">
        <v>0.0100146</v>
      </c>
      <c r="S40" s="12">
        <v>399</v>
      </c>
      <c r="T40" s="230">
        <v>0.0641159379603269</v>
      </c>
      <c r="U40" s="230">
        <v>0.00730047301493445</v>
      </c>
      <c r="V40" s="230">
        <v>0.00692600817777325</v>
      </c>
      <c r="W40" s="231">
        <v>0.00973210979773522</v>
      </c>
      <c r="X40" s="230">
        <v>0.00998925270697228</v>
      </c>
      <c r="Z40" s="12">
        <v>399</v>
      </c>
      <c r="AA40" s="230">
        <f ca="1" t="shared" si="0"/>
        <v>0.0641159379603269</v>
      </c>
      <c r="AB40" s="230">
        <f ca="1" t="shared" si="1"/>
        <v>0.00730047301493445</v>
      </c>
      <c r="AC40" s="230">
        <f ca="1" t="shared" si="2"/>
        <v>0.00692600817777325</v>
      </c>
      <c r="AD40" s="230">
        <f ca="1" t="shared" si="3"/>
        <v>0.00973210979773522</v>
      </c>
      <c r="AE40" s="230">
        <f ca="1" t="shared" si="4"/>
        <v>0.00998925270697228</v>
      </c>
      <c r="AG40" s="12">
        <v>399</v>
      </c>
      <c r="AH40" s="231">
        <f ca="1" t="shared" si="5"/>
        <v>0.000160691573835406</v>
      </c>
      <c r="AI40" s="231">
        <f ca="1" t="shared" si="6"/>
        <v>1.82969248494598e-5</v>
      </c>
      <c r="AJ40" s="231">
        <f ca="1" t="shared" si="7"/>
        <v>1.73584164856472e-5</v>
      </c>
      <c r="AK40" s="231">
        <f ca="1" t="shared" si="8"/>
        <v>2.43912526259028e-5</v>
      </c>
      <c r="AL40" s="231">
        <f ca="1" t="shared" si="9"/>
        <v>2.5035721070106e-5</v>
      </c>
      <c r="AN40" s="12">
        <v>399</v>
      </c>
      <c r="AO40" s="231">
        <f ca="1" t="shared" si="10"/>
        <v>0.0707042924875785</v>
      </c>
      <c r="AP40" s="231">
        <f ca="1" t="shared" si="11"/>
        <v>0.00993581209133402</v>
      </c>
      <c r="AQ40" s="231">
        <f ca="1" t="shared" si="12"/>
        <v>0.00988173409072766</v>
      </c>
      <c r="AR40" s="231">
        <f ca="1" t="shared" si="13"/>
        <v>0.0124330539052261</v>
      </c>
      <c r="AS40" s="231">
        <f ca="1" t="shared" si="14"/>
        <v>0.0122368902659523</v>
      </c>
    </row>
    <row r="41" ht="15" hidden="1" customHeight="1" spans="9:45">
      <c r="I41" s="12">
        <v>400</v>
      </c>
      <c r="J41" s="230">
        <v>0.000396</v>
      </c>
      <c r="L41" s="12">
        <v>400</v>
      </c>
      <c r="M41" s="230">
        <v>0.0396308</v>
      </c>
      <c r="N41" s="230">
        <v>0.00237208</v>
      </c>
      <c r="O41" s="230">
        <v>0.00254073</v>
      </c>
      <c r="P41" s="231">
        <v>0.00929</v>
      </c>
      <c r="Q41" s="230">
        <v>0.0114277</v>
      </c>
      <c r="S41" s="12">
        <v>400</v>
      </c>
      <c r="T41" s="230">
        <v>0.0727706074174964</v>
      </c>
      <c r="U41" s="230">
        <v>0.00814034853641646</v>
      </c>
      <c r="V41" s="230">
        <v>0.00771358021155828</v>
      </c>
      <c r="W41" s="231">
        <v>0.0110136684865981</v>
      </c>
      <c r="X41" s="230">
        <v>0.0114277044532327</v>
      </c>
      <c r="Z41" s="12">
        <v>400</v>
      </c>
      <c r="AA41" s="230">
        <f ca="1" t="shared" si="0"/>
        <v>0.0727706074174964</v>
      </c>
      <c r="AB41" s="230">
        <f ca="1" t="shared" si="1"/>
        <v>0.00814034853641646</v>
      </c>
      <c r="AC41" s="230">
        <f ca="1" t="shared" si="2"/>
        <v>0.00771358021155828</v>
      </c>
      <c r="AD41" s="230">
        <f ca="1" t="shared" si="3"/>
        <v>0.0110136684865981</v>
      </c>
      <c r="AE41" s="230">
        <f ca="1" t="shared" si="4"/>
        <v>0.0114277044532327</v>
      </c>
      <c r="AG41" s="12">
        <v>400</v>
      </c>
      <c r="AH41" s="231">
        <f ca="1" t="shared" si="5"/>
        <v>0.000181926518543741</v>
      </c>
      <c r="AI41" s="231">
        <f ca="1" t="shared" si="6"/>
        <v>2.03508713410411e-5</v>
      </c>
      <c r="AJ41" s="231">
        <f ca="1" t="shared" si="7"/>
        <v>1.92839505288957e-5</v>
      </c>
      <c r="AK41" s="231">
        <f ca="1" t="shared" si="8"/>
        <v>2.75341712164952e-5</v>
      </c>
      <c r="AL41" s="231">
        <f ca="1" t="shared" si="9"/>
        <v>2.85692611330817e-5</v>
      </c>
      <c r="AN41" s="12">
        <v>400</v>
      </c>
      <c r="AO41" s="231">
        <f ca="1" t="shared" si="10"/>
        <v>0.080047668159246</v>
      </c>
      <c r="AP41" s="231">
        <f ca="1" t="shared" si="11"/>
        <v>0.0110511703580326</v>
      </c>
      <c r="AQ41" s="231">
        <f ca="1" t="shared" si="12"/>
        <v>0.0109778948732367</v>
      </c>
      <c r="AR41" s="231">
        <f ca="1" t="shared" si="13"/>
        <v>0.0140351067745845</v>
      </c>
      <c r="AS41" s="231">
        <f ca="1" t="shared" si="14"/>
        <v>0.0139640041717152</v>
      </c>
    </row>
    <row r="42" ht="15" hidden="1" customHeight="1" spans="9:45">
      <c r="I42" s="12">
        <v>401</v>
      </c>
      <c r="J42" s="230">
        <v>0.0004337147</v>
      </c>
      <c r="L42" s="12">
        <v>401</v>
      </c>
      <c r="M42" s="230">
        <v>0.0470801</v>
      </c>
      <c r="N42" s="230">
        <v>0.00279433</v>
      </c>
      <c r="O42" s="230">
        <v>0.00297282</v>
      </c>
      <c r="P42" s="232">
        <v>0.0107</v>
      </c>
      <c r="Q42" s="230">
        <v>0.0130767</v>
      </c>
      <c r="S42" s="12">
        <v>401</v>
      </c>
      <c r="T42" s="230">
        <v>0.0826909535459028</v>
      </c>
      <c r="U42" s="230">
        <v>0.00909358226514462</v>
      </c>
      <c r="V42" s="230">
        <v>0.00860312038295017</v>
      </c>
      <c r="W42" s="232">
        <v>0.0124950212771051</v>
      </c>
      <c r="X42" s="230">
        <v>0.0131042448744028</v>
      </c>
      <c r="Z42" s="12">
        <v>401</v>
      </c>
      <c r="AA42" s="230">
        <f ca="1" t="shared" si="0"/>
        <v>0.0826909535459028</v>
      </c>
      <c r="AB42" s="230">
        <f ca="1" t="shared" si="1"/>
        <v>0.00909358226514462</v>
      </c>
      <c r="AC42" s="230">
        <f ca="1" t="shared" si="2"/>
        <v>0.00860312038295017</v>
      </c>
      <c r="AD42" s="230">
        <f ca="1" t="shared" si="3"/>
        <v>0.0124950212771051</v>
      </c>
      <c r="AE42" s="230">
        <f ca="1" t="shared" si="4"/>
        <v>0.0131042448744028</v>
      </c>
      <c r="AG42" s="12">
        <v>401</v>
      </c>
      <c r="AH42" s="231">
        <f ca="1" t="shared" si="5"/>
        <v>0.000206211854229184</v>
      </c>
      <c r="AI42" s="231">
        <f ca="1" t="shared" si="6"/>
        <v>2.26772625065951e-5</v>
      </c>
      <c r="AJ42" s="231">
        <f ca="1" t="shared" si="7"/>
        <v>2.14541655435166e-5</v>
      </c>
      <c r="AK42" s="231">
        <f ca="1" t="shared" si="8"/>
        <v>3.11596540576187e-5</v>
      </c>
      <c r="AL42" s="231">
        <f ca="1" t="shared" si="9"/>
        <v>3.26789148987601e-5</v>
      </c>
      <c r="AN42" s="12">
        <v>401</v>
      </c>
      <c r="AO42" s="231">
        <f ca="1" t="shared" si="10"/>
        <v>0.090733215860841</v>
      </c>
      <c r="AP42" s="231">
        <f ca="1" t="shared" si="11"/>
        <v>0.0123144747472707</v>
      </c>
      <c r="AQ42" s="231">
        <f ca="1" t="shared" si="12"/>
        <v>0.0122133467194302</v>
      </c>
      <c r="AR42" s="231">
        <f ca="1" t="shared" si="13"/>
        <v>0.0158831391117303</v>
      </c>
      <c r="AS42" s="231">
        <f ca="1" t="shared" si="14"/>
        <v>0.0159727093342644</v>
      </c>
    </row>
    <row r="43" ht="15" hidden="1" customHeight="1" spans="9:45">
      <c r="I43" s="12">
        <v>402</v>
      </c>
      <c r="J43" s="230">
        <v>0.000473024</v>
      </c>
      <c r="L43" s="12">
        <v>402</v>
      </c>
      <c r="M43" s="230">
        <v>0.0557012</v>
      </c>
      <c r="N43" s="230">
        <v>0.00327374</v>
      </c>
      <c r="O43" s="230">
        <v>0.00345993</v>
      </c>
      <c r="P43" s="232">
        <v>0.01231</v>
      </c>
      <c r="Q43" s="230">
        <v>0.0150397</v>
      </c>
      <c r="S43" s="12">
        <v>402</v>
      </c>
      <c r="T43" s="230">
        <v>0.0939227932609533</v>
      </c>
      <c r="U43" s="230">
        <v>0.010161106423018</v>
      </c>
      <c r="V43" s="230">
        <v>0.00959376331706157</v>
      </c>
      <c r="W43" s="232">
        <v>0.0141879941261042</v>
      </c>
      <c r="X43" s="230">
        <v>0.0150375124530034</v>
      </c>
      <c r="Z43" s="12">
        <v>402</v>
      </c>
      <c r="AA43" s="230">
        <f ca="1" t="shared" si="0"/>
        <v>0.0939227932609533</v>
      </c>
      <c r="AB43" s="230">
        <f ca="1" t="shared" si="1"/>
        <v>0.010161106423018</v>
      </c>
      <c r="AC43" s="230">
        <f ca="1" t="shared" si="2"/>
        <v>0.00959376331706157</v>
      </c>
      <c r="AD43" s="230">
        <f ca="1" t="shared" si="3"/>
        <v>0.0141879941261042</v>
      </c>
      <c r="AE43" s="230">
        <f ca="1" t="shared" si="4"/>
        <v>0.0150375124530034</v>
      </c>
      <c r="AG43" s="12">
        <v>402</v>
      </c>
      <c r="AH43" s="231">
        <f ca="1" t="shared" si="5"/>
        <v>0.000233638789206352</v>
      </c>
      <c r="AI43" s="231">
        <f ca="1" t="shared" si="6"/>
        <v>2.52763841368607e-5</v>
      </c>
      <c r="AJ43" s="231">
        <f ca="1" t="shared" si="7"/>
        <v>2.38650828782626e-5</v>
      </c>
      <c r="AK43" s="231">
        <f ca="1" t="shared" si="8"/>
        <v>3.52935177266274e-5</v>
      </c>
      <c r="AL43" s="231">
        <f ca="1" t="shared" si="9"/>
        <v>3.74067473955308e-5</v>
      </c>
      <c r="AN43" s="12">
        <v>402</v>
      </c>
      <c r="AO43" s="231">
        <f ca="1" t="shared" si="10"/>
        <v>0.102801067250795</v>
      </c>
      <c r="AP43" s="231">
        <f ca="1" t="shared" si="11"/>
        <v>0.0137258804525089</v>
      </c>
      <c r="AQ43" s="231">
        <f ca="1" t="shared" si="12"/>
        <v>0.0135858246776809</v>
      </c>
      <c r="AR43" s="231">
        <f ca="1" t="shared" si="13"/>
        <v>0.0179903105072272</v>
      </c>
      <c r="AS43" s="231">
        <f ca="1" t="shared" si="14"/>
        <v>0.0182835661814382</v>
      </c>
    </row>
    <row r="44" ht="15" hidden="1" customHeight="1" spans="9:45">
      <c r="I44" s="12">
        <v>403</v>
      </c>
      <c r="J44" s="230">
        <v>0.000517876</v>
      </c>
      <c r="L44" s="12">
        <v>403</v>
      </c>
      <c r="M44" s="230">
        <v>0.0656137</v>
      </c>
      <c r="N44" s="230">
        <v>0.0038166</v>
      </c>
      <c r="O44" s="230">
        <v>0.00400793</v>
      </c>
      <c r="P44" s="232">
        <v>0.01413</v>
      </c>
      <c r="Q44" s="230">
        <v>0.0173166</v>
      </c>
      <c r="S44" s="12">
        <v>403</v>
      </c>
      <c r="T44" s="230">
        <v>0.106633336926835</v>
      </c>
      <c r="U44" s="230">
        <v>0.0113574020499152</v>
      </c>
      <c r="V44" s="230">
        <v>0.0106969754726217</v>
      </c>
      <c r="W44" s="232">
        <v>0.0161243048338514</v>
      </c>
      <c r="X44" s="230">
        <v>0.0172676008044059</v>
      </c>
      <c r="Z44" s="12">
        <v>403</v>
      </c>
      <c r="AA44" s="230">
        <f ca="1" t="shared" si="0"/>
        <v>0.106633336926835</v>
      </c>
      <c r="AB44" s="230">
        <f ca="1" t="shared" si="1"/>
        <v>0.0113574020499152</v>
      </c>
      <c r="AC44" s="230">
        <f ca="1" t="shared" si="2"/>
        <v>0.0106969754726217</v>
      </c>
      <c r="AD44" s="230">
        <f ca="1" t="shared" si="3"/>
        <v>0.0161243048338514</v>
      </c>
      <c r="AE44" s="230">
        <f ca="1" t="shared" si="4"/>
        <v>0.0172676008044059</v>
      </c>
      <c r="AG44" s="12">
        <v>403</v>
      </c>
      <c r="AH44" s="231">
        <f ca="1" t="shared" si="5"/>
        <v>0.000264598850935074</v>
      </c>
      <c r="AI44" s="231">
        <f ca="1" t="shared" si="6"/>
        <v>2.81821390816754e-5</v>
      </c>
      <c r="AJ44" s="231">
        <f ca="1" t="shared" si="7"/>
        <v>2.6543363455637e-5</v>
      </c>
      <c r="AK44" s="231">
        <f ca="1" t="shared" si="8"/>
        <v>4.00106819698546e-5</v>
      </c>
      <c r="AL44" s="231">
        <f ca="1" t="shared" si="9"/>
        <v>4.28476446759452e-5</v>
      </c>
      <c r="AN44" s="12">
        <v>403</v>
      </c>
      <c r="AO44" s="231">
        <f ca="1" t="shared" si="10"/>
        <v>0.116423494411433</v>
      </c>
      <c r="AP44" s="231">
        <f ca="1" t="shared" si="11"/>
        <v>0.0153037977994228</v>
      </c>
      <c r="AQ44" s="231">
        <f ca="1" t="shared" si="12"/>
        <v>0.0151105061777392</v>
      </c>
      <c r="AR44" s="231">
        <f ca="1" t="shared" si="13"/>
        <v>0.020394810112695</v>
      </c>
      <c r="AS44" s="231">
        <f ca="1" t="shared" si="14"/>
        <v>0.0209429528546764</v>
      </c>
    </row>
    <row r="45" ht="15" hidden="1" customHeight="1" spans="9:45">
      <c r="I45" s="12">
        <v>404</v>
      </c>
      <c r="J45" s="230">
        <v>0.0005722187</v>
      </c>
      <c r="L45" s="12">
        <v>404</v>
      </c>
      <c r="M45" s="230">
        <v>0.0769323</v>
      </c>
      <c r="N45" s="230">
        <v>0.00443021</v>
      </c>
      <c r="O45" s="230">
        <v>0.0046237</v>
      </c>
      <c r="P45" s="232">
        <v>0.01619</v>
      </c>
      <c r="Q45" s="230">
        <v>0.0199071</v>
      </c>
      <c r="S45" s="12">
        <v>404</v>
      </c>
      <c r="T45" s="230">
        <v>0.12101048456557</v>
      </c>
      <c r="U45" s="230">
        <v>0.0126988969803743</v>
      </c>
      <c r="V45" s="230">
        <v>0.0119255934520382</v>
      </c>
      <c r="W45" s="232">
        <v>0.0183406616904664</v>
      </c>
      <c r="X45" s="230">
        <v>0.0198409745481462</v>
      </c>
      <c r="Z45" s="12">
        <v>404</v>
      </c>
      <c r="AA45" s="230">
        <f ca="1" t="shared" si="0"/>
        <v>0.12101048456557</v>
      </c>
      <c r="AB45" s="230">
        <f ca="1" t="shared" si="1"/>
        <v>0.0126988969803743</v>
      </c>
      <c r="AC45" s="230">
        <f ca="1" t="shared" si="2"/>
        <v>0.0119255934520382</v>
      </c>
      <c r="AD45" s="230">
        <f ca="1" t="shared" si="3"/>
        <v>0.0183406616904664</v>
      </c>
      <c r="AE45" s="230">
        <f ca="1" t="shared" si="4"/>
        <v>0.0198409745481462</v>
      </c>
      <c r="AG45" s="12">
        <v>404</v>
      </c>
      <c r="AH45" s="231">
        <f ca="1" t="shared" si="5"/>
        <v>0.000299530902390025</v>
      </c>
      <c r="AI45" s="231">
        <f ca="1" t="shared" si="6"/>
        <v>3.14329133177582e-5</v>
      </c>
      <c r="AJ45" s="231">
        <f ca="1" t="shared" si="7"/>
        <v>2.95187956733619e-5</v>
      </c>
      <c r="AK45" s="231">
        <f ca="1" t="shared" si="8"/>
        <v>4.53976774516495e-5</v>
      </c>
      <c r="AL45" s="231">
        <f ca="1" t="shared" si="9"/>
        <v>4.91113231389757e-5</v>
      </c>
      <c r="AN45" s="12">
        <v>404</v>
      </c>
      <c r="AO45" s="231">
        <f ca="1" t="shared" si="10"/>
        <v>0.131793597051611</v>
      </c>
      <c r="AP45" s="231">
        <f ca="1" t="shared" si="11"/>
        <v>0.0170690715941623</v>
      </c>
      <c r="AQ45" s="231">
        <f ca="1" t="shared" si="12"/>
        <v>0.0168043490466929</v>
      </c>
      <c r="AR45" s="231">
        <f ca="1" t="shared" si="13"/>
        <v>0.0231407455609319</v>
      </c>
      <c r="AS45" s="231">
        <f ca="1" t="shared" si="14"/>
        <v>0.0240044962309859</v>
      </c>
    </row>
    <row r="46" ht="15" hidden="1" customHeight="1" spans="9:45">
      <c r="I46" s="12">
        <v>405</v>
      </c>
      <c r="J46" s="230">
        <v>0.00064</v>
      </c>
      <c r="L46" s="12">
        <v>405</v>
      </c>
      <c r="M46" s="230">
        <v>0.0897612</v>
      </c>
      <c r="N46" s="230">
        <v>0.00512316</v>
      </c>
      <c r="O46" s="230">
        <v>0.00531546</v>
      </c>
      <c r="P46" s="232">
        <v>0.01852</v>
      </c>
      <c r="Q46" s="230">
        <v>0.0228112</v>
      </c>
      <c r="S46" s="12">
        <v>405</v>
      </c>
      <c r="T46" s="230">
        <v>0.137265374724352</v>
      </c>
      <c r="U46" s="230">
        <v>0.0142042399447609</v>
      </c>
      <c r="V46" s="230">
        <v>0.0132939487445998</v>
      </c>
      <c r="W46" s="232">
        <v>0.0208792550772402</v>
      </c>
      <c r="X46" s="230">
        <v>0.0228112455779001</v>
      </c>
      <c r="Z46" s="12">
        <v>405</v>
      </c>
      <c r="AA46" s="230">
        <f ca="1" t="shared" si="0"/>
        <v>0.137265374724352</v>
      </c>
      <c r="AB46" s="230">
        <f ca="1" t="shared" si="1"/>
        <v>0.0142042399447609</v>
      </c>
      <c r="AC46" s="230">
        <f ca="1" t="shared" si="2"/>
        <v>0.0132939487445998</v>
      </c>
      <c r="AD46" s="230">
        <f ca="1" t="shared" si="3"/>
        <v>0.0208792550772402</v>
      </c>
      <c r="AE46" s="230">
        <f ca="1" t="shared" si="4"/>
        <v>0.0228112455779001</v>
      </c>
      <c r="AG46" s="12">
        <v>405</v>
      </c>
      <c r="AH46" s="231">
        <f ca="1" t="shared" si="5"/>
        <v>0.000338926851171239</v>
      </c>
      <c r="AI46" s="231">
        <f ca="1" t="shared" si="6"/>
        <v>3.50721973944714e-5</v>
      </c>
      <c r="AJ46" s="231">
        <f ca="1" t="shared" si="7"/>
        <v>3.2824564801481e-5</v>
      </c>
      <c r="AK46" s="231">
        <f ca="1" t="shared" si="8"/>
        <v>5.15537162400993e-5</v>
      </c>
      <c r="AL46" s="231">
        <f ca="1" t="shared" si="9"/>
        <v>5.63240631553089e-5</v>
      </c>
      <c r="AN46" s="12">
        <v>405</v>
      </c>
      <c r="AO46" s="231">
        <f ca="1" t="shared" si="10"/>
        <v>0.149127814515345</v>
      </c>
      <c r="AP46" s="231">
        <f ca="1" t="shared" si="11"/>
        <v>0.0190453185881632</v>
      </c>
      <c r="AQ46" s="231">
        <f ca="1" t="shared" si="12"/>
        <v>0.0186862448703367</v>
      </c>
      <c r="AR46" s="231">
        <f ca="1" t="shared" si="13"/>
        <v>0.0262786886290208</v>
      </c>
      <c r="AS46" s="231">
        <f ca="1" t="shared" si="14"/>
        <v>0.0275299192794996</v>
      </c>
    </row>
    <row r="47" ht="15" hidden="1" customHeight="1" spans="9:45">
      <c r="I47" s="12">
        <v>406</v>
      </c>
      <c r="J47" s="230">
        <v>0.00072456</v>
      </c>
      <c r="L47" s="12">
        <v>406</v>
      </c>
      <c r="M47" s="230">
        <v>0.104188</v>
      </c>
      <c r="N47" s="230">
        <v>0.00590458</v>
      </c>
      <c r="O47" s="230">
        <v>0.00609138</v>
      </c>
      <c r="P47" s="232">
        <v>0.02113</v>
      </c>
      <c r="Q47" s="230">
        <v>0.0263194</v>
      </c>
      <c r="S47" s="12">
        <v>406</v>
      </c>
      <c r="T47" s="230">
        <v>0.155633469792504</v>
      </c>
      <c r="U47" s="230">
        <v>0.0158947243250994</v>
      </c>
      <c r="V47" s="230">
        <v>0.0148180480936326</v>
      </c>
      <c r="W47" s="232">
        <v>0.0237889350182122</v>
      </c>
      <c r="X47" s="230">
        <v>0.0262403727505034</v>
      </c>
      <c r="Z47" s="12">
        <v>406</v>
      </c>
      <c r="AA47" s="230">
        <f ca="1" t="shared" si="0"/>
        <v>0.155633469792504</v>
      </c>
      <c r="AB47" s="230">
        <f ca="1" t="shared" si="1"/>
        <v>0.0158947243250994</v>
      </c>
      <c r="AC47" s="230">
        <f ca="1" t="shared" si="2"/>
        <v>0.0148180480936326</v>
      </c>
      <c r="AD47" s="230">
        <f ca="1" t="shared" si="3"/>
        <v>0.0237889350182122</v>
      </c>
      <c r="AE47" s="230">
        <f ca="1" t="shared" si="4"/>
        <v>0.0262403727505034</v>
      </c>
      <c r="AG47" s="12">
        <v>406</v>
      </c>
      <c r="AH47" s="231">
        <f ca="1" t="shared" si="5"/>
        <v>0.000383333669439665</v>
      </c>
      <c r="AI47" s="231">
        <f ca="1" t="shared" si="6"/>
        <v>3.91495673032005e-5</v>
      </c>
      <c r="AJ47" s="231">
        <f ca="1" t="shared" si="7"/>
        <v>3.6497655403036e-5</v>
      </c>
      <c r="AK47" s="231">
        <f ca="1" t="shared" si="8"/>
        <v>5.85934360054488e-5</v>
      </c>
      <c r="AL47" s="231">
        <f ca="1" t="shared" si="9"/>
        <v>6.46314599766094e-5</v>
      </c>
      <c r="AN47" s="12">
        <v>406</v>
      </c>
      <c r="AO47" s="231">
        <f ca="1" t="shared" si="10"/>
        <v>0.168666814553453</v>
      </c>
      <c r="AP47" s="231">
        <f ca="1" t="shared" si="11"/>
        <v>0.0212594601214159</v>
      </c>
      <c r="AQ47" s="231">
        <f ca="1" t="shared" si="12"/>
        <v>0.0207772480817027</v>
      </c>
      <c r="AR47" s="231">
        <f ca="1" t="shared" si="13"/>
        <v>0.0298670740499208</v>
      </c>
      <c r="AS47" s="231">
        <f ca="1" t="shared" si="14"/>
        <v>0.0315903856432728</v>
      </c>
    </row>
    <row r="48" ht="15" hidden="1" customHeight="1" spans="9:45">
      <c r="I48" s="12">
        <v>407</v>
      </c>
      <c r="J48" s="230">
        <v>0.0008255</v>
      </c>
      <c r="L48" s="12">
        <v>407</v>
      </c>
      <c r="M48" s="230">
        <v>0.120273</v>
      </c>
      <c r="N48" s="230">
        <v>0.00678005</v>
      </c>
      <c r="O48" s="230">
        <v>0.00695291</v>
      </c>
      <c r="P48" s="232">
        <v>0.02405</v>
      </c>
      <c r="Q48" s="230">
        <v>0.0305964</v>
      </c>
      <c r="S48" s="12">
        <v>407</v>
      </c>
      <c r="T48" s="230">
        <v>0.176380268749783</v>
      </c>
      <c r="U48" s="230">
        <v>0.0177946315471692</v>
      </c>
      <c r="V48" s="230">
        <v>0.0165158526666848</v>
      </c>
      <c r="W48" s="232">
        <v>0.0271258902320326</v>
      </c>
      <c r="X48" s="230">
        <v>0.0302000735048089</v>
      </c>
      <c r="Z48" s="12">
        <v>407</v>
      </c>
      <c r="AA48" s="230">
        <f ca="1" t="shared" si="0"/>
        <v>0.176380268749783</v>
      </c>
      <c r="AB48" s="230">
        <f ca="1" t="shared" si="1"/>
        <v>0.0177946315471692</v>
      </c>
      <c r="AC48" s="230">
        <f ca="1" t="shared" si="2"/>
        <v>0.0165158526666848</v>
      </c>
      <c r="AD48" s="230">
        <f ca="1" t="shared" si="3"/>
        <v>0.0271258902320326</v>
      </c>
      <c r="AE48" s="230">
        <f ca="1" t="shared" si="4"/>
        <v>0.0302000735048089</v>
      </c>
      <c r="AG48" s="12">
        <v>407</v>
      </c>
      <c r="AH48" s="231">
        <f ca="1" t="shared" si="5"/>
        <v>0.000433366753684971</v>
      </c>
      <c r="AI48" s="231">
        <f ca="1" t="shared" si="6"/>
        <v>4.37214534328482e-5</v>
      </c>
      <c r="AJ48" s="231">
        <f ca="1" t="shared" si="7"/>
        <v>4.05794905815351e-5</v>
      </c>
      <c r="AK48" s="231">
        <f ca="1" t="shared" si="8"/>
        <v>6.66483789484831e-5</v>
      </c>
      <c r="AL48" s="231">
        <f ca="1" t="shared" si="9"/>
        <v>7.42016548029703e-5</v>
      </c>
      <c r="AN48" s="12">
        <v>407</v>
      </c>
      <c r="AO48" s="231">
        <f ca="1" t="shared" si="10"/>
        <v>0.190681371621387</v>
      </c>
      <c r="AP48" s="231">
        <f ca="1" t="shared" si="11"/>
        <v>0.0237421396897532</v>
      </c>
      <c r="AQ48" s="231">
        <f ca="1" t="shared" si="12"/>
        <v>0.0231009398694564</v>
      </c>
      <c r="AR48" s="231">
        <f ca="1" t="shared" si="13"/>
        <v>0.0339729533727364</v>
      </c>
      <c r="AS48" s="231">
        <f ca="1" t="shared" si="14"/>
        <v>0.0362680789114647</v>
      </c>
    </row>
    <row r="49" ht="15" hidden="1" customHeight="1" spans="9:45">
      <c r="I49" s="12">
        <v>408</v>
      </c>
      <c r="J49" s="230">
        <v>0.00094116</v>
      </c>
      <c r="L49" s="12">
        <v>408</v>
      </c>
      <c r="M49" s="230">
        <v>0.138044</v>
      </c>
      <c r="N49" s="230">
        <v>0.0077526</v>
      </c>
      <c r="O49" s="230">
        <v>0.00789634</v>
      </c>
      <c r="P49" s="232">
        <v>0.0273</v>
      </c>
      <c r="Q49" s="230">
        <v>0.0354538</v>
      </c>
      <c r="S49" s="12">
        <v>408</v>
      </c>
      <c r="T49" s="230">
        <v>0.199801617615831</v>
      </c>
      <c r="U49" s="230">
        <v>0.0199315925243333</v>
      </c>
      <c r="V49" s="230">
        <v>0.018407380935079</v>
      </c>
      <c r="W49" s="232">
        <v>0.0309551562136593</v>
      </c>
      <c r="X49" s="230">
        <v>0.0347729871451758</v>
      </c>
      <c r="Z49" s="12">
        <v>408</v>
      </c>
      <c r="AA49" s="230">
        <f ca="1" t="shared" si="0"/>
        <v>0.199801617615831</v>
      </c>
      <c r="AB49" s="230">
        <f ca="1" t="shared" si="1"/>
        <v>0.0199315925243333</v>
      </c>
      <c r="AC49" s="230">
        <f ca="1" t="shared" si="2"/>
        <v>0.018407380935079</v>
      </c>
      <c r="AD49" s="230">
        <f ca="1" t="shared" si="3"/>
        <v>0.0309551562136593</v>
      </c>
      <c r="AE49" s="230">
        <f ca="1" t="shared" si="4"/>
        <v>0.0347729871451758</v>
      </c>
      <c r="AG49" s="12">
        <v>408</v>
      </c>
      <c r="AH49" s="231">
        <f ca="1" t="shared" si="5"/>
        <v>0.000489709847097625</v>
      </c>
      <c r="AI49" s="231">
        <f ca="1" t="shared" si="6"/>
        <v>4.88519424616012e-5</v>
      </c>
      <c r="AJ49" s="231">
        <f ca="1" t="shared" si="7"/>
        <v>4.51161297428407e-5</v>
      </c>
      <c r="AK49" s="231">
        <f ca="1" t="shared" si="8"/>
        <v>7.58704809158316e-5</v>
      </c>
      <c r="AL49" s="231">
        <f ca="1" t="shared" si="9"/>
        <v>8.52279096695485e-5</v>
      </c>
      <c r="AN49" s="12">
        <v>408</v>
      </c>
      <c r="AO49" s="231">
        <f ca="1" t="shared" si="10"/>
        <v>0.215472332722955</v>
      </c>
      <c r="AP49" s="231">
        <f ca="1" t="shared" si="11"/>
        <v>0.0265281583975824</v>
      </c>
      <c r="AQ49" s="231">
        <f ca="1" t="shared" si="12"/>
        <v>0.0256835407590405</v>
      </c>
      <c r="AR49" s="231">
        <f ca="1" t="shared" si="13"/>
        <v>0.038673773483868</v>
      </c>
      <c r="AS49" s="231">
        <f ca="1" t="shared" si="14"/>
        <v>0.0416574611652817</v>
      </c>
    </row>
    <row r="50" ht="15" hidden="1" customHeight="1" spans="9:45">
      <c r="I50" s="12">
        <v>409</v>
      </c>
      <c r="J50" s="230">
        <v>0.00106988</v>
      </c>
      <c r="L50" s="12">
        <v>409</v>
      </c>
      <c r="M50" s="230">
        <v>0.157485</v>
      </c>
      <c r="N50" s="230">
        <v>0.00882286</v>
      </c>
      <c r="O50" s="230">
        <v>0.008913</v>
      </c>
      <c r="P50" s="232">
        <v>0.03089</v>
      </c>
      <c r="Q50" s="230">
        <v>0.0407028</v>
      </c>
      <c r="S50" s="12">
        <v>409</v>
      </c>
      <c r="T50" s="230">
        <v>0.226228856332481</v>
      </c>
      <c r="U50" s="230">
        <v>0.022337213745233</v>
      </c>
      <c r="V50" s="230">
        <v>0.0205150698501208</v>
      </c>
      <c r="W50" s="232">
        <v>0.035351431129356</v>
      </c>
      <c r="X50" s="230">
        <v>0.0400545631941957</v>
      </c>
      <c r="Z50" s="12">
        <v>409</v>
      </c>
      <c r="AA50" s="230">
        <f ca="1" t="shared" si="0"/>
        <v>0.226228856332481</v>
      </c>
      <c r="AB50" s="230">
        <f ca="1" t="shared" si="1"/>
        <v>0.022337213745233</v>
      </c>
      <c r="AC50" s="230">
        <f ca="1" t="shared" si="2"/>
        <v>0.0205150698501208</v>
      </c>
      <c r="AD50" s="230">
        <f ca="1" t="shared" si="3"/>
        <v>0.035351431129356</v>
      </c>
      <c r="AE50" s="230">
        <f ca="1" t="shared" si="4"/>
        <v>0.0400545631941957</v>
      </c>
      <c r="AG50" s="12">
        <v>409</v>
      </c>
      <c r="AH50" s="231">
        <f ca="1" t="shared" si="5"/>
        <v>0.000553126788098976</v>
      </c>
      <c r="AI50" s="231">
        <f ca="1" t="shared" si="6"/>
        <v>5.4614214536022e-5</v>
      </c>
      <c r="AJ50" s="231">
        <f ca="1" t="shared" si="7"/>
        <v>5.01590949880704e-5</v>
      </c>
      <c r="AK50" s="231">
        <f ca="1" t="shared" si="8"/>
        <v>8.64338169421907e-5</v>
      </c>
      <c r="AL50" s="231">
        <f ca="1" t="shared" si="9"/>
        <v>9.79329173452218e-5</v>
      </c>
      <c r="AN50" s="12">
        <v>409</v>
      </c>
      <c r="AO50" s="231">
        <f ca="1" t="shared" si="10"/>
        <v>0.243375786763549</v>
      </c>
      <c r="AP50" s="231">
        <f ca="1" t="shared" si="11"/>
        <v>0.0296572553918392</v>
      </c>
      <c r="AQ50" s="231">
        <f ca="1" t="shared" si="12"/>
        <v>0.0285543810585197</v>
      </c>
      <c r="AR50" s="231">
        <f ca="1" t="shared" si="13"/>
        <v>0.0440582663694555</v>
      </c>
      <c r="AS50" s="231">
        <f ca="1" t="shared" si="14"/>
        <v>0.0478673795582827</v>
      </c>
    </row>
    <row r="51" ht="15" hidden="1" customHeight="1" spans="9:45">
      <c r="I51" s="12">
        <v>410</v>
      </c>
      <c r="J51" s="230">
        <v>0.00121</v>
      </c>
      <c r="L51" s="12">
        <v>410</v>
      </c>
      <c r="M51" s="230">
        <v>0.17853</v>
      </c>
      <c r="N51" s="230">
        <v>0.00998841</v>
      </c>
      <c r="O51" s="230">
        <v>0.00998835</v>
      </c>
      <c r="P51" s="232">
        <v>0.03484</v>
      </c>
      <c r="Q51" s="230">
        <v>0.046155</v>
      </c>
      <c r="S51" s="12">
        <v>410</v>
      </c>
      <c r="T51" s="230">
        <v>0.256033032438185</v>
      </c>
      <c r="U51" s="230">
        <v>0.0250477661509118</v>
      </c>
      <c r="V51" s="230">
        <v>0.0228642521010198</v>
      </c>
      <c r="W51" s="232">
        <v>0.0404011753705795</v>
      </c>
      <c r="X51" s="230">
        <v>0.0461550260053656</v>
      </c>
      <c r="Z51" s="12">
        <v>410</v>
      </c>
      <c r="AA51" s="230">
        <f ca="1" t="shared" si="0"/>
        <v>0.256033032438185</v>
      </c>
      <c r="AB51" s="230">
        <f ca="1" t="shared" si="1"/>
        <v>0.0250477661509118</v>
      </c>
      <c r="AC51" s="230">
        <f ca="1" t="shared" si="2"/>
        <v>0.0228642521010198</v>
      </c>
      <c r="AD51" s="230">
        <f ca="1" t="shared" si="3"/>
        <v>0.0404011753705795</v>
      </c>
      <c r="AE51" s="230">
        <f ca="1" t="shared" si="4"/>
        <v>0.0461550260053656</v>
      </c>
      <c r="AG51" s="12">
        <v>410</v>
      </c>
      <c r="AH51" s="231">
        <f ca="1" t="shared" si="5"/>
        <v>0.000624470810824841</v>
      </c>
      <c r="AI51" s="231">
        <f ca="1" t="shared" si="6"/>
        <v>6.10921125631995e-5</v>
      </c>
      <c r="AJ51" s="231">
        <f ca="1" t="shared" si="7"/>
        <v>5.57664685390727e-5</v>
      </c>
      <c r="AK51" s="231">
        <f ca="1" t="shared" si="8"/>
        <v>9.85394521233646e-5</v>
      </c>
      <c r="AL51" s="231">
        <f ca="1" t="shared" si="9"/>
        <v>0.000112573234159428</v>
      </c>
      <c r="AN51" s="12">
        <v>410</v>
      </c>
      <c r="AO51" s="231">
        <f ca="1" t="shared" si="10"/>
        <v>0.27476715676293</v>
      </c>
      <c r="AP51" s="231">
        <f ca="1" t="shared" si="11"/>
        <v>0.0331749600375332</v>
      </c>
      <c r="AQ51" s="231">
        <f ca="1" t="shared" si="12"/>
        <v>0.0317465255968306</v>
      </c>
      <c r="AR51" s="231">
        <f ca="1" t="shared" si="13"/>
        <v>0.050228921770921</v>
      </c>
      <c r="AS51" s="231">
        <f ca="1" t="shared" si="14"/>
        <v>0.0550232329811801</v>
      </c>
    </row>
    <row r="52" ht="15" hidden="1" customHeight="1" spans="9:45">
      <c r="I52" s="12">
        <v>411</v>
      </c>
      <c r="J52" s="230">
        <v>0.001362091</v>
      </c>
      <c r="L52" s="12">
        <v>411</v>
      </c>
      <c r="M52" s="230">
        <v>0.201077</v>
      </c>
      <c r="N52" s="230">
        <v>0.0112452</v>
      </c>
      <c r="O52" s="230">
        <v>0.0111054</v>
      </c>
      <c r="P52" s="232">
        <v>0.03916</v>
      </c>
      <c r="Q52" s="230">
        <v>0.0517822</v>
      </c>
      <c r="S52" s="12">
        <v>411</v>
      </c>
      <c r="T52" s="230">
        <v>0.279988375005385</v>
      </c>
      <c r="U52" s="230">
        <v>0.0271692093364479</v>
      </c>
      <c r="V52" s="230">
        <v>0.0246349678594785</v>
      </c>
      <c r="W52" s="232">
        <v>0.0446660965130502</v>
      </c>
      <c r="X52" s="230">
        <v>0.05143076686825</v>
      </c>
      <c r="Z52" s="12">
        <v>411</v>
      </c>
      <c r="AA52" s="230">
        <f ca="1" t="shared" si="0"/>
        <v>0.279988375005385</v>
      </c>
      <c r="AB52" s="230">
        <f ca="1" t="shared" si="1"/>
        <v>0.0271692093364479</v>
      </c>
      <c r="AC52" s="230">
        <f ca="1" t="shared" si="2"/>
        <v>0.0246349678594785</v>
      </c>
      <c r="AD52" s="230">
        <f ca="1" t="shared" si="3"/>
        <v>0.0446660965130502</v>
      </c>
      <c r="AE52" s="230">
        <f ca="1" t="shared" si="4"/>
        <v>0.05143076686825</v>
      </c>
      <c r="AG52" s="12">
        <v>411</v>
      </c>
      <c r="AH52" s="231">
        <f ca="1" t="shared" si="5"/>
        <v>0.000681236922154221</v>
      </c>
      <c r="AI52" s="231">
        <f ca="1" t="shared" si="6"/>
        <v>6.61051322054693e-5</v>
      </c>
      <c r="AJ52" s="231">
        <f ca="1" t="shared" si="7"/>
        <v>5.99390945486095e-5</v>
      </c>
      <c r="AK52" s="231">
        <f ca="1" t="shared" si="8"/>
        <v>0.000108676633851704</v>
      </c>
      <c r="AL52" s="231">
        <f ca="1" t="shared" si="9"/>
        <v>0.000125135685810827</v>
      </c>
      <c r="AN52" s="12">
        <v>411</v>
      </c>
      <c r="AO52" s="231">
        <f ca="1" t="shared" si="10"/>
        <v>0.299744245747857</v>
      </c>
      <c r="AP52" s="231">
        <f ca="1" t="shared" si="11"/>
        <v>0.0358971891326169</v>
      </c>
      <c r="AQ52" s="231">
        <f ca="1" t="shared" si="12"/>
        <v>0.0341219024476159</v>
      </c>
      <c r="AR52" s="231">
        <f ca="1" t="shared" si="13"/>
        <v>0.0553961892667144</v>
      </c>
      <c r="AS52" s="231">
        <f ca="1" t="shared" si="14"/>
        <v>0.0611634732362554</v>
      </c>
    </row>
    <row r="53" ht="15" hidden="1" customHeight="1" spans="9:45">
      <c r="I53" s="12">
        <v>412</v>
      </c>
      <c r="J53" s="230">
        <v>0.001530752</v>
      </c>
      <c r="L53" s="12">
        <v>412</v>
      </c>
      <c r="M53" s="230">
        <v>0.225091</v>
      </c>
      <c r="N53" s="230">
        <v>0.0125949</v>
      </c>
      <c r="O53" s="230">
        <v>0.0122607</v>
      </c>
      <c r="P53" s="231">
        <v>0.0439</v>
      </c>
      <c r="Q53" s="230">
        <v>0.0577804</v>
      </c>
      <c r="S53" s="12">
        <v>412</v>
      </c>
      <c r="T53" s="230">
        <v>0.306039159108454</v>
      </c>
      <c r="U53" s="230">
        <v>0.0294896080276672</v>
      </c>
      <c r="V53" s="230">
        <v>0.0265442830669306</v>
      </c>
      <c r="W53" s="231">
        <v>0.0494132023072998</v>
      </c>
      <c r="X53" s="230">
        <v>0.0573251236270361</v>
      </c>
      <c r="Z53" s="12">
        <v>412</v>
      </c>
      <c r="AA53" s="230">
        <f ca="1" t="shared" si="0"/>
        <v>0.306039159108454</v>
      </c>
      <c r="AB53" s="230">
        <f ca="1" t="shared" si="1"/>
        <v>0.0294896080276672</v>
      </c>
      <c r="AC53" s="230">
        <f ca="1" t="shared" si="2"/>
        <v>0.0265442830669306</v>
      </c>
      <c r="AD53" s="230">
        <f ca="1" t="shared" si="3"/>
        <v>0.0494132023072998</v>
      </c>
      <c r="AE53" s="230">
        <f ca="1" t="shared" si="4"/>
        <v>0.0573251236270361</v>
      </c>
      <c r="AG53" s="12">
        <v>412</v>
      </c>
      <c r="AH53" s="231">
        <f ca="1" t="shared" si="5"/>
        <v>0.000742813492981684</v>
      </c>
      <c r="AI53" s="231">
        <f ca="1" t="shared" si="6"/>
        <v>7.15767185137553e-5</v>
      </c>
      <c r="AJ53" s="231">
        <f ca="1" t="shared" si="7"/>
        <v>6.44278715216762e-5</v>
      </c>
      <c r="AK53" s="231">
        <f ca="1" t="shared" si="8"/>
        <v>0.000119934957056553</v>
      </c>
      <c r="AL53" s="231">
        <f ca="1" t="shared" si="9"/>
        <v>0.000139138649580185</v>
      </c>
      <c r="AN53" s="12">
        <v>412</v>
      </c>
      <c r="AO53" s="231">
        <f ca="1" t="shared" si="10"/>
        <v>0.326837936911941</v>
      </c>
      <c r="AP53" s="231">
        <f ca="1" t="shared" si="11"/>
        <v>0.0388684345111676</v>
      </c>
      <c r="AQ53" s="231">
        <f ca="1" t="shared" si="12"/>
        <v>0.0366772565305821</v>
      </c>
      <c r="AR53" s="231">
        <f ca="1" t="shared" si="13"/>
        <v>0.0611349408361889</v>
      </c>
      <c r="AS53" s="231">
        <f ca="1" t="shared" si="14"/>
        <v>0.0680078030066625</v>
      </c>
    </row>
    <row r="54" ht="15" hidden="1" customHeight="1" spans="9:45">
      <c r="I54" s="12">
        <v>413</v>
      </c>
      <c r="J54" s="230">
        <v>0.001720368</v>
      </c>
      <c r="L54" s="12">
        <v>413</v>
      </c>
      <c r="M54" s="230">
        <v>0.250566</v>
      </c>
      <c r="N54" s="230">
        <v>0.0140425</v>
      </c>
      <c r="O54" s="230">
        <v>0.0134578</v>
      </c>
      <c r="P54" s="231">
        <v>0.049</v>
      </c>
      <c r="Q54" s="230">
        <v>0.0642972</v>
      </c>
      <c r="S54" s="12">
        <v>413</v>
      </c>
      <c r="T54" s="230">
        <v>0.334353597206123</v>
      </c>
      <c r="U54" s="230">
        <v>0.0320302995322562</v>
      </c>
      <c r="V54" s="230">
        <v>0.0286039493269947</v>
      </c>
      <c r="W54" s="231">
        <v>0.0546980696608384</v>
      </c>
      <c r="X54" s="230">
        <v>0.0639098796911285</v>
      </c>
      <c r="Z54" s="12">
        <v>413</v>
      </c>
      <c r="AA54" s="230">
        <f ca="1" t="shared" si="0"/>
        <v>0.334353597206123</v>
      </c>
      <c r="AB54" s="230">
        <f ca="1" t="shared" si="1"/>
        <v>0.0320302995322562</v>
      </c>
      <c r="AC54" s="230">
        <f ca="1" t="shared" si="2"/>
        <v>0.0286039493269947</v>
      </c>
      <c r="AD54" s="230">
        <f ca="1" t="shared" si="3"/>
        <v>0.0546980696608384</v>
      </c>
      <c r="AE54" s="230">
        <f ca="1" t="shared" si="4"/>
        <v>0.0639098796911285</v>
      </c>
      <c r="AG54" s="12">
        <v>413</v>
      </c>
      <c r="AH54" s="231">
        <f ca="1" t="shared" si="5"/>
        <v>0.000809572874591097</v>
      </c>
      <c r="AI54" s="231">
        <f ca="1" t="shared" si="6"/>
        <v>7.75552046785864e-5</v>
      </c>
      <c r="AJ54" s="231">
        <f ca="1" t="shared" si="7"/>
        <v>6.92589572082196e-5</v>
      </c>
      <c r="AK54" s="231">
        <f ca="1" t="shared" si="8"/>
        <v>0.000132440846636413</v>
      </c>
      <c r="AL54" s="231">
        <f ca="1" t="shared" si="9"/>
        <v>0.000154745471407091</v>
      </c>
      <c r="AN54" s="12">
        <v>413</v>
      </c>
      <c r="AO54" s="231">
        <f ca="1" t="shared" si="10"/>
        <v>0.356212064820083</v>
      </c>
      <c r="AP54" s="231">
        <f ca="1" t="shared" si="11"/>
        <v>0.0421149426327854</v>
      </c>
      <c r="AQ54" s="231">
        <f ca="1" t="shared" si="12"/>
        <v>0.0394274788312981</v>
      </c>
      <c r="AR54" s="231">
        <f ca="1" t="shared" si="13"/>
        <v>0.0675096195648278</v>
      </c>
      <c r="AS54" s="231">
        <f ca="1" t="shared" si="14"/>
        <v>0.0756360620674394</v>
      </c>
    </row>
    <row r="55" ht="15" hidden="1" customHeight="1" spans="9:45">
      <c r="I55" s="12">
        <v>414</v>
      </c>
      <c r="J55" s="230">
        <v>0.001935323</v>
      </c>
      <c r="L55" s="12">
        <v>414</v>
      </c>
      <c r="M55" s="230">
        <v>0.277507</v>
      </c>
      <c r="N55" s="230">
        <v>0.0155944</v>
      </c>
      <c r="O55" s="230">
        <v>0.0147044</v>
      </c>
      <c r="P55" s="231">
        <v>0.0545</v>
      </c>
      <c r="Q55" s="230">
        <v>0.0714801</v>
      </c>
      <c r="S55" s="12">
        <v>414</v>
      </c>
      <c r="T55" s="230">
        <v>0.365108547273012</v>
      </c>
      <c r="U55" s="230">
        <v>0.0348151283025888</v>
      </c>
      <c r="V55" s="230">
        <v>0.0308268394096355</v>
      </c>
      <c r="W55" s="231">
        <v>0.060582473358847</v>
      </c>
      <c r="X55" s="230">
        <v>0.0712641320356395</v>
      </c>
      <c r="Z55" s="12">
        <v>414</v>
      </c>
      <c r="AA55" s="230">
        <f ca="1" t="shared" si="0"/>
        <v>0.365108547273012</v>
      </c>
      <c r="AB55" s="230">
        <f ca="1" t="shared" si="1"/>
        <v>0.0348151283025888</v>
      </c>
      <c r="AC55" s="230">
        <f ca="1" t="shared" si="2"/>
        <v>0.0308268394096355</v>
      </c>
      <c r="AD55" s="230">
        <f ca="1" t="shared" si="3"/>
        <v>0.060582473358847</v>
      </c>
      <c r="AE55" s="230">
        <f ca="1" t="shared" si="4"/>
        <v>0.0712641320356395</v>
      </c>
      <c r="AG55" s="12">
        <v>414</v>
      </c>
      <c r="AH55" s="231">
        <f ca="1" t="shared" si="5"/>
        <v>0.000881904703558</v>
      </c>
      <c r="AI55" s="231">
        <f ca="1" t="shared" si="6"/>
        <v>8.40945128081855e-5</v>
      </c>
      <c r="AJ55" s="231">
        <f ca="1" t="shared" si="7"/>
        <v>7.44609647575737e-5</v>
      </c>
      <c r="AK55" s="231">
        <f ca="1" t="shared" si="8"/>
        <v>0.000146334476712191</v>
      </c>
      <c r="AL55" s="231">
        <f ca="1" t="shared" si="9"/>
        <v>0.000172135584627149</v>
      </c>
      <c r="AN55" s="12">
        <v>414</v>
      </c>
      <c r="AO55" s="231">
        <f ca="1" t="shared" si="10"/>
        <v>0.38803806956552</v>
      </c>
      <c r="AP55" s="231">
        <f ca="1" t="shared" si="11"/>
        <v>0.0456659949171231</v>
      </c>
      <c r="AQ55" s="231">
        <f ca="1" t="shared" si="12"/>
        <v>0.0423888581358665</v>
      </c>
      <c r="AR55" s="231">
        <f ca="1" t="shared" si="13"/>
        <v>0.074591676986019</v>
      </c>
      <c r="AS55" s="231">
        <f ca="1" t="shared" si="14"/>
        <v>0.084135953346402</v>
      </c>
    </row>
    <row r="56" ht="15" hidden="1" customHeight="1" spans="9:45">
      <c r="I56" s="12">
        <v>415</v>
      </c>
      <c r="J56" s="230">
        <v>0.00218</v>
      </c>
      <c r="L56" s="12">
        <v>415</v>
      </c>
      <c r="M56" s="230">
        <v>0.305941</v>
      </c>
      <c r="N56" s="230">
        <v>0.0172596</v>
      </c>
      <c r="O56" s="230">
        <v>0.016013</v>
      </c>
      <c r="P56" s="231">
        <v>0.0604</v>
      </c>
      <c r="Q56" s="230">
        <v>0.0794766</v>
      </c>
      <c r="S56" s="12">
        <v>415</v>
      </c>
      <c r="T56" s="230">
        <v>0.398495113243824</v>
      </c>
      <c r="U56" s="230">
        <v>0.0378706709909244</v>
      </c>
      <c r="V56" s="230">
        <v>0.0332270664502871</v>
      </c>
      <c r="W56" s="231">
        <v>0.0671353102118068</v>
      </c>
      <c r="X56" s="230">
        <v>0.0794765488023572</v>
      </c>
      <c r="Z56" s="12">
        <v>415</v>
      </c>
      <c r="AA56" s="230">
        <f ca="1" t="shared" si="0"/>
        <v>0.398495113243824</v>
      </c>
      <c r="AB56" s="230">
        <f ca="1" t="shared" si="1"/>
        <v>0.0378706709909244</v>
      </c>
      <c r="AC56" s="230">
        <f ca="1" t="shared" si="2"/>
        <v>0.0332270664502871</v>
      </c>
      <c r="AD56" s="230">
        <f ca="1" t="shared" si="3"/>
        <v>0.0671353102118068</v>
      </c>
      <c r="AE56" s="230">
        <f ca="1" t="shared" si="4"/>
        <v>0.0794765488023572</v>
      </c>
      <c r="AG56" s="12">
        <v>415</v>
      </c>
      <c r="AH56" s="231">
        <f ca="1" t="shared" si="5"/>
        <v>0.000960229188539335</v>
      </c>
      <c r="AI56" s="231">
        <f ca="1" t="shared" si="6"/>
        <v>9.12546288937937e-5</v>
      </c>
      <c r="AJ56" s="231">
        <f ca="1" t="shared" si="7"/>
        <v>8.00652203621376e-5</v>
      </c>
      <c r="AK56" s="231">
        <f ca="1" t="shared" si="8"/>
        <v>0.000161771831835679</v>
      </c>
      <c r="AL56" s="231">
        <f ca="1" t="shared" si="9"/>
        <v>0.000191509756150258</v>
      </c>
      <c r="AN56" s="12">
        <v>415</v>
      </c>
      <c r="AO56" s="231">
        <f ca="1" t="shared" si="10"/>
        <v>0.422500842957307</v>
      </c>
      <c r="AP56" s="231">
        <f ca="1" t="shared" si="11"/>
        <v>0.0495541656651623</v>
      </c>
      <c r="AQ56" s="231">
        <f ca="1" t="shared" si="12"/>
        <v>0.0455792277013485</v>
      </c>
      <c r="AR56" s="231">
        <f ca="1" t="shared" si="13"/>
        <v>0.0824606237493607</v>
      </c>
      <c r="AS56" s="231">
        <f ca="1" t="shared" si="14"/>
        <v>0.0936056071366065</v>
      </c>
    </row>
    <row r="57" ht="15" hidden="1" customHeight="1" spans="9:45">
      <c r="I57" s="12">
        <v>416</v>
      </c>
      <c r="J57" s="230">
        <v>0.0024548</v>
      </c>
      <c r="L57" s="12">
        <v>416</v>
      </c>
      <c r="M57" s="230">
        <v>0.335858</v>
      </c>
      <c r="N57" s="230">
        <v>0.0190467</v>
      </c>
      <c r="O57" s="230">
        <v>0.0173958</v>
      </c>
      <c r="P57" s="231">
        <v>0.0668</v>
      </c>
      <c r="Q57" s="230">
        <v>0.0891807</v>
      </c>
      <c r="S57" s="12">
        <v>416</v>
      </c>
      <c r="T57" s="230">
        <v>0.434715374423104</v>
      </c>
      <c r="U57" s="230">
        <v>0.041226740534449</v>
      </c>
      <c r="V57" s="230">
        <v>0.035820364432466</v>
      </c>
      <c r="W57" s="231">
        <v>0.0744329102859863</v>
      </c>
      <c r="X57" s="230">
        <v>0.0886449501247807</v>
      </c>
      <c r="Z57" s="12">
        <v>416</v>
      </c>
      <c r="AA57" s="230">
        <f ca="1" t="shared" si="0"/>
        <v>0.434715374423104</v>
      </c>
      <c r="AB57" s="230">
        <f ca="1" t="shared" si="1"/>
        <v>0.041226740534449</v>
      </c>
      <c r="AC57" s="230">
        <f ca="1" t="shared" si="2"/>
        <v>0.035820364432466</v>
      </c>
      <c r="AD57" s="230">
        <f ca="1" t="shared" si="3"/>
        <v>0.0744329102859863</v>
      </c>
      <c r="AE57" s="230">
        <f ca="1" t="shared" si="4"/>
        <v>0.0886449501247807</v>
      </c>
      <c r="AG57" s="12">
        <v>416</v>
      </c>
      <c r="AH57" s="231">
        <f ca="1" t="shared" si="5"/>
        <v>0.00104498888082477</v>
      </c>
      <c r="AI57" s="231">
        <f ca="1" t="shared" si="6"/>
        <v>9.91027416693485e-5</v>
      </c>
      <c r="AJ57" s="231">
        <f ca="1" t="shared" si="7"/>
        <v>8.6106645270351e-5</v>
      </c>
      <c r="AK57" s="231">
        <f ca="1" t="shared" si="8"/>
        <v>0.000178925265110544</v>
      </c>
      <c r="AL57" s="231">
        <f ca="1" t="shared" si="9"/>
        <v>0.000213088822415338</v>
      </c>
      <c r="AN57" s="12">
        <v>416</v>
      </c>
      <c r="AO57" s="231">
        <f ca="1" t="shared" si="10"/>
        <v>0.459795107562898</v>
      </c>
      <c r="AP57" s="231">
        <f ca="1" t="shared" si="11"/>
        <v>0.053815940496238</v>
      </c>
      <c r="AQ57" s="231">
        <f ca="1" t="shared" si="12"/>
        <v>0.0490184673647951</v>
      </c>
      <c r="AR57" s="231">
        <f ca="1" t="shared" si="13"/>
        <v>0.0912043141139797</v>
      </c>
      <c r="AS57" s="231">
        <f ca="1" t="shared" si="14"/>
        <v>0.104152963259806</v>
      </c>
    </row>
    <row r="58" ht="15" hidden="1" customHeight="1" spans="9:45">
      <c r="I58" s="12">
        <v>417</v>
      </c>
      <c r="J58" s="230">
        <v>0.002764</v>
      </c>
      <c r="L58" s="12">
        <v>417</v>
      </c>
      <c r="M58" s="230">
        <v>0.366981</v>
      </c>
      <c r="N58" s="230">
        <v>0.0209545</v>
      </c>
      <c r="O58" s="230">
        <v>0.0188452</v>
      </c>
      <c r="P58" s="231">
        <v>0.0736</v>
      </c>
      <c r="Q58" s="230">
        <v>0.100756</v>
      </c>
      <c r="S58" s="12">
        <v>417</v>
      </c>
      <c r="T58" s="230">
        <v>0.473984347392019</v>
      </c>
      <c r="U58" s="230">
        <v>0.0449167163994655</v>
      </c>
      <c r="V58" s="230">
        <v>0.0386238889721128</v>
      </c>
      <c r="W58" s="231">
        <v>0.0825596798159961</v>
      </c>
      <c r="X58" s="230">
        <v>0.098878302038135</v>
      </c>
      <c r="Z58" s="12">
        <v>417</v>
      </c>
      <c r="AA58" s="230">
        <f ca="1" t="shared" si="0"/>
        <v>0.473984347392019</v>
      </c>
      <c r="AB58" s="230">
        <f ca="1" t="shared" si="1"/>
        <v>0.0449167163994655</v>
      </c>
      <c r="AC58" s="230">
        <f ca="1" t="shared" si="2"/>
        <v>0.0386238889721128</v>
      </c>
      <c r="AD58" s="230">
        <f ca="1" t="shared" si="3"/>
        <v>0.0825596798159961</v>
      </c>
      <c r="AE58" s="230">
        <f ca="1" t="shared" si="4"/>
        <v>0.098878302038135</v>
      </c>
      <c r="AG58" s="12">
        <v>417</v>
      </c>
      <c r="AH58" s="231">
        <f ca="1" t="shared" si="5"/>
        <v>0.00113665311125184</v>
      </c>
      <c r="AI58" s="231">
        <f ca="1" t="shared" si="6"/>
        <v>0.000107713948200157</v>
      </c>
      <c r="AJ58" s="231">
        <f ca="1" t="shared" si="7"/>
        <v>9.26232349451146e-5</v>
      </c>
      <c r="AK58" s="231">
        <f ca="1" t="shared" si="8"/>
        <v>0.000197984843683444</v>
      </c>
      <c r="AL58" s="231">
        <f ca="1" t="shared" si="9"/>
        <v>0.000237118230307278</v>
      </c>
      <c r="AN58" s="12">
        <v>417</v>
      </c>
      <c r="AO58" s="231">
        <f ca="1" t="shared" si="10"/>
        <v>0.500127368950811</v>
      </c>
      <c r="AP58" s="231">
        <f ca="1" t="shared" si="11"/>
        <v>0.0584920995051278</v>
      </c>
      <c r="AQ58" s="231">
        <f ca="1" t="shared" si="12"/>
        <v>0.0527282070405104</v>
      </c>
      <c r="AR58" s="231">
        <f ca="1" t="shared" si="13"/>
        <v>0.100919631791273</v>
      </c>
      <c r="AS58" s="231">
        <f ca="1" t="shared" si="14"/>
        <v>0.115897990563237</v>
      </c>
    </row>
    <row r="59" ht="15" hidden="1" customHeight="1" spans="9:45">
      <c r="I59" s="12">
        <v>418</v>
      </c>
      <c r="J59" s="230">
        <v>0.0031178</v>
      </c>
      <c r="L59" s="12">
        <v>418</v>
      </c>
      <c r="M59" s="230">
        <v>0.398876</v>
      </c>
      <c r="N59" s="230">
        <v>0.0229763</v>
      </c>
      <c r="O59" s="230">
        <v>0.020344</v>
      </c>
      <c r="P59" s="231">
        <v>0.0808</v>
      </c>
      <c r="Q59" s="230">
        <v>0.113256</v>
      </c>
      <c r="S59" s="12">
        <v>418</v>
      </c>
      <c r="T59" s="230">
        <v>0.516530534782476</v>
      </c>
      <c r="U59" s="230">
        <v>0.0489778819368446</v>
      </c>
      <c r="V59" s="230">
        <v>0.041656617259031</v>
      </c>
      <c r="W59" s="231">
        <v>0.091610235590258</v>
      </c>
      <c r="X59" s="230">
        <v>0.110296568229556</v>
      </c>
      <c r="Z59" s="12">
        <v>418</v>
      </c>
      <c r="AA59" s="230">
        <f ca="1" t="shared" si="0"/>
        <v>0.516530534782476</v>
      </c>
      <c r="AB59" s="230">
        <f ca="1" t="shared" si="1"/>
        <v>0.0489778819368446</v>
      </c>
      <c r="AC59" s="230">
        <f ca="1" t="shared" si="2"/>
        <v>0.041656617259031</v>
      </c>
      <c r="AD59" s="230">
        <f ca="1" t="shared" si="3"/>
        <v>0.091610235590258</v>
      </c>
      <c r="AE59" s="230">
        <f ca="1" t="shared" si="4"/>
        <v>0.110296568229556</v>
      </c>
      <c r="AG59" s="12">
        <v>418</v>
      </c>
      <c r="AH59" s="231">
        <f ca="1" t="shared" si="5"/>
        <v>0.0012357189827332</v>
      </c>
      <c r="AI59" s="231">
        <f ca="1" t="shared" si="6"/>
        <v>0.000117171966356088</v>
      </c>
      <c r="AJ59" s="231">
        <f ca="1" t="shared" si="7"/>
        <v>9.96569790885909e-5</v>
      </c>
      <c r="AK59" s="231">
        <f ca="1" t="shared" si="8"/>
        <v>0.000219163243038895</v>
      </c>
      <c r="AL59" s="231">
        <f ca="1" t="shared" si="9"/>
        <v>0.000263867388108986</v>
      </c>
      <c r="AN59" s="12">
        <v>418</v>
      </c>
      <c r="AO59" s="231">
        <f ca="1" t="shared" si="10"/>
        <v>0.543716352402606</v>
      </c>
      <c r="AP59" s="231">
        <f ca="1" t="shared" si="11"/>
        <v>0.0636281041576542</v>
      </c>
      <c r="AQ59" s="231">
        <f ca="1" t="shared" si="12"/>
        <v>0.0567323504683119</v>
      </c>
      <c r="AR59" s="231">
        <f ca="1" t="shared" si="13"/>
        <v>0.111714984734036</v>
      </c>
      <c r="AS59" s="231">
        <f ca="1" t="shared" si="14"/>
        <v>0.128972369679762</v>
      </c>
    </row>
    <row r="60" ht="15" hidden="1" customHeight="1" spans="9:45">
      <c r="I60" s="12">
        <v>419</v>
      </c>
      <c r="J60" s="230">
        <v>0.0035264</v>
      </c>
      <c r="L60" s="12">
        <v>419</v>
      </c>
      <c r="M60" s="230">
        <v>0.430998</v>
      </c>
      <c r="N60" s="230">
        <v>0.0251017</v>
      </c>
      <c r="O60" s="230">
        <v>0.02187</v>
      </c>
      <c r="P60" s="231">
        <v>0.0885</v>
      </c>
      <c r="Q60" s="230">
        <v>0.125732</v>
      </c>
      <c r="S60" s="12">
        <v>419</v>
      </c>
      <c r="T60" s="230">
        <v>0.562596466287411</v>
      </c>
      <c r="U60" s="230">
        <v>0.0534520049556179</v>
      </c>
      <c r="V60" s="230">
        <v>0.0449396825214832</v>
      </c>
      <c r="W60" s="231">
        <v>0.101688303051729</v>
      </c>
      <c r="X60" s="230">
        <v>0.123033675985574</v>
      </c>
      <c r="Z60" s="12">
        <v>419</v>
      </c>
      <c r="AA60" s="230">
        <f ca="1" t="shared" si="0"/>
        <v>0.562596466287411</v>
      </c>
      <c r="AB60" s="230">
        <f ca="1" t="shared" si="1"/>
        <v>0.0534520049556179</v>
      </c>
      <c r="AC60" s="230">
        <f ca="1" t="shared" si="2"/>
        <v>0.0449396825214832</v>
      </c>
      <c r="AD60" s="230">
        <f ca="1" t="shared" si="3"/>
        <v>0.101688303051729</v>
      </c>
      <c r="AE60" s="230">
        <f ca="1" t="shared" si="4"/>
        <v>0.123033675985574</v>
      </c>
      <c r="AG60" s="12">
        <v>419</v>
      </c>
      <c r="AH60" s="231">
        <f ca="1" t="shared" si="5"/>
        <v>0.00134271233004155</v>
      </c>
      <c r="AI60" s="231">
        <f ca="1" t="shared" si="6"/>
        <v>0.000127570417555174</v>
      </c>
      <c r="AJ60" s="231">
        <f ca="1" t="shared" si="7"/>
        <v>0.00010725461222311</v>
      </c>
      <c r="AK60" s="231">
        <f ca="1" t="shared" si="8"/>
        <v>0.000242692847378828</v>
      </c>
      <c r="AL60" s="231">
        <f ca="1" t="shared" si="9"/>
        <v>0.000293636458199461</v>
      </c>
      <c r="AN60" s="12">
        <v>419</v>
      </c>
      <c r="AO60" s="231">
        <f ca="1" t="shared" si="10"/>
        <v>0.590793425218284</v>
      </c>
      <c r="AP60" s="231">
        <f ca="1" t="shared" si="11"/>
        <v>0.0692747938612565</v>
      </c>
      <c r="AQ60" s="231">
        <f ca="1" t="shared" si="12"/>
        <v>0.0610575025014078</v>
      </c>
      <c r="AR60" s="231">
        <f ca="1" t="shared" si="13"/>
        <v>0.123708827100966</v>
      </c>
      <c r="AS60" s="231">
        <f ca="1" t="shared" si="14"/>
        <v>0.143522813143983</v>
      </c>
    </row>
    <row r="61" ht="15" hidden="1" customHeight="1" spans="9:45">
      <c r="I61" s="12">
        <v>420</v>
      </c>
      <c r="J61" s="230">
        <v>0.004</v>
      </c>
      <c r="L61" s="12">
        <v>420</v>
      </c>
      <c r="M61" s="230">
        <v>0.462692</v>
      </c>
      <c r="N61" s="230">
        <v>0.0273163</v>
      </c>
      <c r="O61" s="230">
        <v>0.0233957</v>
      </c>
      <c r="P61" s="231">
        <v>0.0966</v>
      </c>
      <c r="Q61" s="230">
        <v>0.137237</v>
      </c>
      <c r="S61" s="12">
        <v>420</v>
      </c>
      <c r="T61" s="230">
        <v>0.612436407087296</v>
      </c>
      <c r="U61" s="230">
        <v>0.0583859028088898</v>
      </c>
      <c r="V61" s="230">
        <v>0.0484962323752201</v>
      </c>
      <c r="W61" s="231">
        <v>0.11291015406631</v>
      </c>
      <c r="X61" s="230">
        <v>0.137237247803176</v>
      </c>
      <c r="Z61" s="12">
        <v>420</v>
      </c>
      <c r="AA61" s="230">
        <f ca="1" t="shared" si="0"/>
        <v>0.612436407087296</v>
      </c>
      <c r="AB61" s="230">
        <f ca="1" t="shared" si="1"/>
        <v>0.0583859028088898</v>
      </c>
      <c r="AC61" s="230">
        <f ca="1" t="shared" si="2"/>
        <v>0.0484962323752201</v>
      </c>
      <c r="AD61" s="230">
        <f ca="1" t="shared" si="3"/>
        <v>0.11291015406631</v>
      </c>
      <c r="AE61" s="230">
        <f ca="1" t="shared" si="4"/>
        <v>0.137237247803176</v>
      </c>
      <c r="AG61" s="12">
        <v>420</v>
      </c>
      <c r="AH61" s="231">
        <f ca="1" t="shared" si="5"/>
        <v>0.00145818192163642</v>
      </c>
      <c r="AI61" s="231">
        <f ca="1" t="shared" si="6"/>
        <v>0.00013901405430688</v>
      </c>
      <c r="AJ61" s="231">
        <f ca="1" t="shared" si="7"/>
        <v>0.000115467219941</v>
      </c>
      <c r="AK61" s="231">
        <f ca="1" t="shared" si="8"/>
        <v>0.000268833700157881</v>
      </c>
      <c r="AL61" s="231">
        <f ca="1" t="shared" si="9"/>
        <v>0.000326755351912324</v>
      </c>
      <c r="AN61" s="12">
        <v>420</v>
      </c>
      <c r="AO61" s="231">
        <f ca="1" t="shared" si="10"/>
        <v>0.641600045520024</v>
      </c>
      <c r="AP61" s="231">
        <f ca="1" t="shared" si="11"/>
        <v>0.0754890525600234</v>
      </c>
      <c r="AQ61" s="231">
        <f ca="1" t="shared" si="12"/>
        <v>0.0657327449537795</v>
      </c>
      <c r="AR61" s="231">
        <f ca="1" t="shared" si="13"/>
        <v>0.137033711915836</v>
      </c>
      <c r="AS61" s="231">
        <f ca="1" t="shared" si="14"/>
        <v>0.159710574101983</v>
      </c>
    </row>
    <row r="62" ht="15" hidden="1" customHeight="1" spans="9:45">
      <c r="I62" s="12">
        <v>421</v>
      </c>
      <c r="J62" s="230">
        <v>0.00454624</v>
      </c>
      <c r="L62" s="12">
        <v>421</v>
      </c>
      <c r="M62" s="230">
        <v>0.493357</v>
      </c>
      <c r="N62" s="230">
        <v>0.0296062</v>
      </c>
      <c r="O62" s="230">
        <v>0.0248961</v>
      </c>
      <c r="P62" s="232">
        <v>0.1052</v>
      </c>
      <c r="Q62" s="230">
        <v>0.147446</v>
      </c>
      <c r="S62" s="12">
        <v>421</v>
      </c>
      <c r="T62" s="230">
        <v>0.635745068469121</v>
      </c>
      <c r="U62" s="230">
        <v>0.0609027635761887</v>
      </c>
      <c r="V62" s="230">
        <v>0.0499497133209841</v>
      </c>
      <c r="W62" s="232">
        <v>0.119648979825828</v>
      </c>
      <c r="X62" s="230">
        <v>0.146047457210038</v>
      </c>
      <c r="Z62" s="12">
        <v>421</v>
      </c>
      <c r="AA62" s="230">
        <f ca="1" t="shared" si="0"/>
        <v>0.635745068469121</v>
      </c>
      <c r="AB62" s="230">
        <f ca="1" t="shared" si="1"/>
        <v>0.0609027635761887</v>
      </c>
      <c r="AC62" s="230">
        <f ca="1" t="shared" si="2"/>
        <v>0.0499497133209841</v>
      </c>
      <c r="AD62" s="230">
        <f ca="1" t="shared" si="3"/>
        <v>0.119648979825828</v>
      </c>
      <c r="AE62" s="230">
        <f ca="1" t="shared" si="4"/>
        <v>0.146047457210038</v>
      </c>
      <c r="AG62" s="12">
        <v>421</v>
      </c>
      <c r="AH62" s="231">
        <f ca="1" t="shared" si="5"/>
        <v>0.00151008329802642</v>
      </c>
      <c r="AI62" s="231">
        <f ca="1" t="shared" si="6"/>
        <v>0.000144662146261731</v>
      </c>
      <c r="AJ62" s="231">
        <f ca="1" t="shared" si="7"/>
        <v>0.000118645399812314</v>
      </c>
      <c r="AK62" s="231">
        <f ca="1" t="shared" si="8"/>
        <v>0.000284201852317881</v>
      </c>
      <c r="AL62" s="231">
        <f ca="1" t="shared" si="9"/>
        <v>0.000346906074133107</v>
      </c>
      <c r="AN62" s="12">
        <v>421</v>
      </c>
      <c r="AO62" s="231">
        <f ca="1" t="shared" si="10"/>
        <v>0.664436651131623</v>
      </c>
      <c r="AP62" s="231">
        <f ca="1" t="shared" si="11"/>
        <v>0.078556146118077</v>
      </c>
      <c r="AQ62" s="231">
        <f ca="1" t="shared" si="12"/>
        <v>0.0675420072448872</v>
      </c>
      <c r="AR62" s="231">
        <f ca="1" t="shared" si="13"/>
        <v>0.14486738356688</v>
      </c>
      <c r="AS62" s="231">
        <f ca="1" t="shared" si="14"/>
        <v>0.169559788187127</v>
      </c>
    </row>
    <row r="63" ht="15" hidden="1" customHeight="1" spans="9:45">
      <c r="I63" s="12">
        <v>422</v>
      </c>
      <c r="J63" s="230">
        <v>0.00515932</v>
      </c>
      <c r="L63" s="12">
        <v>422</v>
      </c>
      <c r="M63" s="230">
        <v>0.523006</v>
      </c>
      <c r="N63" s="230">
        <v>0.0319746</v>
      </c>
      <c r="O63" s="230">
        <v>0.0263761</v>
      </c>
      <c r="P63" s="232">
        <v>0.1141</v>
      </c>
      <c r="Q63" s="230">
        <v>0.157014</v>
      </c>
      <c r="S63" s="12">
        <v>422</v>
      </c>
      <c r="T63" s="230">
        <v>0.659565605011815</v>
      </c>
      <c r="U63" s="230">
        <v>0.0635851939020321</v>
      </c>
      <c r="V63" s="230">
        <v>0.0514663062568404</v>
      </c>
      <c r="W63" s="232">
        <v>0.126818321267063</v>
      </c>
      <c r="X63" s="230">
        <v>0.155408582782515</v>
      </c>
      <c r="Z63" s="12">
        <v>422</v>
      </c>
      <c r="AA63" s="230">
        <f ca="1" t="shared" si="0"/>
        <v>0.659565605011815</v>
      </c>
      <c r="AB63" s="230">
        <f ca="1" t="shared" si="1"/>
        <v>0.0635851939020321</v>
      </c>
      <c r="AC63" s="230">
        <f ca="1" t="shared" si="2"/>
        <v>0.0514663062568404</v>
      </c>
      <c r="AD63" s="230">
        <f ca="1" t="shared" si="3"/>
        <v>0.126818321267063</v>
      </c>
      <c r="AE63" s="230">
        <f ca="1" t="shared" si="4"/>
        <v>0.155408582782515</v>
      </c>
      <c r="AG63" s="12">
        <v>422</v>
      </c>
      <c r="AH63" s="231">
        <f ca="1" t="shared" si="5"/>
        <v>0.00156295167064411</v>
      </c>
      <c r="AI63" s="231">
        <f ca="1" t="shared" si="6"/>
        <v>0.000150675814933725</v>
      </c>
      <c r="AJ63" s="231">
        <f ca="1" t="shared" si="7"/>
        <v>0.000121958071698674</v>
      </c>
      <c r="AK63" s="231">
        <f ca="1" t="shared" si="8"/>
        <v>0.000300517348974083</v>
      </c>
      <c r="AL63" s="231">
        <f ca="1" t="shared" si="9"/>
        <v>0.000368266783844822</v>
      </c>
      <c r="AN63" s="12">
        <v>422</v>
      </c>
      <c r="AO63" s="231">
        <f ca="1" t="shared" si="10"/>
        <v>0.687698735083409</v>
      </c>
      <c r="AP63" s="231">
        <f ca="1" t="shared" si="11"/>
        <v>0.0818217594599957</v>
      </c>
      <c r="AQ63" s="231">
        <f ca="1" t="shared" si="12"/>
        <v>0.0694278326447966</v>
      </c>
      <c r="AR63" s="231">
        <f ca="1" t="shared" si="13"/>
        <v>0.153183949039277</v>
      </c>
      <c r="AS63" s="231">
        <f ca="1" t="shared" si="14"/>
        <v>0.180000416600152</v>
      </c>
    </row>
    <row r="64" ht="15" hidden="1" customHeight="1" spans="9:45">
      <c r="I64" s="12">
        <v>423</v>
      </c>
      <c r="J64" s="230">
        <v>0.00582928</v>
      </c>
      <c r="L64" s="12">
        <v>423</v>
      </c>
      <c r="M64" s="230">
        <v>0.551939</v>
      </c>
      <c r="N64" s="230">
        <v>0.034433</v>
      </c>
      <c r="O64" s="230">
        <v>0.0278541</v>
      </c>
      <c r="P64" s="232">
        <v>0.1235</v>
      </c>
      <c r="Q64" s="230">
        <v>0.166463</v>
      </c>
      <c r="S64" s="12">
        <v>423</v>
      </c>
      <c r="T64" s="230">
        <v>0.683880152711345</v>
      </c>
      <c r="U64" s="230">
        <v>0.0664457182005847</v>
      </c>
      <c r="V64" s="230">
        <v>0.0530506854932399</v>
      </c>
      <c r="W64" s="232">
        <v>0.134441391849601</v>
      </c>
      <c r="X64" s="230">
        <v>0.165350304871892</v>
      </c>
      <c r="Z64" s="12">
        <v>423</v>
      </c>
      <c r="AA64" s="230">
        <f ca="1" t="shared" si="0"/>
        <v>0.683880152711345</v>
      </c>
      <c r="AB64" s="230">
        <f ca="1" t="shared" si="1"/>
        <v>0.0664457182005847</v>
      </c>
      <c r="AC64" s="230">
        <f ca="1" t="shared" si="2"/>
        <v>0.0530506854932399</v>
      </c>
      <c r="AD64" s="230">
        <f ca="1" t="shared" si="3"/>
        <v>0.134441391849601</v>
      </c>
      <c r="AE64" s="230">
        <f ca="1" t="shared" si="4"/>
        <v>0.165350304871892</v>
      </c>
      <c r="AG64" s="12">
        <v>423</v>
      </c>
      <c r="AH64" s="231">
        <f ca="1" t="shared" si="5"/>
        <v>0.00161673794967221</v>
      </c>
      <c r="AI64" s="231">
        <f ca="1" t="shared" si="6"/>
        <v>0.000157082076124314</v>
      </c>
      <c r="AJ64" s="231">
        <f ca="1" t="shared" si="7"/>
        <v>0.000125415332135319</v>
      </c>
      <c r="AK64" s="231">
        <f ca="1" t="shared" si="8"/>
        <v>0.000317828349526243</v>
      </c>
      <c r="AL64" s="231">
        <f ca="1" t="shared" si="9"/>
        <v>0.000390899065890998</v>
      </c>
      <c r="AN64" s="12">
        <v>423</v>
      </c>
      <c r="AO64" s="231">
        <f ca="1" t="shared" si="10"/>
        <v>0.711364697855772</v>
      </c>
      <c r="AP64" s="231">
        <f ca="1" t="shared" si="11"/>
        <v>0.0853005630251516</v>
      </c>
      <c r="AQ64" s="231">
        <f ca="1" t="shared" si="12"/>
        <v>0.0713959688711377</v>
      </c>
      <c r="AR64" s="231">
        <f ca="1" t="shared" si="13"/>
        <v>0.162007956822701</v>
      </c>
      <c r="AS64" s="231">
        <f ca="1" t="shared" si="14"/>
        <v>0.191062560609969</v>
      </c>
    </row>
    <row r="65" ht="15" hidden="1" customHeight="1" spans="9:45">
      <c r="I65" s="12">
        <v>424</v>
      </c>
      <c r="J65" s="230">
        <v>0.00654616</v>
      </c>
      <c r="L65" s="12">
        <v>424</v>
      </c>
      <c r="M65" s="230">
        <v>0.580599</v>
      </c>
      <c r="N65" s="230">
        <v>0.0369983</v>
      </c>
      <c r="O65" s="230">
        <v>0.0293551</v>
      </c>
      <c r="P65" s="232">
        <v>0.1334</v>
      </c>
      <c r="Q65" s="230">
        <v>0.176316</v>
      </c>
      <c r="S65" s="12">
        <v>424</v>
      </c>
      <c r="T65" s="230">
        <v>0.708666657744801</v>
      </c>
      <c r="U65" s="230">
        <v>0.0694979509159543</v>
      </c>
      <c r="V65" s="230">
        <v>0.0547085242574842</v>
      </c>
      <c r="W65" s="232">
        <v>0.142543362732951</v>
      </c>
      <c r="X65" s="230">
        <v>0.175902495189701</v>
      </c>
      <c r="Z65" s="12">
        <v>424</v>
      </c>
      <c r="AA65" s="230">
        <f ca="1" t="shared" si="0"/>
        <v>0.708666657744801</v>
      </c>
      <c r="AB65" s="230">
        <f ca="1" t="shared" si="1"/>
        <v>0.0694979509159543</v>
      </c>
      <c r="AC65" s="230">
        <f ca="1" t="shared" si="2"/>
        <v>0.0547085242574842</v>
      </c>
      <c r="AD65" s="230">
        <f ca="1" t="shared" si="3"/>
        <v>0.142543362732951</v>
      </c>
      <c r="AE65" s="230">
        <f ca="1" t="shared" si="4"/>
        <v>0.175902495189701</v>
      </c>
      <c r="AG65" s="12">
        <v>424</v>
      </c>
      <c r="AH65" s="231">
        <f ca="1" t="shared" si="5"/>
        <v>0.00167138362675661</v>
      </c>
      <c r="AI65" s="231">
        <f ca="1" t="shared" si="6"/>
        <v>0.000163910261594232</v>
      </c>
      <c r="AJ65" s="231">
        <f ca="1" t="shared" si="7"/>
        <v>0.000129029538343123</v>
      </c>
      <c r="AK65" s="231">
        <f ca="1" t="shared" si="8"/>
        <v>0.00033618717625696</v>
      </c>
      <c r="AL65" s="231">
        <f ca="1" t="shared" si="9"/>
        <v>0.000414864375447408</v>
      </c>
      <c r="AN65" s="12">
        <v>424</v>
      </c>
      <c r="AO65" s="231">
        <f ca="1" t="shared" si="10"/>
        <v>0.735408795772907</v>
      </c>
      <c r="AP65" s="231">
        <f ca="1" t="shared" si="11"/>
        <v>0.0890084848924641</v>
      </c>
      <c r="AQ65" s="231">
        <f ca="1" t="shared" si="12"/>
        <v>0.0734534505961619</v>
      </c>
      <c r="AR65" s="231">
        <f ca="1" t="shared" si="13"/>
        <v>0.171366077370282</v>
      </c>
      <c r="AS65" s="231">
        <f ca="1" t="shared" si="14"/>
        <v>0.202776258106845</v>
      </c>
    </row>
    <row r="66" ht="15" hidden="1" customHeight="1" spans="9:45">
      <c r="I66" s="12">
        <v>425</v>
      </c>
      <c r="J66" s="230">
        <v>0.0073</v>
      </c>
      <c r="L66" s="12">
        <v>425</v>
      </c>
      <c r="M66" s="230">
        <v>0.60957</v>
      </c>
      <c r="N66" s="230">
        <v>0.0396928</v>
      </c>
      <c r="O66" s="230">
        <v>0.0309104</v>
      </c>
      <c r="P66" s="232">
        <v>0.1436</v>
      </c>
      <c r="Q66" s="230">
        <v>0.187096</v>
      </c>
      <c r="S66" s="12">
        <v>425</v>
      </c>
      <c r="T66" s="230">
        <v>0.733903569515794</v>
      </c>
      <c r="U66" s="230">
        <v>0.0727558635859051</v>
      </c>
      <c r="V66" s="230">
        <v>0.0564455878059178</v>
      </c>
      <c r="W66" s="232">
        <v>0.151148555131729</v>
      </c>
      <c r="X66" s="230">
        <v>0.187096214263163</v>
      </c>
      <c r="Z66" s="12">
        <v>425</v>
      </c>
      <c r="AA66" s="230">
        <f ca="1" t="shared" si="0"/>
        <v>0.733903569515794</v>
      </c>
      <c r="AB66" s="230">
        <f ca="1" t="shared" si="1"/>
        <v>0.0727558635859051</v>
      </c>
      <c r="AC66" s="230">
        <f ca="1" t="shared" si="2"/>
        <v>0.0564455878059178</v>
      </c>
      <c r="AD66" s="230">
        <f ca="1" t="shared" si="3"/>
        <v>0.151148555131729</v>
      </c>
      <c r="AE66" s="230">
        <f ca="1" t="shared" si="4"/>
        <v>0.187096214263163</v>
      </c>
      <c r="AG66" s="12">
        <v>425</v>
      </c>
      <c r="AH66" s="231">
        <f ca="1" t="shared" si="5"/>
        <v>0.00172683192827246</v>
      </c>
      <c r="AI66" s="231">
        <f ca="1" t="shared" si="6"/>
        <v>0.000171190267260953</v>
      </c>
      <c r="AJ66" s="231">
        <f ca="1" t="shared" si="7"/>
        <v>0.00013281314777863</v>
      </c>
      <c r="AK66" s="231">
        <f ca="1" t="shared" si="8"/>
        <v>0.00035564365913348</v>
      </c>
      <c r="AL66" s="231">
        <f ca="1" t="shared" si="9"/>
        <v>0.00044022638650156</v>
      </c>
      <c r="AN66" s="12">
        <v>425</v>
      </c>
      <c r="AO66" s="231">
        <f ca="1" t="shared" si="10"/>
        <v>0.759806048439881</v>
      </c>
      <c r="AP66" s="231">
        <f ca="1" t="shared" si="11"/>
        <v>0.0929617594959024</v>
      </c>
      <c r="AQ66" s="231">
        <f ca="1" t="shared" si="12"/>
        <v>0.0756073695539057</v>
      </c>
      <c r="AR66" s="231">
        <f ca="1" t="shared" si="13"/>
        <v>0.181283710716959</v>
      </c>
      <c r="AS66" s="231">
        <f ca="1" t="shared" si="14"/>
        <v>0.215172631485685</v>
      </c>
    </row>
    <row r="67" ht="15" hidden="1" customHeight="1" spans="9:45">
      <c r="I67" s="12">
        <v>426</v>
      </c>
      <c r="J67" s="230">
        <v>0.008086507</v>
      </c>
      <c r="L67" s="12">
        <v>426</v>
      </c>
      <c r="M67" s="230">
        <v>0.639359</v>
      </c>
      <c r="N67" s="230">
        <v>0.0425402</v>
      </c>
      <c r="O67" s="230">
        <v>0.0325498</v>
      </c>
      <c r="P67" s="232">
        <v>0.1541</v>
      </c>
      <c r="Q67" s="230">
        <v>0.19921</v>
      </c>
      <c r="S67" s="12">
        <v>426</v>
      </c>
      <c r="T67" s="230">
        <v>0.759559849901767</v>
      </c>
      <c r="U67" s="230">
        <v>0.0762351045091342</v>
      </c>
      <c r="V67" s="230">
        <v>0.0582683875355253</v>
      </c>
      <c r="W67" s="232">
        <v>0.160284305580738</v>
      </c>
      <c r="X67" s="230">
        <v>0.198964227477801</v>
      </c>
      <c r="Z67" s="12">
        <v>426</v>
      </c>
      <c r="AA67" s="230">
        <f ca="1" t="shared" si="0"/>
        <v>0.759559849901767</v>
      </c>
      <c r="AB67" s="230">
        <f ca="1" t="shared" si="1"/>
        <v>0.0762351045091342</v>
      </c>
      <c r="AC67" s="230">
        <f ca="1" t="shared" si="2"/>
        <v>0.0582683875355253</v>
      </c>
      <c r="AD67" s="230">
        <f ca="1" t="shared" si="3"/>
        <v>0.160284305580738</v>
      </c>
      <c r="AE67" s="230">
        <f ca="1" t="shared" si="4"/>
        <v>0.198964227477801</v>
      </c>
      <c r="AG67" s="12">
        <v>426</v>
      </c>
      <c r="AH67" s="231">
        <f ca="1" t="shared" si="5"/>
        <v>0.00178300434249241</v>
      </c>
      <c r="AI67" s="231">
        <f ca="1" t="shared" si="6"/>
        <v>0.000178955644387639</v>
      </c>
      <c r="AJ67" s="231">
        <f ca="1" t="shared" si="7"/>
        <v>0.000136780252430811</v>
      </c>
      <c r="AK67" s="231">
        <f ca="1" t="shared" si="8"/>
        <v>0.000376254238452437</v>
      </c>
      <c r="AL67" s="231">
        <f ca="1" t="shared" si="9"/>
        <v>0.000467052177177937</v>
      </c>
      <c r="AN67" s="12">
        <v>426</v>
      </c>
      <c r="AO67" s="231">
        <f ca="1" t="shared" si="10"/>
        <v>0.784521910696661</v>
      </c>
      <c r="AP67" s="231">
        <f ca="1" t="shared" si="11"/>
        <v>0.097178606238396</v>
      </c>
      <c r="AQ67" s="231">
        <f ca="1" t="shared" si="12"/>
        <v>0.0778657479788819</v>
      </c>
      <c r="AR67" s="231">
        <f ca="1" t="shared" si="13"/>
        <v>0.19178962640816</v>
      </c>
      <c r="AS67" s="231">
        <f ca="1" t="shared" si="14"/>
        <v>0.22828446700602</v>
      </c>
    </row>
    <row r="68" ht="15" hidden="1" customHeight="1" spans="9:45">
      <c r="I68" s="12">
        <v>427</v>
      </c>
      <c r="J68" s="230">
        <v>0.00890872</v>
      </c>
      <c r="L68" s="12">
        <v>427</v>
      </c>
      <c r="M68" s="230">
        <v>0.669651</v>
      </c>
      <c r="N68" s="230">
        <v>0.0455474</v>
      </c>
      <c r="O68" s="230">
        <v>0.0342714</v>
      </c>
      <c r="P68" s="232">
        <v>0.1651</v>
      </c>
      <c r="Q68" s="230">
        <v>0.212408</v>
      </c>
      <c r="S68" s="12">
        <v>427</v>
      </c>
      <c r="T68" s="230">
        <v>0.785604567913136</v>
      </c>
      <c r="U68" s="230">
        <v>0.0799513865754014</v>
      </c>
      <c r="V68" s="230">
        <v>0.0601837160789202</v>
      </c>
      <c r="W68" s="232">
        <v>0.169976937411667</v>
      </c>
      <c r="X68" s="230">
        <v>0.211539756447306</v>
      </c>
      <c r="Z68" s="12">
        <v>427</v>
      </c>
      <c r="AA68" s="230">
        <f ca="1" t="shared" si="0"/>
        <v>0.785604567913136</v>
      </c>
      <c r="AB68" s="230">
        <f ca="1" t="shared" si="1"/>
        <v>0.0799513865754014</v>
      </c>
      <c r="AC68" s="230">
        <f ca="1" t="shared" si="2"/>
        <v>0.0601837160789202</v>
      </c>
      <c r="AD68" s="230">
        <f ca="1" t="shared" si="3"/>
        <v>0.169976937411667</v>
      </c>
      <c r="AE68" s="230">
        <f ca="1" t="shared" si="4"/>
        <v>0.211539756447306</v>
      </c>
      <c r="AG68" s="12">
        <v>427</v>
      </c>
      <c r="AH68" s="231">
        <f ca="1" t="shared" si="5"/>
        <v>0.00183982334405887</v>
      </c>
      <c r="AI68" s="231">
        <f ca="1" t="shared" si="6"/>
        <v>0.000187239781207029</v>
      </c>
      <c r="AJ68" s="231">
        <f ca="1" t="shared" si="7"/>
        <v>0.00014094547091082</v>
      </c>
      <c r="AK68" s="231">
        <f ca="1" t="shared" si="8"/>
        <v>0.000398072452954724</v>
      </c>
      <c r="AL68" s="231">
        <f ca="1" t="shared" si="9"/>
        <v>0.000495409265684557</v>
      </c>
      <c r="AN68" s="12">
        <v>427</v>
      </c>
      <c r="AO68" s="231">
        <f ca="1" t="shared" si="10"/>
        <v>0.809522271385901</v>
      </c>
      <c r="AP68" s="231">
        <f ca="1" t="shared" si="11"/>
        <v>0.10167715599217</v>
      </c>
      <c r="AQ68" s="231">
        <f ca="1" t="shared" si="12"/>
        <v>0.0802369078991011</v>
      </c>
      <c r="AR68" s="231">
        <f ca="1" t="shared" si="13"/>
        <v>0.202911114967327</v>
      </c>
      <c r="AS68" s="231">
        <f ca="1" t="shared" si="14"/>
        <v>0.242144766030192</v>
      </c>
    </row>
    <row r="69" ht="15" hidden="1" customHeight="1" spans="9:45">
      <c r="I69" s="12">
        <v>428</v>
      </c>
      <c r="J69" s="230">
        <v>0.00976768</v>
      </c>
      <c r="L69" s="12">
        <v>428</v>
      </c>
      <c r="M69" s="230">
        <v>0.699829</v>
      </c>
      <c r="N69" s="230">
        <v>0.0487161</v>
      </c>
      <c r="O69" s="230">
        <v>0.036062</v>
      </c>
      <c r="P69" s="232">
        <v>0.1764</v>
      </c>
      <c r="Q69" s="230">
        <v>0.226225</v>
      </c>
      <c r="S69" s="12">
        <v>428</v>
      </c>
      <c r="T69" s="230">
        <v>0.812005554444085</v>
      </c>
      <c r="U69" s="230">
        <v>0.0839222270033488</v>
      </c>
      <c r="V69" s="230">
        <v>0.0621990855862408</v>
      </c>
      <c r="W69" s="232">
        <v>0.180255282141255</v>
      </c>
      <c r="X69" s="230">
        <v>0.224857822145168</v>
      </c>
      <c r="Z69" s="12">
        <v>428</v>
      </c>
      <c r="AA69" s="230">
        <f ca="1" t="shared" si="0"/>
        <v>0.812005554444085</v>
      </c>
      <c r="AB69" s="230">
        <f ca="1" t="shared" si="1"/>
        <v>0.0839222270033488</v>
      </c>
      <c r="AC69" s="230">
        <f ca="1" t="shared" si="2"/>
        <v>0.0621990855862408</v>
      </c>
      <c r="AD69" s="230">
        <f ca="1" t="shared" si="3"/>
        <v>0.180255282141255</v>
      </c>
      <c r="AE69" s="230">
        <f ca="1" t="shared" si="4"/>
        <v>0.224857822145168</v>
      </c>
      <c r="AG69" s="12">
        <v>428</v>
      </c>
      <c r="AH69" s="231">
        <f ca="1" t="shared" si="5"/>
        <v>0.00189720923935534</v>
      </c>
      <c r="AI69" s="231">
        <f ca="1" t="shared" si="6"/>
        <v>0.000196079969633993</v>
      </c>
      <c r="AJ69" s="231">
        <f ca="1" t="shared" si="7"/>
        <v>0.000145324966322993</v>
      </c>
      <c r="AK69" s="231">
        <f ca="1" t="shared" si="8"/>
        <v>0.000421157201264614</v>
      </c>
      <c r="AL69" s="231">
        <f ca="1" t="shared" si="9"/>
        <v>0.000525368743329832</v>
      </c>
      <c r="AN69" s="12">
        <v>428</v>
      </c>
      <c r="AO69" s="231">
        <f ca="1" t="shared" si="10"/>
        <v>0.834772065316349</v>
      </c>
      <c r="AP69" s="231">
        <f ca="1" t="shared" si="11"/>
        <v>0.106477659452996</v>
      </c>
      <c r="AQ69" s="231">
        <f ca="1" t="shared" si="12"/>
        <v>0.0827300505858452</v>
      </c>
      <c r="AR69" s="231">
        <f ca="1" t="shared" si="13"/>
        <v>0.214678199033385</v>
      </c>
      <c r="AS69" s="231">
        <f ca="1" t="shared" si="14"/>
        <v>0.256788276370632</v>
      </c>
    </row>
    <row r="70" ht="15" hidden="1" customHeight="1" spans="9:45">
      <c r="I70" s="12">
        <v>429</v>
      </c>
      <c r="J70" s="230">
        <v>0.01066443</v>
      </c>
      <c r="L70" s="12">
        <v>429</v>
      </c>
      <c r="M70" s="230">
        <v>0.729177</v>
      </c>
      <c r="N70" s="230">
        <v>0.0520467</v>
      </c>
      <c r="O70" s="230">
        <v>0.0379052</v>
      </c>
      <c r="P70" s="232">
        <v>0.1879</v>
      </c>
      <c r="Q70" s="230">
        <v>0.240199</v>
      </c>
      <c r="S70" s="12">
        <v>429</v>
      </c>
      <c r="T70" s="230">
        <v>0.83872000141654</v>
      </c>
      <c r="U70" s="230">
        <v>0.0881655660172673</v>
      </c>
      <c r="V70" s="230">
        <v>0.0643225124944811</v>
      </c>
      <c r="W70" s="232">
        <v>0.191148546509814</v>
      </c>
      <c r="X70" s="230">
        <v>0.238953832271374</v>
      </c>
      <c r="Z70" s="12">
        <v>429</v>
      </c>
      <c r="AA70" s="230">
        <f ca="1" t="shared" si="0"/>
        <v>0.83872000141654</v>
      </c>
      <c r="AB70" s="230">
        <f ca="1" t="shared" si="1"/>
        <v>0.0881655660172673</v>
      </c>
      <c r="AC70" s="230">
        <f ca="1" t="shared" si="2"/>
        <v>0.0643225124944811</v>
      </c>
      <c r="AD70" s="230">
        <f ca="1" t="shared" si="3"/>
        <v>0.191148546509814</v>
      </c>
      <c r="AE70" s="230">
        <f ca="1" t="shared" si="4"/>
        <v>0.238953832271374</v>
      </c>
      <c r="AG70" s="12">
        <v>429</v>
      </c>
      <c r="AH70" s="231">
        <f ca="1" t="shared" si="5"/>
        <v>0.00195505827836023</v>
      </c>
      <c r="AI70" s="231">
        <f ca="1" t="shared" si="6"/>
        <v>0.00020551413990039</v>
      </c>
      <c r="AJ70" s="231">
        <f ca="1" t="shared" si="7"/>
        <v>0.000149935926560562</v>
      </c>
      <c r="AK70" s="231">
        <f ca="1" t="shared" si="8"/>
        <v>0.000445567707482084</v>
      </c>
      <c r="AL70" s="231">
        <f ca="1" t="shared" si="9"/>
        <v>0.000557001940026513</v>
      </c>
      <c r="AN70" s="12">
        <v>429</v>
      </c>
      <c r="AO70" s="231">
        <f ca="1" t="shared" si="10"/>
        <v>0.860225642478503</v>
      </c>
      <c r="AP70" s="231">
        <f ca="1" t="shared" si="11"/>
        <v>0.11160071394307</v>
      </c>
      <c r="AQ70" s="231">
        <f ca="1" t="shared" si="12"/>
        <v>0.0853549606983692</v>
      </c>
      <c r="AR70" s="231">
        <f ca="1" t="shared" si="13"/>
        <v>0.227121067151332</v>
      </c>
      <c r="AS70" s="231">
        <f ca="1" t="shared" si="14"/>
        <v>0.272249862464143</v>
      </c>
    </row>
    <row r="71" ht="15" hidden="1" customHeight="1" spans="9:45">
      <c r="I71" s="12">
        <v>430</v>
      </c>
      <c r="J71" s="230">
        <v>0.0116</v>
      </c>
      <c r="L71" s="12">
        <v>430</v>
      </c>
      <c r="M71" s="230">
        <v>0.756885</v>
      </c>
      <c r="N71" s="230">
        <v>0.0555384</v>
      </c>
      <c r="O71" s="230">
        <v>0.039781</v>
      </c>
      <c r="P71" s="232">
        <v>0.1998</v>
      </c>
      <c r="Q71" s="230">
        <v>0.253865</v>
      </c>
      <c r="S71" s="12">
        <v>430</v>
      </c>
      <c r="T71" s="230">
        <v>0.865705147801832</v>
      </c>
      <c r="U71" s="230">
        <v>0.0927009105497853</v>
      </c>
      <c r="V71" s="230">
        <v>0.0665627107226236</v>
      </c>
      <c r="W71" s="232">
        <v>0.2026861157491</v>
      </c>
      <c r="X71" s="230">
        <v>0.253865099694662</v>
      </c>
      <c r="Z71" s="12">
        <v>430</v>
      </c>
      <c r="AA71" s="230">
        <f ca="1" t="shared" si="0"/>
        <v>0.865705147801832</v>
      </c>
      <c r="AB71" s="230">
        <f ca="1" t="shared" si="1"/>
        <v>0.0927009105497853</v>
      </c>
      <c r="AC71" s="230">
        <f ca="1" t="shared" si="2"/>
        <v>0.0665627107226236</v>
      </c>
      <c r="AD71" s="230">
        <f ca="1" t="shared" si="3"/>
        <v>0.2026861157491</v>
      </c>
      <c r="AE71" s="230">
        <f ca="1" t="shared" si="4"/>
        <v>0.253865099694662</v>
      </c>
      <c r="AG71" s="12">
        <v>430</v>
      </c>
      <c r="AH71" s="231">
        <f ca="1" t="shared" si="5"/>
        <v>0.00201326778558566</v>
      </c>
      <c r="AI71" s="231">
        <f ca="1" t="shared" si="6"/>
        <v>0.000215583512906477</v>
      </c>
      <c r="AJ71" s="231">
        <f ca="1" t="shared" si="7"/>
        <v>0.00015479700168052</v>
      </c>
      <c r="AK71" s="231">
        <f ca="1" t="shared" si="8"/>
        <v>0.000471363059881628</v>
      </c>
      <c r="AL71" s="231">
        <f ca="1" t="shared" si="9"/>
        <v>0.000590383952778284</v>
      </c>
      <c r="AN71" s="12">
        <v>430</v>
      </c>
      <c r="AO71" s="231">
        <f ca="1" t="shared" si="10"/>
        <v>0.885837825657689</v>
      </c>
      <c r="AP71" s="231">
        <f ca="1" t="shared" si="11"/>
        <v>0.117068703722182</v>
      </c>
      <c r="AQ71" s="231">
        <f ca="1" t="shared" si="12"/>
        <v>0.0881222552710162</v>
      </c>
      <c r="AR71" s="231">
        <f ca="1" t="shared" si="13"/>
        <v>0.240269838631287</v>
      </c>
      <c r="AS71" s="231">
        <f ca="1" t="shared" si="14"/>
        <v>0.288566230015777</v>
      </c>
    </row>
    <row r="72" ht="15" hidden="1" customHeight="1" spans="9:45">
      <c r="I72" s="12">
        <v>431</v>
      </c>
      <c r="J72" s="230">
        <v>0.01257317</v>
      </c>
      <c r="L72" s="12">
        <v>431</v>
      </c>
      <c r="M72" s="230">
        <v>0.782292</v>
      </c>
      <c r="N72" s="230">
        <v>0.0591876</v>
      </c>
      <c r="O72" s="230">
        <v>0.0416705</v>
      </c>
      <c r="P72" s="232">
        <v>0.2119</v>
      </c>
      <c r="Q72" s="230">
        <v>0.267021</v>
      </c>
      <c r="S72" s="12">
        <v>431</v>
      </c>
      <c r="T72" s="230">
        <v>0.881472971256658</v>
      </c>
      <c r="U72" s="230">
        <v>0.0962988276457227</v>
      </c>
      <c r="V72" s="230">
        <v>0.0680460625433881</v>
      </c>
      <c r="W72" s="232">
        <v>0.21214656293795</v>
      </c>
      <c r="X72" s="230">
        <v>0.266176064752864</v>
      </c>
      <c r="Z72" s="12">
        <v>431</v>
      </c>
      <c r="AA72" s="230">
        <f ca="1" t="shared" si="0"/>
        <v>0.881472971256658</v>
      </c>
      <c r="AB72" s="230">
        <f ca="1" t="shared" si="1"/>
        <v>0.0962988276457227</v>
      </c>
      <c r="AC72" s="230">
        <f ca="1" t="shared" si="2"/>
        <v>0.0680460625433881</v>
      </c>
      <c r="AD72" s="230">
        <f ca="1" t="shared" si="3"/>
        <v>0.21214656293795</v>
      </c>
      <c r="AE72" s="230">
        <f ca="1" t="shared" si="4"/>
        <v>0.266176064752864</v>
      </c>
      <c r="AG72" s="12">
        <v>431</v>
      </c>
      <c r="AH72" s="231">
        <f ca="1" t="shared" si="5"/>
        <v>0.00204518090778807</v>
      </c>
      <c r="AI72" s="231">
        <f ca="1" t="shared" si="6"/>
        <v>0.000223431154630447</v>
      </c>
      <c r="AJ72" s="231">
        <f ca="1" t="shared" si="7"/>
        <v>0.000157879495460297</v>
      </c>
      <c r="AK72" s="231">
        <f ca="1" t="shared" si="8"/>
        <v>0.000492219403568329</v>
      </c>
      <c r="AL72" s="231">
        <f ca="1" t="shared" si="9"/>
        <v>0.000617577876456761</v>
      </c>
      <c r="AN72" s="12">
        <v>431</v>
      </c>
      <c r="AO72" s="231">
        <f ca="1" t="shared" si="10"/>
        <v>0.899879599426751</v>
      </c>
      <c r="AP72" s="231">
        <f ca="1" t="shared" si="11"/>
        <v>0.121330222757266</v>
      </c>
      <c r="AQ72" s="231">
        <f ca="1" t="shared" si="12"/>
        <v>0.0898770457435957</v>
      </c>
      <c r="AR72" s="231">
        <f ca="1" t="shared" si="13"/>
        <v>0.250901028808347</v>
      </c>
      <c r="AS72" s="231">
        <f ca="1" t="shared" si="14"/>
        <v>0.301858000563243</v>
      </c>
    </row>
    <row r="73" ht="15" hidden="1" customHeight="1" spans="2:45">
      <c r="B73" s="8"/>
      <c r="I73" s="12">
        <v>432</v>
      </c>
      <c r="J73" s="230">
        <v>0.01358272</v>
      </c>
      <c r="L73" s="12">
        <v>432</v>
      </c>
      <c r="M73" s="230">
        <v>0.805666</v>
      </c>
      <c r="N73" s="230">
        <v>0.0629819</v>
      </c>
      <c r="O73" s="230">
        <v>0.0435728</v>
      </c>
      <c r="P73" s="232">
        <v>0.2243</v>
      </c>
      <c r="Q73" s="230">
        <v>0.279976</v>
      </c>
      <c r="S73" s="12">
        <v>432</v>
      </c>
      <c r="T73" s="230">
        <v>0.896860712682363</v>
      </c>
      <c r="U73" s="230">
        <v>0.100114965030325</v>
      </c>
      <c r="V73" s="230">
        <v>0.069613104147129</v>
      </c>
      <c r="W73" s="232">
        <v>0.222020972180234</v>
      </c>
      <c r="X73" s="230">
        <v>0.278999869412754</v>
      </c>
      <c r="Z73" s="12">
        <v>432</v>
      </c>
      <c r="AA73" s="230">
        <f ca="1" t="shared" si="0"/>
        <v>0.896860712682363</v>
      </c>
      <c r="AB73" s="230">
        <f ca="1" t="shared" si="1"/>
        <v>0.100114965030325</v>
      </c>
      <c r="AC73" s="230">
        <f ca="1" t="shared" si="2"/>
        <v>0.069613104147129</v>
      </c>
      <c r="AD73" s="230">
        <f ca="1" t="shared" si="3"/>
        <v>0.222020972180234</v>
      </c>
      <c r="AE73" s="230">
        <f ca="1" t="shared" si="4"/>
        <v>0.278999869412754</v>
      </c>
      <c r="AG73" s="12">
        <v>432</v>
      </c>
      <c r="AH73" s="231">
        <f ca="1" t="shared" si="5"/>
        <v>0.00207606646454251</v>
      </c>
      <c r="AI73" s="231">
        <f ca="1" t="shared" si="6"/>
        <v>0.000231747604236863</v>
      </c>
      <c r="AJ73" s="231">
        <f ca="1" t="shared" si="7"/>
        <v>0.000161141444785021</v>
      </c>
      <c r="AK73" s="231">
        <f ca="1" t="shared" si="8"/>
        <v>0.000513937435602394</v>
      </c>
      <c r="AL73" s="231">
        <f ca="1" t="shared" si="9"/>
        <v>0.000645833031048042</v>
      </c>
      <c r="AN73" s="12">
        <v>432</v>
      </c>
      <c r="AO73" s="231">
        <f ca="1" t="shared" si="10"/>
        <v>0.913469244398703</v>
      </c>
      <c r="AP73" s="231">
        <f ca="1" t="shared" si="11"/>
        <v>0.125846319382041</v>
      </c>
      <c r="AQ73" s="231">
        <f ca="1" t="shared" si="12"/>
        <v>0.0917339959942709</v>
      </c>
      <c r="AR73" s="231">
        <f ca="1" t="shared" si="13"/>
        <v>0.261971450944363</v>
      </c>
      <c r="AS73" s="231">
        <f ca="1" t="shared" si="14"/>
        <v>0.31566847661116</v>
      </c>
    </row>
    <row r="74" ht="15" hidden="1" customHeight="1" spans="2:45">
      <c r="B74" s="8"/>
      <c r="I74" s="12">
        <v>433</v>
      </c>
      <c r="J74" s="230">
        <v>0.01462968</v>
      </c>
      <c r="L74" s="12">
        <v>433</v>
      </c>
      <c r="M74" s="230">
        <v>0.827599</v>
      </c>
      <c r="N74" s="230">
        <v>0.0669031</v>
      </c>
      <c r="O74" s="230">
        <v>0.0454932</v>
      </c>
      <c r="P74" s="232">
        <v>0.2369</v>
      </c>
      <c r="Q74" s="230">
        <v>0.293034</v>
      </c>
      <c r="S74" s="12">
        <v>433</v>
      </c>
      <c r="T74" s="230">
        <v>0.911817661422001</v>
      </c>
      <c r="U74" s="230">
        <v>0.104160486577192</v>
      </c>
      <c r="V74" s="230">
        <v>0.0712705319003872</v>
      </c>
      <c r="W74" s="232">
        <v>0.232321284375553</v>
      </c>
      <c r="X74" s="230">
        <v>0.292349933913593</v>
      </c>
      <c r="Z74" s="12">
        <v>433</v>
      </c>
      <c r="AA74" s="230">
        <f ca="1" t="shared" si="0"/>
        <v>0.911817661422001</v>
      </c>
      <c r="AB74" s="230">
        <f ca="1" t="shared" si="1"/>
        <v>0.104160486577192</v>
      </c>
      <c r="AC74" s="230">
        <f ca="1" t="shared" si="2"/>
        <v>0.0712705319003872</v>
      </c>
      <c r="AD74" s="230">
        <f ca="1" t="shared" si="3"/>
        <v>0.232321284375553</v>
      </c>
      <c r="AE74" s="230">
        <f ca="1" t="shared" si="4"/>
        <v>0.292349933913593</v>
      </c>
      <c r="AG74" s="12">
        <v>433</v>
      </c>
      <c r="AH74" s="231">
        <f ca="1" t="shared" si="5"/>
        <v>0.00210581446055889</v>
      </c>
      <c r="AI74" s="231">
        <f ca="1" t="shared" si="6"/>
        <v>0.000240555396252176</v>
      </c>
      <c r="AJ74" s="231">
        <f ca="1" t="shared" si="7"/>
        <v>0.000164597071363481</v>
      </c>
      <c r="AK74" s="231">
        <f ca="1" t="shared" si="8"/>
        <v>0.000536538762992039</v>
      </c>
      <c r="AL74" s="231">
        <f ca="1" t="shared" si="9"/>
        <v>0.000675173057537166</v>
      </c>
      <c r="AN74" s="12">
        <v>433</v>
      </c>
      <c r="AO74" s="231">
        <f ca="1" t="shared" si="10"/>
        <v>0.926558362645913</v>
      </c>
      <c r="AP74" s="231">
        <f ca="1" t="shared" si="11"/>
        <v>0.130629230561035</v>
      </c>
      <c r="AQ74" s="231">
        <f ca="1" t="shared" si="12"/>
        <v>0.0937012021039657</v>
      </c>
      <c r="AR74" s="231">
        <f ca="1" t="shared" si="13"/>
        <v>0.273492118868843</v>
      </c>
      <c r="AS74" s="231">
        <f ca="1" t="shared" si="14"/>
        <v>0.330009213334587</v>
      </c>
    </row>
    <row r="75" ht="15" hidden="1" customHeight="1" spans="2:45">
      <c r="B75" s="8"/>
      <c r="I75" s="12">
        <v>434</v>
      </c>
      <c r="J75" s="230">
        <v>0.01571509</v>
      </c>
      <c r="L75" s="12">
        <v>434</v>
      </c>
      <c r="M75" s="230">
        <v>0.84878</v>
      </c>
      <c r="N75" s="230">
        <v>0.0709285</v>
      </c>
      <c r="O75" s="230">
        <v>0.0474385</v>
      </c>
      <c r="P75" s="232">
        <v>0.2496</v>
      </c>
      <c r="Q75" s="230">
        <v>0.3065</v>
      </c>
      <c r="S75" s="12">
        <v>434</v>
      </c>
      <c r="T75" s="230">
        <v>0.926294317903346</v>
      </c>
      <c r="U75" s="230">
        <v>0.108447613658885</v>
      </c>
      <c r="V75" s="230">
        <v>0.0730245685975222</v>
      </c>
      <c r="W75" s="232">
        <v>0.243057485114717</v>
      </c>
      <c r="X75" s="230">
        <v>0.306238648879508</v>
      </c>
      <c r="Z75" s="12">
        <v>434</v>
      </c>
      <c r="AA75" s="230">
        <f ca="1" t="shared" si="0"/>
        <v>0.926294317903346</v>
      </c>
      <c r="AB75" s="230">
        <f ca="1" t="shared" si="1"/>
        <v>0.108447613658885</v>
      </c>
      <c r="AC75" s="230">
        <f ca="1" t="shared" si="2"/>
        <v>0.0730245685975222</v>
      </c>
      <c r="AD75" s="230">
        <f ca="1" t="shared" si="3"/>
        <v>0.243057485114717</v>
      </c>
      <c r="AE75" s="230">
        <f ca="1" t="shared" si="4"/>
        <v>0.306238648879508</v>
      </c>
      <c r="AG75" s="12">
        <v>434</v>
      </c>
      <c r="AH75" s="231">
        <f ca="1" t="shared" si="5"/>
        <v>0.00213431870484642</v>
      </c>
      <c r="AI75" s="231">
        <f ca="1" t="shared" si="6"/>
        <v>0.000249879294144896</v>
      </c>
      <c r="AJ75" s="231">
        <f ca="1" t="shared" si="7"/>
        <v>0.000168259374648669</v>
      </c>
      <c r="AK75" s="231">
        <f ca="1" t="shared" si="8"/>
        <v>0.000560040288282758</v>
      </c>
      <c r="AL75" s="231">
        <f ca="1" t="shared" si="9"/>
        <v>0.000705619006634811</v>
      </c>
      <c r="AN75" s="12">
        <v>434</v>
      </c>
      <c r="AO75" s="231">
        <f ca="1" t="shared" si="10"/>
        <v>0.939100230132425</v>
      </c>
      <c r="AP75" s="231">
        <f ca="1" t="shared" si="11"/>
        <v>0.135692403645205</v>
      </c>
      <c r="AQ75" s="231">
        <f ca="1" t="shared" si="12"/>
        <v>0.0957860643524172</v>
      </c>
      <c r="AR75" s="231">
        <f ca="1" t="shared" si="13"/>
        <v>0.285471648386086</v>
      </c>
      <c r="AS75" s="231">
        <f ca="1" t="shared" si="14"/>
        <v>0.34489049984147</v>
      </c>
    </row>
    <row r="76" ht="15" hidden="1" customHeight="1" spans="2:45">
      <c r="B76" s="8"/>
      <c r="I76" s="12">
        <v>435</v>
      </c>
      <c r="J76" s="230">
        <v>0.01684</v>
      </c>
      <c r="L76" s="12">
        <v>435</v>
      </c>
      <c r="M76" s="230">
        <v>0.869984</v>
      </c>
      <c r="N76" s="230">
        <v>0.0750299</v>
      </c>
      <c r="O76" s="230">
        <v>0.0494172</v>
      </c>
      <c r="P76" s="232">
        <v>0.2625</v>
      </c>
      <c r="Q76" s="230">
        <v>0.320679</v>
      </c>
      <c r="S76" s="12">
        <v>435</v>
      </c>
      <c r="T76" s="230">
        <v>0.940238434406581</v>
      </c>
      <c r="U76" s="230">
        <v>0.112988957079879</v>
      </c>
      <c r="V76" s="230">
        <v>0.0748826146322499</v>
      </c>
      <c r="W76" s="232">
        <v>0.254241241150629</v>
      </c>
      <c r="X76" s="230">
        <v>0.320679353961907</v>
      </c>
      <c r="Z76" s="12">
        <v>435</v>
      </c>
      <c r="AA76" s="230">
        <f ca="1" t="shared" si="0"/>
        <v>0.940238434406581</v>
      </c>
      <c r="AB76" s="230">
        <f ca="1" t="shared" si="1"/>
        <v>0.112988957079879</v>
      </c>
      <c r="AC76" s="230">
        <f ca="1" t="shared" si="2"/>
        <v>0.0748826146322499</v>
      </c>
      <c r="AD76" s="230">
        <f ca="1" t="shared" si="3"/>
        <v>0.254241241150629</v>
      </c>
      <c r="AE76" s="230">
        <f ca="1" t="shared" si="4"/>
        <v>0.320679353961907</v>
      </c>
      <c r="AG76" s="12">
        <v>435</v>
      </c>
      <c r="AH76" s="231">
        <f ca="1" t="shared" si="5"/>
        <v>0.00216146766530248</v>
      </c>
      <c r="AI76" s="231">
        <f ca="1" t="shared" si="6"/>
        <v>0.000259744728919262</v>
      </c>
      <c r="AJ76" s="231">
        <f ca="1" t="shared" si="7"/>
        <v>0.000172143941683333</v>
      </c>
      <c r="AK76" s="231">
        <f ca="1" t="shared" si="8"/>
        <v>0.000584462623334779</v>
      </c>
      <c r="AL76" s="231">
        <f ca="1" t="shared" si="9"/>
        <v>0.000737193917153809</v>
      </c>
      <c r="AN76" s="12">
        <v>435</v>
      </c>
      <c r="AO76" s="231">
        <f ca="1" t="shared" si="10"/>
        <v>0.951045772733093</v>
      </c>
      <c r="AP76" s="231">
        <f ca="1" t="shared" si="11"/>
        <v>0.141049648478634</v>
      </c>
      <c r="AQ76" s="231">
        <f ca="1" t="shared" si="12"/>
        <v>0.0979974560727335</v>
      </c>
      <c r="AR76" s="231">
        <f ca="1" t="shared" si="13"/>
        <v>0.297920546064708</v>
      </c>
      <c r="AS76" s="231">
        <f ca="1" t="shared" si="14"/>
        <v>0.360323596978808</v>
      </c>
    </row>
    <row r="77" ht="15" hidden="1" customHeight="1" spans="2:45">
      <c r="B77" s="8"/>
      <c r="I77" s="12">
        <v>436</v>
      </c>
      <c r="J77" s="230">
        <v>0.01800736</v>
      </c>
      <c r="L77" s="12">
        <v>436</v>
      </c>
      <c r="M77" s="230">
        <v>0.891761</v>
      </c>
      <c r="N77" s="230">
        <v>0.0791769</v>
      </c>
      <c r="O77" s="230">
        <v>0.0514343</v>
      </c>
      <c r="P77" s="232">
        <v>0.2755</v>
      </c>
      <c r="Q77" s="230">
        <v>0.336016</v>
      </c>
      <c r="S77" s="12">
        <v>436</v>
      </c>
      <c r="T77" s="230">
        <v>0.953590684824725</v>
      </c>
      <c r="U77" s="230">
        <v>0.117796666329618</v>
      </c>
      <c r="V77" s="230">
        <v>0.0768519691946683</v>
      </c>
      <c r="W77" s="232">
        <v>0.265882038609017</v>
      </c>
      <c r="X77" s="230">
        <v>0.335684277034757</v>
      </c>
      <c r="Z77" s="12">
        <v>436</v>
      </c>
      <c r="AA77" s="230">
        <f ca="1" t="shared" si="0"/>
        <v>0.953590684824725</v>
      </c>
      <c r="AB77" s="230">
        <f ca="1" t="shared" si="1"/>
        <v>0.117796666329618</v>
      </c>
      <c r="AC77" s="230">
        <f ca="1" t="shared" si="2"/>
        <v>0.0768519691946683</v>
      </c>
      <c r="AD77" s="230">
        <f ca="1" t="shared" si="3"/>
        <v>0.265882038609017</v>
      </c>
      <c r="AE77" s="230">
        <f ca="1" t="shared" si="4"/>
        <v>0.335684277034757</v>
      </c>
      <c r="AG77" s="12">
        <v>436</v>
      </c>
      <c r="AH77" s="231">
        <f ca="1" t="shared" si="5"/>
        <v>0.00218713459822185</v>
      </c>
      <c r="AI77" s="231">
        <f ca="1" t="shared" si="6"/>
        <v>0.000270175840205546</v>
      </c>
      <c r="AJ77" s="231">
        <f ca="1" t="shared" si="7"/>
        <v>0.000176265984391441</v>
      </c>
      <c r="AK77" s="231">
        <f ca="1" t="shared" si="8"/>
        <v>0.000609821189470222</v>
      </c>
      <c r="AL77" s="231">
        <f ca="1" t="shared" si="9"/>
        <v>0.000769918066593479</v>
      </c>
      <c r="AN77" s="12">
        <v>436</v>
      </c>
      <c r="AO77" s="231">
        <f ca="1" t="shared" si="10"/>
        <v>0.962339223217612</v>
      </c>
      <c r="AP77" s="231">
        <f ca="1" t="shared" si="11"/>
        <v>0.146714073648275</v>
      </c>
      <c r="AQ77" s="231">
        <f ca="1" t="shared" si="12"/>
        <v>0.100344037051812</v>
      </c>
      <c r="AR77" s="231">
        <f ca="1" t="shared" si="13"/>
        <v>0.310846672678901</v>
      </c>
      <c r="AS77" s="231">
        <f ca="1" t="shared" si="14"/>
        <v>0.376318415926444</v>
      </c>
    </row>
    <row r="78" ht="15" hidden="1" customHeight="1" spans="2:45">
      <c r="B78" s="8"/>
      <c r="I78" s="12">
        <v>437</v>
      </c>
      <c r="J78" s="230">
        <v>0.01921448</v>
      </c>
      <c r="L78" s="12">
        <v>437</v>
      </c>
      <c r="M78" s="230">
        <v>0.913444</v>
      </c>
      <c r="N78" s="230">
        <v>0.0833463</v>
      </c>
      <c r="O78" s="230">
        <v>0.0534735</v>
      </c>
      <c r="P78" s="232">
        <v>0.2886</v>
      </c>
      <c r="Q78" s="230">
        <v>0.352361</v>
      </c>
      <c r="S78" s="12">
        <v>437</v>
      </c>
      <c r="T78" s="230">
        <v>0.966300045524693</v>
      </c>
      <c r="U78" s="230">
        <v>0.122884469799074</v>
      </c>
      <c r="V78" s="230">
        <v>0.0789403413465978</v>
      </c>
      <c r="W78" s="232">
        <v>0.277991809214787</v>
      </c>
      <c r="X78" s="230">
        <v>0.351265097947246</v>
      </c>
      <c r="Z78" s="12">
        <v>437</v>
      </c>
      <c r="AA78" s="230">
        <f ca="1" t="shared" si="0"/>
        <v>0.966300045524693</v>
      </c>
      <c r="AB78" s="230">
        <f ca="1" t="shared" si="1"/>
        <v>0.122884469799074</v>
      </c>
      <c r="AC78" s="230">
        <f ca="1" t="shared" si="2"/>
        <v>0.0789403413465978</v>
      </c>
      <c r="AD78" s="230">
        <f ca="1" t="shared" si="3"/>
        <v>0.277991809214787</v>
      </c>
      <c r="AE78" s="230">
        <f ca="1" t="shared" si="4"/>
        <v>0.351265097947246</v>
      </c>
      <c r="AG78" s="12">
        <v>437</v>
      </c>
      <c r="AH78" s="231">
        <f ca="1" t="shared" si="5"/>
        <v>0.00221121291882081</v>
      </c>
      <c r="AI78" s="231">
        <f ca="1" t="shared" si="6"/>
        <v>0.000281200159723281</v>
      </c>
      <c r="AJ78" s="231">
        <f ca="1" t="shared" si="7"/>
        <v>0.000180641513378942</v>
      </c>
      <c r="AK78" s="231">
        <f ca="1" t="shared" si="8"/>
        <v>0.000636136863191732</v>
      </c>
      <c r="AL78" s="231">
        <f ca="1" t="shared" si="9"/>
        <v>0.00080381029278546</v>
      </c>
      <c r="AN78" s="12">
        <v>437</v>
      </c>
      <c r="AO78" s="231">
        <f ca="1" t="shared" si="10"/>
        <v>0.972933684281155</v>
      </c>
      <c r="AP78" s="231">
        <f ca="1" t="shared" si="11"/>
        <v>0.152700629753427</v>
      </c>
      <c r="AQ78" s="231">
        <f ca="1" t="shared" si="12"/>
        <v>0.102834921747228</v>
      </c>
      <c r="AR78" s="231">
        <f ca="1" t="shared" si="13"/>
        <v>0.324260669694553</v>
      </c>
      <c r="AS78" s="231">
        <f ca="1" t="shared" si="14"/>
        <v>0.392884164187449</v>
      </c>
    </row>
    <row r="79" ht="15" hidden="1" customHeight="1" spans="2:45">
      <c r="B79" s="8"/>
      <c r="I79" s="12">
        <v>438</v>
      </c>
      <c r="J79" s="230">
        <v>0.02045392</v>
      </c>
      <c r="L79" s="12">
        <v>438</v>
      </c>
      <c r="M79" s="230">
        <v>0.933977</v>
      </c>
      <c r="N79" s="230">
        <v>0.087516</v>
      </c>
      <c r="O79" s="230">
        <v>0.0555102</v>
      </c>
      <c r="P79" s="232">
        <v>0.3017</v>
      </c>
      <c r="Q79" s="230">
        <v>0.369128</v>
      </c>
      <c r="S79" s="12">
        <v>438</v>
      </c>
      <c r="T79" s="230">
        <v>0.97831114258561</v>
      </c>
      <c r="U79" s="230">
        <v>0.128265246465354</v>
      </c>
      <c r="V79" s="230">
        <v>0.0811558816238824</v>
      </c>
      <c r="W79" s="232">
        <v>0.290580856811545</v>
      </c>
      <c r="X79" s="230">
        <v>0.367435403873913</v>
      </c>
      <c r="Z79" s="12">
        <v>438</v>
      </c>
      <c r="AA79" s="230">
        <f ca="1" t="shared" si="0"/>
        <v>0.97831114258561</v>
      </c>
      <c r="AB79" s="230">
        <f ca="1" t="shared" si="1"/>
        <v>0.128265246465354</v>
      </c>
      <c r="AC79" s="230">
        <f ca="1" t="shared" si="2"/>
        <v>0.0811558816238824</v>
      </c>
      <c r="AD79" s="230">
        <f ca="1" t="shared" si="3"/>
        <v>0.290580856811545</v>
      </c>
      <c r="AE79" s="230">
        <f ca="1" t="shared" si="4"/>
        <v>0.367435403873913</v>
      </c>
      <c r="AG79" s="12">
        <v>438</v>
      </c>
      <c r="AH79" s="231">
        <f ca="1" t="shared" si="5"/>
        <v>0.00223358708352879</v>
      </c>
      <c r="AI79" s="231">
        <f ca="1" t="shared" si="6"/>
        <v>0.000292843028459712</v>
      </c>
      <c r="AJ79" s="231">
        <f ca="1" t="shared" si="7"/>
        <v>0.000185287400967768</v>
      </c>
      <c r="AK79" s="231">
        <f ca="1" t="shared" si="8"/>
        <v>0.000663426613724989</v>
      </c>
      <c r="AL79" s="231">
        <f ca="1" t="shared" si="9"/>
        <v>0.000838893616150486</v>
      </c>
      <c r="AN79" s="12">
        <v>438</v>
      </c>
      <c r="AO79" s="231">
        <f ca="1" t="shared" si="10"/>
        <v>0.982778316752668</v>
      </c>
      <c r="AP79" s="231">
        <f ca="1" t="shared" si="11"/>
        <v>0.159023077756085</v>
      </c>
      <c r="AQ79" s="231">
        <f ca="1" t="shared" si="12"/>
        <v>0.105479715170992</v>
      </c>
      <c r="AR79" s="231">
        <f ca="1" t="shared" si="13"/>
        <v>0.33817118690513</v>
      </c>
      <c r="AS79" s="231">
        <f ca="1" t="shared" si="14"/>
        <v>0.410032093619183</v>
      </c>
    </row>
    <row r="80" ht="15" hidden="1" customHeight="1" spans="2:45">
      <c r="B80" s="8"/>
      <c r="I80" s="12">
        <v>439</v>
      </c>
      <c r="J80" s="230">
        <v>0.02171824</v>
      </c>
      <c r="L80" s="12">
        <v>439</v>
      </c>
      <c r="M80" s="230">
        <v>0.952218</v>
      </c>
      <c r="N80" s="230">
        <v>0.0916625</v>
      </c>
      <c r="O80" s="230">
        <v>0.0575166</v>
      </c>
      <c r="P80" s="232">
        <v>0.3149</v>
      </c>
      <c r="Q80" s="230">
        <v>0.385732</v>
      </c>
      <c r="S80" s="12">
        <v>439</v>
      </c>
      <c r="T80" s="230">
        <v>0.989561977958133</v>
      </c>
      <c r="U80" s="230">
        <v>0.133952862906874</v>
      </c>
      <c r="V80" s="230">
        <v>0.0835072149949341</v>
      </c>
      <c r="W80" s="232">
        <v>0.303658889882735</v>
      </c>
      <c r="X80" s="230">
        <v>0.384204989011359</v>
      </c>
      <c r="Z80" s="12">
        <v>439</v>
      </c>
      <c r="AA80" s="230">
        <f ca="1" t="shared" si="0"/>
        <v>0.989561977958133</v>
      </c>
      <c r="AB80" s="230">
        <f ca="1" t="shared" si="1"/>
        <v>0.133952862906874</v>
      </c>
      <c r="AC80" s="230">
        <f ca="1" t="shared" si="2"/>
        <v>0.0835072149949341</v>
      </c>
      <c r="AD80" s="230">
        <f ca="1" t="shared" si="3"/>
        <v>0.303658889882735</v>
      </c>
      <c r="AE80" s="230">
        <f ca="1" t="shared" si="4"/>
        <v>0.384204989011359</v>
      </c>
      <c r="AG80" s="12">
        <v>439</v>
      </c>
      <c r="AH80" s="231">
        <f ca="1" t="shared" si="5"/>
        <v>0.0022541275124331</v>
      </c>
      <c r="AI80" s="231">
        <f ca="1" t="shared" si="6"/>
        <v>0.000305131806166</v>
      </c>
      <c r="AJ80" s="231">
        <f ca="1" t="shared" si="7"/>
        <v>0.000190221446457709</v>
      </c>
      <c r="AK80" s="231">
        <f ca="1" t="shared" si="8"/>
        <v>0.000691705899505091</v>
      </c>
      <c r="AL80" s="231">
        <f ca="1" t="shared" si="9"/>
        <v>0.000875182207315169</v>
      </c>
      <c r="AN80" s="12">
        <v>439</v>
      </c>
      <c r="AO80" s="231">
        <f ca="1" t="shared" si="10"/>
        <v>0.991816105470566</v>
      </c>
      <c r="AP80" s="231">
        <f ca="1" t="shared" si="11"/>
        <v>0.165696274871252</v>
      </c>
      <c r="AQ80" s="231">
        <f ca="1" t="shared" si="12"/>
        <v>0.108288550041584</v>
      </c>
      <c r="AR80" s="231">
        <f ca="1" t="shared" si="13"/>
        <v>0.352586104002579</v>
      </c>
      <c r="AS80" s="231">
        <f ca="1" t="shared" si="14"/>
        <v>0.427769130501194</v>
      </c>
    </row>
    <row r="81" ht="15" hidden="1" customHeight="1" spans="2:45">
      <c r="B81" s="250"/>
      <c r="I81" s="12">
        <v>440</v>
      </c>
      <c r="J81" s="230">
        <v>0.023</v>
      </c>
      <c r="L81" s="12">
        <v>440</v>
      </c>
      <c r="M81" s="230">
        <v>0.96696</v>
      </c>
      <c r="N81" s="230">
        <v>0.0957612</v>
      </c>
      <c r="O81" s="230">
        <v>0.0594619</v>
      </c>
      <c r="P81" s="232">
        <v>0.3281</v>
      </c>
      <c r="Q81" s="230">
        <v>0.401587</v>
      </c>
      <c r="S81" s="12">
        <v>440</v>
      </c>
      <c r="T81" s="230">
        <v>1</v>
      </c>
      <c r="U81" s="230">
        <v>0.13996163268933</v>
      </c>
      <c r="V81" s="230">
        <v>0.0860032770855448</v>
      </c>
      <c r="W81" s="232">
        <v>0.317237851538647</v>
      </c>
      <c r="X81" s="230">
        <v>0.401587327735438</v>
      </c>
      <c r="Z81" s="12">
        <v>440</v>
      </c>
      <c r="AA81" s="230">
        <f ca="1" t="shared" si="0"/>
        <v>1</v>
      </c>
      <c r="AB81" s="230">
        <f ca="1" t="shared" si="1"/>
        <v>0.13996163268933</v>
      </c>
      <c r="AC81" s="230">
        <f ca="1" t="shared" si="2"/>
        <v>0.0860032770855448</v>
      </c>
      <c r="AD81" s="230">
        <f ca="1" t="shared" si="3"/>
        <v>0.317237851538647</v>
      </c>
      <c r="AE81" s="230">
        <f ca="1" t="shared" si="4"/>
        <v>0.401587327735438</v>
      </c>
      <c r="AG81" s="12">
        <v>440</v>
      </c>
      <c r="AH81" s="231">
        <f ca="1" t="shared" si="5"/>
        <v>0.00227272727272727</v>
      </c>
      <c r="AI81" s="231">
        <f ca="1" t="shared" si="6"/>
        <v>0.000318094619748477</v>
      </c>
      <c r="AJ81" s="231">
        <f ca="1" t="shared" si="7"/>
        <v>0.000195461993376238</v>
      </c>
      <c r="AK81" s="231">
        <f ca="1" t="shared" si="8"/>
        <v>0.000720995117133289</v>
      </c>
      <c r="AL81" s="231">
        <f ca="1" t="shared" si="9"/>
        <v>0.000912698472125995</v>
      </c>
      <c r="AN81" s="12">
        <v>440</v>
      </c>
      <c r="AO81" s="231">
        <f ca="1" t="shared" si="10"/>
        <v>1</v>
      </c>
      <c r="AP81" s="231">
        <f ca="1" t="shared" si="11"/>
        <v>0.172735494903589</v>
      </c>
      <c r="AQ81" s="231">
        <f ca="1" t="shared" si="12"/>
        <v>0.111271868893376</v>
      </c>
      <c r="AR81" s="231">
        <f ca="1" t="shared" si="13"/>
        <v>0.367515817830665</v>
      </c>
      <c r="AS81" s="231">
        <f ca="1" t="shared" si="14"/>
        <v>0.44610622630095</v>
      </c>
    </row>
    <row r="82" ht="15" hidden="1" customHeight="1" spans="2:45">
      <c r="B82" s="250"/>
      <c r="I82" s="12">
        <v>441</v>
      </c>
      <c r="J82" s="230">
        <v>0.02429461</v>
      </c>
      <c r="L82" s="12">
        <v>441</v>
      </c>
      <c r="M82" s="230">
        <v>0.97734</v>
      </c>
      <c r="N82" s="230">
        <v>0.0997977</v>
      </c>
      <c r="O82" s="230">
        <v>0.061324</v>
      </c>
      <c r="P82" s="232">
        <v>0.3412</v>
      </c>
      <c r="Q82" s="230">
        <v>0.416472</v>
      </c>
      <c r="S82" s="12">
        <v>441</v>
      </c>
      <c r="T82" s="230">
        <v>0.999620145622605</v>
      </c>
      <c r="U82" s="230">
        <v>0.144864175848772</v>
      </c>
      <c r="V82" s="230">
        <v>0.0877800855964412</v>
      </c>
      <c r="W82" s="232">
        <v>0.328062809626026</v>
      </c>
      <c r="X82" s="230">
        <v>0.415458835999444</v>
      </c>
      <c r="Z82" s="12">
        <v>441</v>
      </c>
      <c r="AA82" s="230">
        <f ca="1" t="shared" si="0"/>
        <v>0.999620145622605</v>
      </c>
      <c r="AB82" s="230">
        <f ca="1" t="shared" si="1"/>
        <v>0.144864175848772</v>
      </c>
      <c r="AC82" s="230">
        <f ca="1" t="shared" si="2"/>
        <v>0.0877800855964412</v>
      </c>
      <c r="AD82" s="230">
        <f ca="1" t="shared" si="3"/>
        <v>0.328062809626026</v>
      </c>
      <c r="AE82" s="230">
        <f ca="1" t="shared" si="4"/>
        <v>0.415458835999444</v>
      </c>
      <c r="AG82" s="12">
        <v>441</v>
      </c>
      <c r="AH82" s="231">
        <f ca="1" t="shared" si="5"/>
        <v>0.00226671234835058</v>
      </c>
      <c r="AI82" s="231">
        <f ca="1" t="shared" si="6"/>
        <v>0.000328490194668417</v>
      </c>
      <c r="AJ82" s="231">
        <f ca="1" t="shared" si="7"/>
        <v>0.000199047813143858</v>
      </c>
      <c r="AK82" s="231">
        <f ca="1" t="shared" si="8"/>
        <v>0.000743906597791442</v>
      </c>
      <c r="AL82" s="231">
        <f ca="1" t="shared" si="9"/>
        <v>0.00094208352834341</v>
      </c>
      <c r="AN82" s="12">
        <v>441</v>
      </c>
      <c r="AO82" s="231">
        <f ca="1" t="shared" si="10"/>
        <v>0.997353433274254</v>
      </c>
      <c r="AP82" s="231">
        <f ca="1" t="shared" si="11"/>
        <v>0.178380622696141</v>
      </c>
      <c r="AQ82" s="231">
        <f ca="1" t="shared" si="12"/>
        <v>0.11331319089243</v>
      </c>
      <c r="AR82" s="231">
        <f ca="1" t="shared" si="13"/>
        <v>0.379194581461232</v>
      </c>
      <c r="AS82" s="231">
        <f ca="1" t="shared" si="14"/>
        <v>0.460468972530006</v>
      </c>
    </row>
    <row r="83" ht="15" hidden="1" customHeight="1" spans="2:45">
      <c r="B83" s="250"/>
      <c r="I83" s="12">
        <v>442</v>
      </c>
      <c r="J83" s="230">
        <v>0.02561024</v>
      </c>
      <c r="L83" s="12">
        <v>442</v>
      </c>
      <c r="M83" s="230">
        <v>0.984028</v>
      </c>
      <c r="N83" s="230">
        <v>0.103804</v>
      </c>
      <c r="O83" s="230">
        <v>0.0631288</v>
      </c>
      <c r="P83" s="232">
        <v>0.3543</v>
      </c>
      <c r="Q83" s="230">
        <v>0.430797</v>
      </c>
      <c r="S83" s="12">
        <v>442</v>
      </c>
      <c r="T83" s="230">
        <v>0.998237774364937</v>
      </c>
      <c r="U83" s="230">
        <v>0.15000025591332</v>
      </c>
      <c r="V83" s="230">
        <v>0.0896745074643962</v>
      </c>
      <c r="W83" s="232">
        <v>0.339154044104591</v>
      </c>
      <c r="X83" s="230">
        <v>0.429639299675834</v>
      </c>
      <c r="Z83" s="12">
        <v>442</v>
      </c>
      <c r="AA83" s="230">
        <f ca="1" t="shared" si="0"/>
        <v>0.998237774364937</v>
      </c>
      <c r="AB83" s="230">
        <f ca="1" t="shared" si="1"/>
        <v>0.15000025591332</v>
      </c>
      <c r="AC83" s="230">
        <f ca="1" t="shared" si="2"/>
        <v>0.0896745074643962</v>
      </c>
      <c r="AD83" s="230">
        <f ca="1" t="shared" si="3"/>
        <v>0.339154044104591</v>
      </c>
      <c r="AE83" s="230">
        <f ca="1" t="shared" si="4"/>
        <v>0.429639299675834</v>
      </c>
      <c r="AG83" s="12">
        <v>442</v>
      </c>
      <c r="AH83" s="231">
        <f ca="1" t="shared" si="5"/>
        <v>0.00225845650308809</v>
      </c>
      <c r="AI83" s="231">
        <f ca="1" t="shared" si="6"/>
        <v>0.000339367094826516</v>
      </c>
      <c r="AJ83" s="231">
        <f ca="1" t="shared" si="7"/>
        <v>0.00020288350105067</v>
      </c>
      <c r="AK83" s="231">
        <f ca="1" t="shared" si="8"/>
        <v>0.00076731684186559</v>
      </c>
      <c r="AL83" s="231">
        <f ca="1" t="shared" si="9"/>
        <v>0.000972034614651208</v>
      </c>
      <c r="AN83" s="12">
        <v>442</v>
      </c>
      <c r="AO83" s="231">
        <f ca="1" t="shared" si="10"/>
        <v>0.993720861358761</v>
      </c>
      <c r="AP83" s="231">
        <f ca="1" t="shared" si="11"/>
        <v>0.184287125400624</v>
      </c>
      <c r="AQ83" s="231">
        <f ca="1" t="shared" si="12"/>
        <v>0.115496756886568</v>
      </c>
      <c r="AR83" s="231">
        <f ca="1" t="shared" si="13"/>
        <v>0.39112758182708</v>
      </c>
      <c r="AS83" s="231">
        <f ca="1" t="shared" si="14"/>
        <v>0.475108381375801</v>
      </c>
    </row>
    <row r="84" ht="15" hidden="1" customHeight="1" spans="2:45">
      <c r="B84" s="8"/>
      <c r="I84" s="12">
        <v>443</v>
      </c>
      <c r="J84" s="230">
        <v>0.02695857</v>
      </c>
      <c r="L84" s="12">
        <v>443</v>
      </c>
      <c r="M84" s="230">
        <v>0.988144</v>
      </c>
      <c r="N84" s="230">
        <v>0.107834</v>
      </c>
      <c r="O84" s="230">
        <v>0.0649189</v>
      </c>
      <c r="P84" s="232">
        <v>0.3673</v>
      </c>
      <c r="Q84" s="230">
        <v>0.444921</v>
      </c>
      <c r="S84" s="12">
        <v>443</v>
      </c>
      <c r="T84" s="230">
        <v>0.995831821711054</v>
      </c>
      <c r="U84" s="230">
        <v>0.155375307087276</v>
      </c>
      <c r="V84" s="230">
        <v>0.0916919058934925</v>
      </c>
      <c r="W84" s="232">
        <v>0.350511280967077</v>
      </c>
      <c r="X84" s="230">
        <v>0.444125797147844</v>
      </c>
      <c r="Z84" s="12">
        <v>443</v>
      </c>
      <c r="AA84" s="230">
        <f ca="1" t="shared" si="0"/>
        <v>0.995831821711054</v>
      </c>
      <c r="AB84" s="230">
        <f ca="1" t="shared" si="1"/>
        <v>0.155375307087276</v>
      </c>
      <c r="AC84" s="230">
        <f ca="1" t="shared" si="2"/>
        <v>0.0916919058934925</v>
      </c>
      <c r="AD84" s="230">
        <f ca="1" t="shared" si="3"/>
        <v>0.350511280967077</v>
      </c>
      <c r="AE84" s="230">
        <f ca="1" t="shared" si="4"/>
        <v>0.444125797147844</v>
      </c>
      <c r="AG84" s="12">
        <v>443</v>
      </c>
      <c r="AH84" s="231">
        <f ca="1" t="shared" si="5"/>
        <v>0.0022479273627789</v>
      </c>
      <c r="AI84" s="231">
        <f ca="1" t="shared" si="6"/>
        <v>0.000350734327510781</v>
      </c>
      <c r="AJ84" s="231">
        <f ca="1" t="shared" si="7"/>
        <v>0.000206979471542872</v>
      </c>
      <c r="AK84" s="231">
        <f ca="1" t="shared" si="8"/>
        <v>0.000791221853198819</v>
      </c>
      <c r="AL84" s="231">
        <f ca="1" t="shared" si="9"/>
        <v>0.0010025413028168</v>
      </c>
      <c r="AN84" s="12">
        <v>443</v>
      </c>
      <c r="AO84" s="231">
        <f ca="1" t="shared" si="10"/>
        <v>0.989088039622717</v>
      </c>
      <c r="AP84" s="231">
        <f ca="1" t="shared" si="11"/>
        <v>0.190459894260888</v>
      </c>
      <c r="AQ84" s="231">
        <f ca="1" t="shared" si="12"/>
        <v>0.117828495572575</v>
      </c>
      <c r="AR84" s="231">
        <f ca="1" t="shared" si="13"/>
        <v>0.403312781950646</v>
      </c>
      <c r="AS84" s="231">
        <f ca="1" t="shared" si="14"/>
        <v>0.490019355755755</v>
      </c>
    </row>
    <row r="85" ht="15" hidden="1" customHeight="1" spans="2:45">
      <c r="B85" s="250"/>
      <c r="I85" s="12">
        <v>444</v>
      </c>
      <c r="J85" s="230">
        <v>0.02835125</v>
      </c>
      <c r="L85" s="12">
        <v>444</v>
      </c>
      <c r="M85" s="230">
        <v>0.990851</v>
      </c>
      <c r="N85" s="230">
        <v>0.111948</v>
      </c>
      <c r="O85" s="230">
        <v>0.0667425</v>
      </c>
      <c r="P85" s="232">
        <v>0.3803</v>
      </c>
      <c r="Q85" s="230">
        <v>0.459203</v>
      </c>
      <c r="S85" s="12">
        <v>444</v>
      </c>
      <c r="T85" s="230">
        <v>0.992375422838918</v>
      </c>
      <c r="U85" s="230">
        <v>0.160995968129287</v>
      </c>
      <c r="V85" s="230">
        <v>0.0938387037542945</v>
      </c>
      <c r="W85" s="232">
        <v>0.362132080722844</v>
      </c>
      <c r="X85" s="230">
        <v>0.458914732461243</v>
      </c>
      <c r="Z85" s="12">
        <v>444</v>
      </c>
      <c r="AA85" s="230">
        <f ca="1" t="shared" ref="AA85:AA148" si="15">OFFSET(M85,0,$AA$8)</f>
        <v>0.992375422838918</v>
      </c>
      <c r="AB85" s="230">
        <f ca="1" t="shared" ref="AB85:AB148" si="16">OFFSET(N85,0,$AA$8)</f>
        <v>0.160995968129287</v>
      </c>
      <c r="AC85" s="230">
        <f ca="1" t="shared" ref="AC85:AC148" si="17">OFFSET(O85,0,$AA$8)</f>
        <v>0.0938387037542945</v>
      </c>
      <c r="AD85" s="230">
        <f ca="1" t="shared" ref="AD85:AD148" si="18">OFFSET(P85,0,$AA$8)</f>
        <v>0.362132080722844</v>
      </c>
      <c r="AE85" s="230">
        <f ca="1" t="shared" ref="AE85:AE148" si="19">OFFSET(Q85,0,$AA$8)</f>
        <v>0.458914732461243</v>
      </c>
      <c r="AG85" s="12">
        <v>444</v>
      </c>
      <c r="AH85" s="231">
        <f ca="1" t="shared" ref="AH85:AH148" si="20">AA85/$Z85</f>
        <v>0.00223507978116873</v>
      </c>
      <c r="AI85" s="231">
        <f ca="1" t="shared" ref="AI85:AI148" si="21">AB85/$Z85</f>
        <v>0.000362603531822718</v>
      </c>
      <c r="AJ85" s="231">
        <f ca="1" t="shared" ref="AJ85:AJ148" si="22">AC85/$Z85</f>
        <v>0.000211348431879042</v>
      </c>
      <c r="AK85" s="231">
        <f ca="1" t="shared" ref="AK85:AK148" si="23">AD85/$Z85</f>
        <v>0.00081561279442082</v>
      </c>
      <c r="AL85" s="231">
        <f ca="1" t="shared" ref="AL85:AL148" si="24">AE85/$Z85</f>
        <v>0.00103359173977757</v>
      </c>
      <c r="AN85" s="12">
        <v>444</v>
      </c>
      <c r="AO85" s="231">
        <f ca="1" t="shared" ref="AO85:AO148" si="25">IF(AH85=0,"",AH85/AH$11)</f>
        <v>0.983435103714243</v>
      </c>
      <c r="AP85" s="231">
        <f ca="1" t="shared" ref="AP85:AP148" si="26">IF(AI85=0,"",AI85/AI$11)</f>
        <v>0.196905249679208</v>
      </c>
      <c r="AQ85" s="231">
        <f ca="1" t="shared" ref="AQ85:AQ148" si="27">IF(AJ85=0,"",AJ85/AJ$11)</f>
        <v>0.120315640890851</v>
      </c>
      <c r="AR85" s="231">
        <f ca="1" t="shared" ref="AR85:AR148" si="28">IF(AK85=0,"",AK85/AK$11)</f>
        <v>0.415745677122675</v>
      </c>
      <c r="AS85" s="231">
        <f ca="1" t="shared" ref="AS85:AS148" si="29">IF(AL85=0,"",AL85/AL$11)</f>
        <v>0.505196102162813</v>
      </c>
    </row>
    <row r="86" ht="15" hidden="1" customHeight="1" spans="2:45">
      <c r="B86" s="250"/>
      <c r="C86" s="221"/>
      <c r="D86" s="221"/>
      <c r="E86" s="221"/>
      <c r="F86" s="221"/>
      <c r="G86" s="221"/>
      <c r="I86" s="12">
        <v>445</v>
      </c>
      <c r="J86" s="230">
        <v>0.0298</v>
      </c>
      <c r="L86" s="12">
        <v>445</v>
      </c>
      <c r="M86" s="230">
        <v>0.993336</v>
      </c>
      <c r="N86" s="230">
        <v>0.11622</v>
      </c>
      <c r="O86" s="230">
        <v>0.0686538</v>
      </c>
      <c r="P86" s="232">
        <v>0.3931</v>
      </c>
      <c r="Q86" s="230">
        <v>0.474002</v>
      </c>
      <c r="S86" s="12">
        <v>445</v>
      </c>
      <c r="T86" s="230">
        <v>0.987849990481095</v>
      </c>
      <c r="U86" s="230">
        <v>0.166868360893891</v>
      </c>
      <c r="V86" s="230">
        <v>0.0961209379485344</v>
      </c>
      <c r="W86" s="232">
        <v>0.374014121507539</v>
      </c>
      <c r="X86" s="230">
        <v>0.474002901373129</v>
      </c>
      <c r="Z86" s="12">
        <v>445</v>
      </c>
      <c r="AA86" s="230">
        <f ca="1" t="shared" si="15"/>
        <v>0.987849990481095</v>
      </c>
      <c r="AB86" s="230">
        <f ca="1" t="shared" si="16"/>
        <v>0.166868360893891</v>
      </c>
      <c r="AC86" s="230">
        <f ca="1" t="shared" si="17"/>
        <v>0.0961209379485344</v>
      </c>
      <c r="AD86" s="230">
        <f ca="1" t="shared" si="18"/>
        <v>0.374014121507539</v>
      </c>
      <c r="AE86" s="230">
        <f ca="1" t="shared" si="19"/>
        <v>0.474002901373129</v>
      </c>
      <c r="AG86" s="12">
        <v>445</v>
      </c>
      <c r="AH86" s="231">
        <f ca="1" t="shared" si="20"/>
        <v>0.00221988761905864</v>
      </c>
      <c r="AI86" s="231">
        <f ca="1" t="shared" si="21"/>
        <v>0.000374985080660429</v>
      </c>
      <c r="AJ86" s="231">
        <f ca="1" t="shared" si="22"/>
        <v>0.000216002107749515</v>
      </c>
      <c r="AK86" s="231">
        <f ca="1" t="shared" si="23"/>
        <v>0.000840481171927054</v>
      </c>
      <c r="AL86" s="231">
        <f ca="1" t="shared" si="24"/>
        <v>0.00106517505926546</v>
      </c>
      <c r="AN86" s="12">
        <v>445</v>
      </c>
      <c r="AO86" s="231">
        <f ca="1" t="shared" si="25"/>
        <v>0.976750552385802</v>
      </c>
      <c r="AP86" s="231">
        <f ca="1" t="shared" si="26"/>
        <v>0.203628824469144</v>
      </c>
      <c r="AQ86" s="231">
        <f ca="1" t="shared" si="27"/>
        <v>0.122964867998317</v>
      </c>
      <c r="AR86" s="231">
        <f ca="1" t="shared" si="28"/>
        <v>0.428421937863059</v>
      </c>
      <c r="AS86" s="231">
        <f ca="1" t="shared" si="29"/>
        <v>0.520633309412626</v>
      </c>
    </row>
    <row r="87" ht="15" hidden="1" customHeight="1" spans="2:45">
      <c r="B87" s="8"/>
      <c r="C87" s="221"/>
      <c r="D87" s="221"/>
      <c r="E87" s="221"/>
      <c r="F87" s="221"/>
      <c r="G87" s="221"/>
      <c r="I87" s="12">
        <v>446</v>
      </c>
      <c r="J87" s="230">
        <v>0.03131083</v>
      </c>
      <c r="L87" s="12">
        <v>446</v>
      </c>
      <c r="M87" s="230">
        <v>0.996373</v>
      </c>
      <c r="N87" s="230">
        <v>0.120706</v>
      </c>
      <c r="O87" s="230">
        <v>0.0706963</v>
      </c>
      <c r="P87" s="231">
        <v>0.406</v>
      </c>
      <c r="Q87" s="230">
        <v>0.489517</v>
      </c>
      <c r="S87" s="12">
        <v>446</v>
      </c>
      <c r="T87" s="230">
        <v>0.982236345031927</v>
      </c>
      <c r="U87" s="230">
        <v>0.172997568852687</v>
      </c>
      <c r="V87" s="230">
        <v>0.0985448652537619</v>
      </c>
      <c r="W87" s="231">
        <v>0.3861570783791</v>
      </c>
      <c r="X87" s="230">
        <v>0.489382009591569</v>
      </c>
      <c r="Z87" s="12">
        <v>446</v>
      </c>
      <c r="AA87" s="230">
        <f ca="1" t="shared" si="15"/>
        <v>0.982236345031927</v>
      </c>
      <c r="AB87" s="230">
        <f ca="1" t="shared" si="16"/>
        <v>0.172997568852687</v>
      </c>
      <c r="AC87" s="230">
        <f ca="1" t="shared" si="17"/>
        <v>0.0985448652537619</v>
      </c>
      <c r="AD87" s="230">
        <f ca="1" t="shared" si="18"/>
        <v>0.3861570783791</v>
      </c>
      <c r="AE87" s="230">
        <f ca="1" t="shared" si="19"/>
        <v>0.489382009591569</v>
      </c>
      <c r="AG87" s="12">
        <v>446</v>
      </c>
      <c r="AH87" s="231">
        <f ca="1" t="shared" si="20"/>
        <v>0.00220232364356934</v>
      </c>
      <c r="AI87" s="231">
        <f ca="1" t="shared" si="21"/>
        <v>0.00038788692567867</v>
      </c>
      <c r="AJ87" s="231">
        <f ca="1" t="shared" si="22"/>
        <v>0.000220952612676596</v>
      </c>
      <c r="AK87" s="231">
        <f ca="1" t="shared" si="23"/>
        <v>0.000865823045693049</v>
      </c>
      <c r="AL87" s="231">
        <f ca="1" t="shared" si="24"/>
        <v>0.00109726907980172</v>
      </c>
      <c r="AN87" s="12">
        <v>446</v>
      </c>
      <c r="AO87" s="231">
        <f ca="1" t="shared" si="25"/>
        <v>0.969022403170511</v>
      </c>
      <c r="AP87" s="231">
        <f ca="1" t="shared" si="26"/>
        <v>0.210634936632114</v>
      </c>
      <c r="AQ87" s="231">
        <f ca="1" t="shared" si="27"/>
        <v>0.125783072835417</v>
      </c>
      <c r="AR87" s="231">
        <f ca="1" t="shared" si="28"/>
        <v>0.441339555806856</v>
      </c>
      <c r="AS87" s="231">
        <f ca="1" t="shared" si="29"/>
        <v>0.536320135703579</v>
      </c>
    </row>
    <row r="88" ht="15" hidden="1" customHeight="1" spans="2:45">
      <c r="B88" s="8"/>
      <c r="C88" s="221"/>
      <c r="D88" s="221"/>
      <c r="E88" s="221"/>
      <c r="F88" s="221"/>
      <c r="G88" s="221"/>
      <c r="I88" s="12">
        <v>447</v>
      </c>
      <c r="J88" s="230">
        <v>0.03288368</v>
      </c>
      <c r="L88" s="12">
        <v>447</v>
      </c>
      <c r="M88" s="230">
        <v>0.999038</v>
      </c>
      <c r="N88" s="230">
        <v>0.125363</v>
      </c>
      <c r="O88" s="230">
        <v>0.0728508</v>
      </c>
      <c r="P88" s="231">
        <v>0.418</v>
      </c>
      <c r="Q88" s="230">
        <v>0.505522</v>
      </c>
      <c r="S88" s="12">
        <v>447</v>
      </c>
      <c r="T88" s="230">
        <v>0.975519600896942</v>
      </c>
      <c r="U88" s="230">
        <v>0.179389905050476</v>
      </c>
      <c r="V88" s="230">
        <v>0.10111695897075</v>
      </c>
      <c r="W88" s="231">
        <v>0.398556595102999</v>
      </c>
      <c r="X88" s="230">
        <v>0.505050726309829</v>
      </c>
      <c r="Z88" s="12">
        <v>447</v>
      </c>
      <c r="AA88" s="230">
        <f ca="1" t="shared" si="15"/>
        <v>0.975519600896942</v>
      </c>
      <c r="AB88" s="230">
        <f ca="1" t="shared" si="16"/>
        <v>0.179389905050476</v>
      </c>
      <c r="AC88" s="230">
        <f ca="1" t="shared" si="17"/>
        <v>0.10111695897075</v>
      </c>
      <c r="AD88" s="230">
        <f ca="1" t="shared" si="18"/>
        <v>0.398556595102999</v>
      </c>
      <c r="AE88" s="230">
        <f ca="1" t="shared" si="19"/>
        <v>0.505050726309829</v>
      </c>
      <c r="AG88" s="12">
        <v>447</v>
      </c>
      <c r="AH88" s="231">
        <f ca="1" t="shared" si="20"/>
        <v>0.00218237047180524</v>
      </c>
      <c r="AI88" s="231">
        <f ca="1" t="shared" si="21"/>
        <v>0.000401319698099499</v>
      </c>
      <c r="AJ88" s="231">
        <f ca="1" t="shared" si="22"/>
        <v>0.000226212436176174</v>
      </c>
      <c r="AK88" s="231">
        <f ca="1" t="shared" si="23"/>
        <v>0.000891625492400445</v>
      </c>
      <c r="AL88" s="231">
        <f ca="1" t="shared" si="24"/>
        <v>0.00112986739666628</v>
      </c>
      <c r="AN88" s="12">
        <v>447</v>
      </c>
      <c r="AO88" s="231">
        <f ca="1" t="shared" si="25"/>
        <v>0.960243007594305</v>
      </c>
      <c r="AP88" s="231">
        <f ca="1" t="shared" si="26"/>
        <v>0.217929359259802</v>
      </c>
      <c r="AQ88" s="231">
        <f ca="1" t="shared" si="27"/>
        <v>0.128777365386812</v>
      </c>
      <c r="AR88" s="231">
        <f ca="1" t="shared" si="28"/>
        <v>0.454491943497642</v>
      </c>
      <c r="AS88" s="231">
        <f ca="1" t="shared" si="29"/>
        <v>0.552253450554361</v>
      </c>
    </row>
    <row r="89" ht="15" hidden="1" customHeight="1" spans="2:45">
      <c r="B89" s="8"/>
      <c r="C89" s="221"/>
      <c r="D89" s="221"/>
      <c r="E89" s="221"/>
      <c r="F89" s="221"/>
      <c r="G89" s="221"/>
      <c r="I89" s="12">
        <v>448</v>
      </c>
      <c r="J89" s="230">
        <v>0.03452112</v>
      </c>
      <c r="L89" s="12">
        <v>448</v>
      </c>
      <c r="M89" s="230">
        <v>0.999978</v>
      </c>
      <c r="N89" s="230">
        <v>0.130111</v>
      </c>
      <c r="O89" s="230">
        <v>0.0750778</v>
      </c>
      <c r="P89" s="231">
        <v>0.431</v>
      </c>
      <c r="Q89" s="230">
        <v>0.521741</v>
      </c>
      <c r="S89" s="12">
        <v>448</v>
      </c>
      <c r="T89" s="230">
        <v>0.967691664184751</v>
      </c>
      <c r="U89" s="230">
        <v>0.186050996298488</v>
      </c>
      <c r="V89" s="230">
        <v>0.103843184996653</v>
      </c>
      <c r="W89" s="231">
        <v>0.411212208528969</v>
      </c>
      <c r="X89" s="230">
        <v>0.520999132296738</v>
      </c>
      <c r="Z89" s="12">
        <v>448</v>
      </c>
      <c r="AA89" s="230">
        <f ca="1" t="shared" si="15"/>
        <v>0.967691664184751</v>
      </c>
      <c r="AB89" s="230">
        <f ca="1" t="shared" si="16"/>
        <v>0.186050996298488</v>
      </c>
      <c r="AC89" s="230">
        <f ca="1" t="shared" si="17"/>
        <v>0.103843184996653</v>
      </c>
      <c r="AD89" s="230">
        <f ca="1" t="shared" si="18"/>
        <v>0.411212208528969</v>
      </c>
      <c r="AE89" s="230">
        <f ca="1" t="shared" si="19"/>
        <v>0.520999132296738</v>
      </c>
      <c r="AG89" s="12">
        <v>448</v>
      </c>
      <c r="AH89" s="231">
        <f ca="1" t="shared" si="20"/>
        <v>0.00216002603612668</v>
      </c>
      <c r="AI89" s="231">
        <f ca="1" t="shared" si="21"/>
        <v>0.000415292402451982</v>
      </c>
      <c r="AJ89" s="231">
        <f ca="1" t="shared" si="22"/>
        <v>0.000231792823653243</v>
      </c>
      <c r="AK89" s="231">
        <f ca="1" t="shared" si="23"/>
        <v>0.000917884394037877</v>
      </c>
      <c r="AL89" s="231">
        <f ca="1" t="shared" si="24"/>
        <v>0.00116294449173379</v>
      </c>
      <c r="AN89" s="12">
        <v>448</v>
      </c>
      <c r="AO89" s="231">
        <f ca="1" t="shared" si="25"/>
        <v>0.950411455895738</v>
      </c>
      <c r="AP89" s="231">
        <f ca="1" t="shared" si="26"/>
        <v>0.225516982097863</v>
      </c>
      <c r="AQ89" s="231">
        <f ca="1" t="shared" si="27"/>
        <v>0.131954147394389</v>
      </c>
      <c r="AR89" s="231">
        <f ca="1" t="shared" si="28"/>
        <v>0.467877001844482</v>
      </c>
      <c r="AS89" s="231">
        <f ca="1" t="shared" si="29"/>
        <v>0.568420781286483</v>
      </c>
    </row>
    <row r="90" ht="15" hidden="1" customHeight="1" spans="2:45">
      <c r="B90" s="8"/>
      <c r="C90" s="221"/>
      <c r="D90" s="221"/>
      <c r="E90" s="221"/>
      <c r="F90" s="221"/>
      <c r="G90" s="221"/>
      <c r="I90" s="12">
        <v>449</v>
      </c>
      <c r="J90" s="230">
        <v>0.03622571</v>
      </c>
      <c r="L90" s="12">
        <v>449</v>
      </c>
      <c r="M90" s="230">
        <v>0.997844</v>
      </c>
      <c r="N90" s="230">
        <v>0.134856</v>
      </c>
      <c r="O90" s="230">
        <v>0.0773325</v>
      </c>
      <c r="P90" s="231">
        <v>0.443</v>
      </c>
      <c r="Q90" s="230">
        <v>0.537898</v>
      </c>
      <c r="S90" s="12">
        <v>449</v>
      </c>
      <c r="T90" s="230">
        <v>0.958746960229702</v>
      </c>
      <c r="U90" s="230">
        <v>0.19298564244581</v>
      </c>
      <c r="V90" s="230">
        <v>0.106730857829068</v>
      </c>
      <c r="W90" s="231">
        <v>0.424121218046112</v>
      </c>
      <c r="X90" s="230">
        <v>0.537223497595729</v>
      </c>
      <c r="Z90" s="12">
        <v>449</v>
      </c>
      <c r="AA90" s="230">
        <f ca="1" t="shared" si="15"/>
        <v>0.958746960229702</v>
      </c>
      <c r="AB90" s="230">
        <f ca="1" t="shared" si="16"/>
        <v>0.19298564244581</v>
      </c>
      <c r="AC90" s="230">
        <f ca="1" t="shared" si="17"/>
        <v>0.106730857829068</v>
      </c>
      <c r="AD90" s="230">
        <f ca="1" t="shared" si="18"/>
        <v>0.424121218046112</v>
      </c>
      <c r="AE90" s="230">
        <f ca="1" t="shared" si="19"/>
        <v>0.537223497595729</v>
      </c>
      <c r="AG90" s="12">
        <v>449</v>
      </c>
      <c r="AH90" s="231">
        <f ca="1" t="shared" si="20"/>
        <v>0.0021352938980617</v>
      </c>
      <c r="AI90" s="231">
        <f ca="1" t="shared" si="21"/>
        <v>0.000429812121260156</v>
      </c>
      <c r="AJ90" s="231">
        <f ca="1" t="shared" si="22"/>
        <v>0.000237707923895474</v>
      </c>
      <c r="AK90" s="231">
        <f ca="1" t="shared" si="23"/>
        <v>0.000944590686071519</v>
      </c>
      <c r="AL90" s="231">
        <f ca="1" t="shared" si="24"/>
        <v>0.00119648885878782</v>
      </c>
      <c r="AN90" s="12">
        <v>449</v>
      </c>
      <c r="AO90" s="231">
        <f ca="1" t="shared" si="25"/>
        <v>0.939529315147147</v>
      </c>
      <c r="AP90" s="231">
        <f ca="1" t="shared" si="26"/>
        <v>0.233401651182093</v>
      </c>
      <c r="AQ90" s="231">
        <f ca="1" t="shared" si="27"/>
        <v>0.13532147342681</v>
      </c>
      <c r="AR90" s="231">
        <f ca="1" t="shared" si="28"/>
        <v>0.481490110345124</v>
      </c>
      <c r="AS90" s="231">
        <f ca="1" t="shared" si="29"/>
        <v>0.58481650392341</v>
      </c>
    </row>
    <row r="91" ht="15" hidden="1" customHeight="1" spans="2:45">
      <c r="B91" s="8"/>
      <c r="C91" s="221"/>
      <c r="D91" s="221"/>
      <c r="E91" s="221"/>
      <c r="F91" s="221"/>
      <c r="G91" s="221"/>
      <c r="I91" s="12">
        <v>450</v>
      </c>
      <c r="J91" s="230">
        <v>0.038</v>
      </c>
      <c r="L91" s="12">
        <v>450</v>
      </c>
      <c r="M91" s="230">
        <v>0.991329</v>
      </c>
      <c r="N91" s="230">
        <v>0.139493</v>
      </c>
      <c r="O91" s="230">
        <v>0.0795647</v>
      </c>
      <c r="P91" s="231">
        <v>0.455</v>
      </c>
      <c r="Q91" s="230">
        <v>0.553715</v>
      </c>
      <c r="S91" s="12">
        <v>450</v>
      </c>
      <c r="T91" s="230">
        <v>0.94867837279951</v>
      </c>
      <c r="U91" s="230">
        <v>0.200199505305657</v>
      </c>
      <c r="V91" s="230">
        <v>0.109786009591061</v>
      </c>
      <c r="W91" s="231">
        <v>0.437279381428568</v>
      </c>
      <c r="X91" s="230">
        <v>0.553714632042702</v>
      </c>
      <c r="Z91" s="12">
        <v>450</v>
      </c>
      <c r="AA91" s="230">
        <f ca="1" t="shared" si="15"/>
        <v>0.94867837279951</v>
      </c>
      <c r="AB91" s="230">
        <f ca="1" t="shared" si="16"/>
        <v>0.200199505305657</v>
      </c>
      <c r="AC91" s="230">
        <f ca="1" t="shared" si="17"/>
        <v>0.109786009591061</v>
      </c>
      <c r="AD91" s="230">
        <f ca="1" t="shared" si="18"/>
        <v>0.437279381428568</v>
      </c>
      <c r="AE91" s="230">
        <f ca="1" t="shared" si="19"/>
        <v>0.553714632042702</v>
      </c>
      <c r="AG91" s="12">
        <v>450</v>
      </c>
      <c r="AH91" s="231">
        <f ca="1" t="shared" si="20"/>
        <v>0.00210817416177669</v>
      </c>
      <c r="AI91" s="231">
        <f ca="1" t="shared" si="21"/>
        <v>0.000444887789568127</v>
      </c>
      <c r="AJ91" s="231">
        <f ca="1" t="shared" si="22"/>
        <v>0.000243968910202358</v>
      </c>
      <c r="AK91" s="231">
        <f ca="1" t="shared" si="23"/>
        <v>0.000971731958730151</v>
      </c>
      <c r="AL91" s="231">
        <f ca="1" t="shared" si="24"/>
        <v>0.00123047696009489</v>
      </c>
      <c r="AN91" s="12">
        <v>450</v>
      </c>
      <c r="AO91" s="231">
        <f ca="1" t="shared" si="25"/>
        <v>0.927596631181743</v>
      </c>
      <c r="AP91" s="231">
        <f ca="1" t="shared" si="26"/>
        <v>0.241588218525605</v>
      </c>
      <c r="AQ91" s="231">
        <f ca="1" t="shared" si="27"/>
        <v>0.138885704178011</v>
      </c>
      <c r="AR91" s="231">
        <f ca="1" t="shared" si="28"/>
        <v>0.495324943315648</v>
      </c>
      <c r="AS91" s="231">
        <f ca="1" t="shared" si="29"/>
        <v>0.601429113757101</v>
      </c>
    </row>
    <row r="92" ht="15" hidden="1" customHeight="1" spans="2:45">
      <c r="B92" s="8"/>
      <c r="C92" s="221"/>
      <c r="D92" s="221"/>
      <c r="E92" s="221"/>
      <c r="F92" s="221"/>
      <c r="G92" s="221"/>
      <c r="I92" s="12">
        <v>451</v>
      </c>
      <c r="J92" s="230">
        <v>0.03984667</v>
      </c>
      <c r="L92" s="12">
        <v>451</v>
      </c>
      <c r="M92" s="230">
        <v>0.979657</v>
      </c>
      <c r="N92" s="230">
        <v>0.143943</v>
      </c>
      <c r="O92" s="230">
        <v>0.0817368</v>
      </c>
      <c r="P92" s="231">
        <v>0.467</v>
      </c>
      <c r="Q92" s="230">
        <v>0.5691</v>
      </c>
      <c r="S92" s="12">
        <v>451</v>
      </c>
      <c r="T92" s="230">
        <v>0.934475673066431</v>
      </c>
      <c r="U92" s="230">
        <v>0.207028912103989</v>
      </c>
      <c r="V92" s="230">
        <v>0.112651764862078</v>
      </c>
      <c r="W92" s="231">
        <v>0.449235429392352</v>
      </c>
      <c r="X92" s="230">
        <v>0.568630302931986</v>
      </c>
      <c r="Z92" s="12">
        <v>451</v>
      </c>
      <c r="AA92" s="230">
        <f ca="1" t="shared" si="15"/>
        <v>0.934475673066431</v>
      </c>
      <c r="AB92" s="230">
        <f ca="1" t="shared" si="16"/>
        <v>0.207028912103989</v>
      </c>
      <c r="AC92" s="230">
        <f ca="1" t="shared" si="17"/>
        <v>0.112651764862078</v>
      </c>
      <c r="AD92" s="230">
        <f ca="1" t="shared" si="18"/>
        <v>0.449235429392352</v>
      </c>
      <c r="AE92" s="230">
        <f ca="1" t="shared" si="19"/>
        <v>0.568630302931986</v>
      </c>
      <c r="AG92" s="12">
        <v>451</v>
      </c>
      <c r="AH92" s="231">
        <f ca="1" t="shared" si="20"/>
        <v>0.00207200814427147</v>
      </c>
      <c r="AI92" s="231">
        <f ca="1" t="shared" si="21"/>
        <v>0.000459044151006627</v>
      </c>
      <c r="AJ92" s="231">
        <f ca="1" t="shared" si="22"/>
        <v>0.000249782183729663</v>
      </c>
      <c r="AK92" s="231">
        <f ca="1" t="shared" si="23"/>
        <v>0.000996087426590581</v>
      </c>
      <c r="AL92" s="231">
        <f ca="1" t="shared" si="24"/>
        <v>0.00126082107080263</v>
      </c>
      <c r="AN92" s="12">
        <v>451</v>
      </c>
      <c r="AO92" s="231">
        <f ca="1" t="shared" si="25"/>
        <v>0.911683583479445</v>
      </c>
      <c r="AP92" s="231">
        <f ca="1" t="shared" si="26"/>
        <v>0.249275573002229</v>
      </c>
      <c r="AQ92" s="231">
        <f ca="1" t="shared" si="27"/>
        <v>0.142195062680902</v>
      </c>
      <c r="AR92" s="231">
        <f ca="1" t="shared" si="28"/>
        <v>0.507739756504625</v>
      </c>
      <c r="AS92" s="231">
        <f ca="1" t="shared" si="29"/>
        <v>0.616260623978385</v>
      </c>
    </row>
    <row r="93" ht="15" hidden="1" customHeight="1" spans="2:45">
      <c r="B93" s="8"/>
      <c r="C93" s="221"/>
      <c r="D93" s="221"/>
      <c r="E93" s="221"/>
      <c r="F93" s="221"/>
      <c r="G93" s="221"/>
      <c r="I93" s="12">
        <v>452</v>
      </c>
      <c r="J93" s="230">
        <v>0.041768</v>
      </c>
      <c r="L93" s="12">
        <v>452</v>
      </c>
      <c r="M93" s="230">
        <v>0.963905</v>
      </c>
      <c r="N93" s="230">
        <v>0.148281</v>
      </c>
      <c r="O93" s="230">
        <v>0.0838826</v>
      </c>
      <c r="P93" s="231">
        <v>0.479</v>
      </c>
      <c r="Q93" s="230">
        <v>0.58424</v>
      </c>
      <c r="S93" s="12">
        <v>452</v>
      </c>
      <c r="T93" s="230">
        <v>0.919250765083209</v>
      </c>
      <c r="U93" s="230">
        <v>0.214099178052983</v>
      </c>
      <c r="V93" s="230">
        <v>0.115678060906492</v>
      </c>
      <c r="W93" s="231">
        <v>0.461352629250204</v>
      </c>
      <c r="X93" s="230">
        <v>0.583693692136437</v>
      </c>
      <c r="Z93" s="12">
        <v>452</v>
      </c>
      <c r="AA93" s="230">
        <f ca="1" t="shared" si="15"/>
        <v>0.919250765083209</v>
      </c>
      <c r="AB93" s="230">
        <f ca="1" t="shared" si="16"/>
        <v>0.214099178052983</v>
      </c>
      <c r="AC93" s="230">
        <f ca="1" t="shared" si="17"/>
        <v>0.115678060906492</v>
      </c>
      <c r="AD93" s="230">
        <f ca="1" t="shared" si="18"/>
        <v>0.461352629250204</v>
      </c>
      <c r="AE93" s="230">
        <f ca="1" t="shared" si="19"/>
        <v>0.583693692136437</v>
      </c>
      <c r="AG93" s="12">
        <v>452</v>
      </c>
      <c r="AH93" s="231">
        <f ca="1" t="shared" si="20"/>
        <v>0.00203374063071506</v>
      </c>
      <c r="AI93" s="231">
        <f ca="1" t="shared" si="21"/>
        <v>0.00047367074790483</v>
      </c>
      <c r="AJ93" s="231">
        <f ca="1" t="shared" si="22"/>
        <v>0.000255924913509938</v>
      </c>
      <c r="AK93" s="231">
        <f ca="1" t="shared" si="23"/>
        <v>0.00102069165763319</v>
      </c>
      <c r="AL93" s="231">
        <f ca="1" t="shared" si="24"/>
        <v>0.00129135772596557</v>
      </c>
      <c r="AN93" s="12">
        <v>452</v>
      </c>
      <c r="AO93" s="231">
        <f ca="1" t="shared" si="25"/>
        <v>0.894845877514628</v>
      </c>
      <c r="AP93" s="231">
        <f ca="1" t="shared" si="26"/>
        <v>0.257218280288394</v>
      </c>
      <c r="AQ93" s="231">
        <f ca="1" t="shared" si="27"/>
        <v>0.145691972801135</v>
      </c>
      <c r="AR93" s="231">
        <f ca="1" t="shared" si="28"/>
        <v>0.520281372777526</v>
      </c>
      <c r="AS93" s="231">
        <f ca="1" t="shared" si="29"/>
        <v>0.631186245544136</v>
      </c>
    </row>
    <row r="94" ht="15" hidden="1" customHeight="1" spans="2:45">
      <c r="B94" s="8"/>
      <c r="C94" s="221"/>
      <c r="D94" s="221"/>
      <c r="E94" s="221"/>
      <c r="F94" s="221"/>
      <c r="G94" s="221"/>
      <c r="I94" s="12">
        <v>453</v>
      </c>
      <c r="J94" s="230">
        <v>0.043766</v>
      </c>
      <c r="L94" s="12">
        <v>453</v>
      </c>
      <c r="M94" s="230">
        <v>0.945573</v>
      </c>
      <c r="N94" s="230">
        <v>0.152637</v>
      </c>
      <c r="O94" s="230">
        <v>0.0860598</v>
      </c>
      <c r="P94" s="231">
        <v>0.49</v>
      </c>
      <c r="Q94" s="230">
        <v>0.599281</v>
      </c>
      <c r="S94" s="12">
        <v>453</v>
      </c>
      <c r="T94" s="230">
        <v>0.903025470328006</v>
      </c>
      <c r="U94" s="230">
        <v>0.221412940670253</v>
      </c>
      <c r="V94" s="230">
        <v>0.118870201803619</v>
      </c>
      <c r="W94" s="231">
        <v>0.473626506850211</v>
      </c>
      <c r="X94" s="230">
        <v>0.598892673204931</v>
      </c>
      <c r="Z94" s="12">
        <v>453</v>
      </c>
      <c r="AA94" s="230">
        <f ca="1" t="shared" si="15"/>
        <v>0.903025470328006</v>
      </c>
      <c r="AB94" s="230">
        <f ca="1" t="shared" si="16"/>
        <v>0.221412940670253</v>
      </c>
      <c r="AC94" s="230">
        <f ca="1" t="shared" si="17"/>
        <v>0.118870201803619</v>
      </c>
      <c r="AD94" s="230">
        <f ca="1" t="shared" si="18"/>
        <v>0.473626506850211</v>
      </c>
      <c r="AE94" s="230">
        <f ca="1" t="shared" si="19"/>
        <v>0.598892673204931</v>
      </c>
      <c r="AG94" s="12">
        <v>453</v>
      </c>
      <c r="AH94" s="231">
        <f ca="1" t="shared" si="20"/>
        <v>0.00199343370933335</v>
      </c>
      <c r="AI94" s="231">
        <f ca="1" t="shared" si="21"/>
        <v>0.000488770288455305</v>
      </c>
      <c r="AJ94" s="231">
        <f ca="1" t="shared" si="22"/>
        <v>0.000262406626498055</v>
      </c>
      <c r="AK94" s="231">
        <f ca="1" t="shared" si="23"/>
        <v>0.00104553312770466</v>
      </c>
      <c r="AL94" s="231">
        <f ca="1" t="shared" si="24"/>
        <v>0.00132205888124709</v>
      </c>
      <c r="AN94" s="12">
        <v>453</v>
      </c>
      <c r="AO94" s="231">
        <f ca="1" t="shared" si="25"/>
        <v>0.877110832106673</v>
      </c>
      <c r="AP94" s="231">
        <f ca="1" t="shared" si="26"/>
        <v>0.265417811018796</v>
      </c>
      <c r="AQ94" s="231">
        <f ca="1" t="shared" si="27"/>
        <v>0.149381858007769</v>
      </c>
      <c r="AR94" s="231">
        <f ca="1" t="shared" si="28"/>
        <v>0.532943917880092</v>
      </c>
      <c r="AS94" s="231">
        <f ca="1" t="shared" si="29"/>
        <v>0.64619227102133</v>
      </c>
    </row>
    <row r="95" ht="15" hidden="1" customHeight="1" spans="2:45">
      <c r="B95" s="8"/>
      <c r="C95" s="221"/>
      <c r="D95" s="221"/>
      <c r="E95" s="221"/>
      <c r="F95" s="221"/>
      <c r="G95" s="221"/>
      <c r="I95" s="12">
        <v>454</v>
      </c>
      <c r="J95" s="230">
        <v>0.04584267</v>
      </c>
      <c r="L95" s="12">
        <v>454</v>
      </c>
      <c r="M95" s="230">
        <v>0.926078</v>
      </c>
      <c r="N95" s="230">
        <v>0.157157</v>
      </c>
      <c r="O95" s="230">
        <v>0.0883322</v>
      </c>
      <c r="P95" s="231">
        <v>0.502</v>
      </c>
      <c r="Q95" s="230">
        <v>0.61437</v>
      </c>
      <c r="S95" s="12">
        <v>454</v>
      </c>
      <c r="T95" s="230">
        <v>0.885827176549894</v>
      </c>
      <c r="U95" s="230">
        <v>0.22897127370068</v>
      </c>
      <c r="V95" s="230">
        <v>0.12223286746227</v>
      </c>
      <c r="W95" s="231">
        <v>0.486051177967103</v>
      </c>
      <c r="X95" s="230">
        <v>0.614217236942218</v>
      </c>
      <c r="Z95" s="12">
        <v>454</v>
      </c>
      <c r="AA95" s="230">
        <f ca="1" t="shared" si="15"/>
        <v>0.885827176549894</v>
      </c>
      <c r="AB95" s="230">
        <f ca="1" t="shared" si="16"/>
        <v>0.22897127370068</v>
      </c>
      <c r="AC95" s="230">
        <f ca="1" t="shared" si="17"/>
        <v>0.12223286746227</v>
      </c>
      <c r="AD95" s="230">
        <f ca="1" t="shared" si="18"/>
        <v>0.486051177967103</v>
      </c>
      <c r="AE95" s="230">
        <f ca="1" t="shared" si="19"/>
        <v>0.614217236942218</v>
      </c>
      <c r="AG95" s="12">
        <v>454</v>
      </c>
      <c r="AH95" s="231">
        <f ca="1" t="shared" si="20"/>
        <v>0.00195116118182796</v>
      </c>
      <c r="AI95" s="231">
        <f ca="1" t="shared" si="21"/>
        <v>0.000504342012556564</v>
      </c>
      <c r="AJ95" s="231">
        <f ca="1" t="shared" si="22"/>
        <v>0.000269235390886057</v>
      </c>
      <c r="AK95" s="231">
        <f ca="1" t="shared" si="23"/>
        <v>0.00107059730829758</v>
      </c>
      <c r="AL95" s="231">
        <f ca="1" t="shared" si="24"/>
        <v>0.00135290140295643</v>
      </c>
      <c r="AN95" s="12">
        <v>454</v>
      </c>
      <c r="AO95" s="231">
        <f ca="1" t="shared" si="25"/>
        <v>0.858510920004303</v>
      </c>
      <c r="AP95" s="231">
        <f ca="1" t="shared" si="26"/>
        <v>0.273873752434153</v>
      </c>
      <c r="AQ95" s="231">
        <f ca="1" t="shared" si="27"/>
        <v>0.153269311330845</v>
      </c>
      <c r="AR95" s="231">
        <f ca="1" t="shared" si="28"/>
        <v>0.545719986136267</v>
      </c>
      <c r="AS95" s="231">
        <f ca="1" t="shared" si="29"/>
        <v>0.661267393188795</v>
      </c>
    </row>
    <row r="96" ht="15" hidden="1" customHeight="1" spans="2:45">
      <c r="B96" s="8"/>
      <c r="C96" s="221"/>
      <c r="D96" s="221"/>
      <c r="E96" s="221"/>
      <c r="F96" s="221"/>
      <c r="G96" s="221"/>
      <c r="I96" s="12">
        <v>455</v>
      </c>
      <c r="J96" s="230">
        <v>0.048</v>
      </c>
      <c r="L96" s="12">
        <v>455</v>
      </c>
      <c r="M96" s="230">
        <v>0.906735</v>
      </c>
      <c r="N96" s="230">
        <v>0.162006</v>
      </c>
      <c r="O96" s="230">
        <v>0.0907704</v>
      </c>
      <c r="P96" s="231">
        <v>0.513</v>
      </c>
      <c r="Q96" s="230">
        <v>0.629654</v>
      </c>
      <c r="S96" s="12">
        <v>455</v>
      </c>
      <c r="T96" s="230">
        <v>0.867686818700929</v>
      </c>
      <c r="U96" s="230">
        <v>0.236775629545793</v>
      </c>
      <c r="V96" s="230">
        <v>0.125771430347526</v>
      </c>
      <c r="W96" s="231">
        <v>0.498622647129384</v>
      </c>
      <c r="X96" s="230">
        <v>0.629654048359</v>
      </c>
      <c r="Z96" s="12">
        <v>455</v>
      </c>
      <c r="AA96" s="230">
        <f ca="1" t="shared" si="15"/>
        <v>0.867686818700929</v>
      </c>
      <c r="AB96" s="230">
        <f ca="1" t="shared" si="16"/>
        <v>0.236775629545793</v>
      </c>
      <c r="AC96" s="230">
        <f ca="1" t="shared" si="17"/>
        <v>0.125771430347526</v>
      </c>
      <c r="AD96" s="230">
        <f ca="1" t="shared" si="18"/>
        <v>0.498622647129384</v>
      </c>
      <c r="AE96" s="230">
        <f ca="1" t="shared" si="19"/>
        <v>0.629654048359</v>
      </c>
      <c r="AG96" s="12">
        <v>455</v>
      </c>
      <c r="AH96" s="231">
        <f ca="1" t="shared" si="20"/>
        <v>0.0019070039971449</v>
      </c>
      <c r="AI96" s="231">
        <f ca="1" t="shared" si="21"/>
        <v>0.000520385999001743</v>
      </c>
      <c r="AJ96" s="231">
        <f ca="1" t="shared" si="22"/>
        <v>0.000276420726038519</v>
      </c>
      <c r="AK96" s="231">
        <f ca="1" t="shared" si="23"/>
        <v>0.00109587394973491</v>
      </c>
      <c r="AL96" s="231">
        <f ca="1" t="shared" si="24"/>
        <v>0.00138385505133846</v>
      </c>
      <c r="AN96" s="12">
        <v>455</v>
      </c>
      <c r="AO96" s="231">
        <f ca="1" t="shared" si="25"/>
        <v>0.839081758743756</v>
      </c>
      <c r="AP96" s="231">
        <f ca="1" t="shared" si="26"/>
        <v>0.282586147321642</v>
      </c>
      <c r="AQ96" s="231">
        <f ca="1" t="shared" si="27"/>
        <v>0.157359751918447</v>
      </c>
      <c r="AR96" s="231">
        <f ca="1" t="shared" si="28"/>
        <v>0.558604352935847</v>
      </c>
      <c r="AS96" s="231">
        <f ca="1" t="shared" si="29"/>
        <v>0.676396831542943</v>
      </c>
    </row>
    <row r="97" ht="15" hidden="1" customHeight="1" spans="2:45">
      <c r="B97" s="8"/>
      <c r="C97" s="221"/>
      <c r="D97" s="221"/>
      <c r="E97" s="221"/>
      <c r="F97" s="221"/>
      <c r="G97" s="221"/>
      <c r="I97" s="12">
        <v>456</v>
      </c>
      <c r="J97" s="230">
        <v>0.05024368</v>
      </c>
      <c r="L97" s="12">
        <v>456</v>
      </c>
      <c r="M97" s="230">
        <v>0.888509</v>
      </c>
      <c r="N97" s="230">
        <v>0.167331</v>
      </c>
      <c r="O97" s="230">
        <v>0.0934397</v>
      </c>
      <c r="P97" s="231">
        <v>0.524</v>
      </c>
      <c r="Q97" s="230">
        <v>0.645193</v>
      </c>
      <c r="S97" s="12">
        <v>456</v>
      </c>
      <c r="T97" s="230">
        <v>0.84864098083874</v>
      </c>
      <c r="U97" s="230">
        <v>0.244827952173467</v>
      </c>
      <c r="V97" s="230">
        <v>0.129491123815566</v>
      </c>
      <c r="W97" s="231">
        <v>0.511335564615057</v>
      </c>
      <c r="X97" s="230">
        <v>0.645190553381873</v>
      </c>
      <c r="Z97" s="12">
        <v>456</v>
      </c>
      <c r="AA97" s="230">
        <f ca="1" t="shared" si="15"/>
        <v>0.84864098083874</v>
      </c>
      <c r="AB97" s="230">
        <f ca="1" t="shared" si="16"/>
        <v>0.244827952173467</v>
      </c>
      <c r="AC97" s="230">
        <f ca="1" t="shared" si="17"/>
        <v>0.129491123815566</v>
      </c>
      <c r="AD97" s="230">
        <f ca="1" t="shared" si="18"/>
        <v>0.511335564615057</v>
      </c>
      <c r="AE97" s="230">
        <f ca="1" t="shared" si="19"/>
        <v>0.645190553381873</v>
      </c>
      <c r="AG97" s="12">
        <v>456</v>
      </c>
      <c r="AH97" s="231">
        <f ca="1" t="shared" si="20"/>
        <v>0.0018610547825411</v>
      </c>
      <c r="AI97" s="231">
        <f ca="1" t="shared" si="21"/>
        <v>0.000536903403889182</v>
      </c>
      <c r="AJ97" s="231">
        <f ca="1" t="shared" si="22"/>
        <v>0.000283971762753434</v>
      </c>
      <c r="AK97" s="231">
        <f ca="1" t="shared" si="23"/>
        <v>0.00112134992240144</v>
      </c>
      <c r="AL97" s="231">
        <f ca="1" t="shared" si="24"/>
        <v>0.00141489156443393</v>
      </c>
      <c r="AN97" s="12">
        <v>456</v>
      </c>
      <c r="AO97" s="231">
        <f ca="1" t="shared" si="25"/>
        <v>0.818864104318082</v>
      </c>
      <c r="AP97" s="231">
        <f ca="1" t="shared" si="26"/>
        <v>0.29155562347943</v>
      </c>
      <c r="AQ97" s="231">
        <f ca="1" t="shared" si="27"/>
        <v>0.161658377716935</v>
      </c>
      <c r="AR97" s="231">
        <f ca="1" t="shared" si="28"/>
        <v>0.571590325665869</v>
      </c>
      <c r="AS97" s="231">
        <f ca="1" t="shared" si="29"/>
        <v>0.691566772281761</v>
      </c>
    </row>
    <row r="98" ht="15" hidden="1" customHeight="1" spans="2:45">
      <c r="B98" s="8"/>
      <c r="C98" s="221"/>
      <c r="D98" s="221"/>
      <c r="E98" s="221"/>
      <c r="F98" s="221"/>
      <c r="G98" s="221"/>
      <c r="I98" s="12">
        <v>457</v>
      </c>
      <c r="J98" s="230">
        <v>0.05257304</v>
      </c>
      <c r="L98" s="12">
        <v>457</v>
      </c>
      <c r="M98" s="230">
        <v>0.871353</v>
      </c>
      <c r="N98" s="230">
        <v>0.173144</v>
      </c>
      <c r="O98" s="230">
        <v>0.0963577</v>
      </c>
      <c r="P98" s="231">
        <v>0.535</v>
      </c>
      <c r="Q98" s="230">
        <v>0.660892</v>
      </c>
      <c r="S98" s="12">
        <v>457</v>
      </c>
      <c r="T98" s="230">
        <v>0.828735609092726</v>
      </c>
      <c r="U98" s="230">
        <v>0.253128473435608</v>
      </c>
      <c r="V98" s="230">
        <v>0.133396980732525</v>
      </c>
      <c r="W98" s="231">
        <v>0.524184288989847</v>
      </c>
      <c r="X98" s="230">
        <v>0.66081212028913</v>
      </c>
      <c r="Z98" s="12">
        <v>457</v>
      </c>
      <c r="AA98" s="230">
        <f ca="1" t="shared" si="15"/>
        <v>0.828735609092726</v>
      </c>
      <c r="AB98" s="230">
        <f ca="1" t="shared" si="16"/>
        <v>0.253128473435608</v>
      </c>
      <c r="AC98" s="230">
        <f ca="1" t="shared" si="17"/>
        <v>0.133396980732525</v>
      </c>
      <c r="AD98" s="230">
        <f ca="1" t="shared" si="18"/>
        <v>0.524184288989847</v>
      </c>
      <c r="AE98" s="230">
        <f ca="1" t="shared" si="19"/>
        <v>0.66081212028913</v>
      </c>
      <c r="AG98" s="12">
        <v>457</v>
      </c>
      <c r="AH98" s="231">
        <f ca="1" t="shared" si="20"/>
        <v>0.00181342584046548</v>
      </c>
      <c r="AI98" s="231">
        <f ca="1" t="shared" si="21"/>
        <v>0.000553891626773759</v>
      </c>
      <c r="AJ98" s="231">
        <f ca="1" t="shared" si="22"/>
        <v>0.000291897113200274</v>
      </c>
      <c r="AK98" s="231">
        <f ca="1" t="shared" si="23"/>
        <v>0.00114701157328194</v>
      </c>
      <c r="AL98" s="231">
        <f ca="1" t="shared" si="24"/>
        <v>0.00144597838137665</v>
      </c>
      <c r="AN98" s="12">
        <v>457</v>
      </c>
      <c r="AO98" s="231">
        <f ca="1" t="shared" si="25"/>
        <v>0.797907369804813</v>
      </c>
      <c r="AP98" s="231">
        <f ca="1" t="shared" si="26"/>
        <v>0.300780768783115</v>
      </c>
      <c r="AQ98" s="231">
        <f ca="1" t="shared" si="27"/>
        <v>0.166170091429776</v>
      </c>
      <c r="AR98" s="231">
        <f ca="1" t="shared" si="28"/>
        <v>0.584670944918508</v>
      </c>
      <c r="AS98" s="231">
        <f ca="1" t="shared" si="29"/>
        <v>0.706761300395434</v>
      </c>
    </row>
    <row r="99" ht="15" hidden="1" customHeight="1" spans="2:45">
      <c r="B99" s="8"/>
      <c r="C99" s="221"/>
      <c r="D99" s="221"/>
      <c r="E99" s="221"/>
      <c r="F99" s="221"/>
      <c r="G99" s="221"/>
      <c r="I99" s="12">
        <v>458</v>
      </c>
      <c r="J99" s="230">
        <v>0.05498056</v>
      </c>
      <c r="L99" s="12">
        <v>458</v>
      </c>
      <c r="M99" s="230">
        <v>0.854998</v>
      </c>
      <c r="N99" s="230">
        <v>0.179417</v>
      </c>
      <c r="O99" s="230">
        <v>0.0995304</v>
      </c>
      <c r="P99" s="231">
        <v>0.546</v>
      </c>
      <c r="Q99" s="230">
        <v>0.67666</v>
      </c>
      <c r="S99" s="12">
        <v>458</v>
      </c>
      <c r="T99" s="230">
        <v>0.808016073341605</v>
      </c>
      <c r="U99" s="230">
        <v>0.26167847490407</v>
      </c>
      <c r="V99" s="230">
        <v>0.137493447003901</v>
      </c>
      <c r="W99" s="231">
        <v>0.537164124741631</v>
      </c>
      <c r="X99" s="230">
        <v>0.676506540912313</v>
      </c>
      <c r="Z99" s="12">
        <v>458</v>
      </c>
      <c r="AA99" s="230">
        <f ca="1" t="shared" si="15"/>
        <v>0.808016073341605</v>
      </c>
      <c r="AB99" s="230">
        <f ca="1" t="shared" si="16"/>
        <v>0.26167847490407</v>
      </c>
      <c r="AC99" s="230">
        <f ca="1" t="shared" si="17"/>
        <v>0.137493447003901</v>
      </c>
      <c r="AD99" s="230">
        <f ca="1" t="shared" si="18"/>
        <v>0.537164124741631</v>
      </c>
      <c r="AE99" s="230">
        <f ca="1" t="shared" si="19"/>
        <v>0.676506540912313</v>
      </c>
      <c r="AG99" s="12">
        <v>458</v>
      </c>
      <c r="AH99" s="231">
        <f ca="1" t="shared" si="20"/>
        <v>0.00176422723437032</v>
      </c>
      <c r="AI99" s="231">
        <f ca="1" t="shared" si="21"/>
        <v>0.000571350381886616</v>
      </c>
      <c r="AJ99" s="231">
        <f ca="1" t="shared" si="22"/>
        <v>0.000300204032759609</v>
      </c>
      <c r="AK99" s="231">
        <f ca="1" t="shared" si="23"/>
        <v>0.00117284743393369</v>
      </c>
      <c r="AL99" s="231">
        <f ca="1" t="shared" si="24"/>
        <v>0.00147708851727579</v>
      </c>
      <c r="AN99" s="12">
        <v>458</v>
      </c>
      <c r="AO99" s="231">
        <f ca="1" t="shared" si="25"/>
        <v>0.776259983122939</v>
      </c>
      <c r="AP99" s="231">
        <f ca="1" t="shared" si="26"/>
        <v>0.310261428051116</v>
      </c>
      <c r="AQ99" s="231">
        <f ca="1" t="shared" si="27"/>
        <v>0.17089902337275</v>
      </c>
      <c r="AR99" s="231">
        <f ca="1" t="shared" si="28"/>
        <v>0.597840364837106</v>
      </c>
      <c r="AS99" s="231">
        <f ca="1" t="shared" si="29"/>
        <v>0.721967226283913</v>
      </c>
    </row>
    <row r="100" ht="15" hidden="1" customHeight="1" spans="2:45">
      <c r="B100" s="8"/>
      <c r="C100" s="221"/>
      <c r="D100" s="221"/>
      <c r="E100" s="221"/>
      <c r="F100" s="221"/>
      <c r="G100" s="221"/>
      <c r="I100" s="12">
        <v>459</v>
      </c>
      <c r="J100" s="230">
        <v>0.05745872</v>
      </c>
      <c r="L100" s="12">
        <v>459</v>
      </c>
      <c r="M100" s="230">
        <v>0.839198</v>
      </c>
      <c r="N100" s="230">
        <v>0.186117</v>
      </c>
      <c r="O100" s="230">
        <v>0.102964</v>
      </c>
      <c r="P100" s="231">
        <v>0.557</v>
      </c>
      <c r="Q100" s="230">
        <v>0.692409</v>
      </c>
      <c r="S100" s="12">
        <v>459</v>
      </c>
      <c r="T100" s="230">
        <v>0.786534903926915</v>
      </c>
      <c r="U100" s="230">
        <v>0.270478033345491</v>
      </c>
      <c r="V100" s="230">
        <v>0.141786212021526</v>
      </c>
      <c r="W100" s="231">
        <v>0.550268940385248</v>
      </c>
      <c r="X100" s="230">
        <v>0.692256432605073</v>
      </c>
      <c r="Z100" s="12">
        <v>459</v>
      </c>
      <c r="AA100" s="230">
        <f ca="1" t="shared" si="15"/>
        <v>0.786534903926915</v>
      </c>
      <c r="AB100" s="230">
        <f ca="1" t="shared" si="16"/>
        <v>0.270478033345491</v>
      </c>
      <c r="AC100" s="230">
        <f ca="1" t="shared" si="17"/>
        <v>0.141786212021526</v>
      </c>
      <c r="AD100" s="230">
        <f ca="1" t="shared" si="18"/>
        <v>0.550268940385248</v>
      </c>
      <c r="AE100" s="230">
        <f ca="1" t="shared" si="19"/>
        <v>0.692256432605073</v>
      </c>
      <c r="AG100" s="12">
        <v>459</v>
      </c>
      <c r="AH100" s="231">
        <f ca="1" t="shared" si="20"/>
        <v>0.00171358366868609</v>
      </c>
      <c r="AI100" s="231">
        <f ca="1" t="shared" si="21"/>
        <v>0.000589276761101287</v>
      </c>
      <c r="AJ100" s="231">
        <f ca="1" t="shared" si="22"/>
        <v>0.00030890242270485</v>
      </c>
      <c r="AK100" s="231">
        <f ca="1" t="shared" si="23"/>
        <v>0.00119884300737527</v>
      </c>
      <c r="AL100" s="231">
        <f ca="1" t="shared" si="24"/>
        <v>0.00150818394903066</v>
      </c>
      <c r="AN100" s="12">
        <v>459</v>
      </c>
      <c r="AO100" s="231">
        <f ca="1" t="shared" si="25"/>
        <v>0.753976814221879</v>
      </c>
      <c r="AP100" s="231">
        <f ca="1" t="shared" si="26"/>
        <v>0.319996022078278</v>
      </c>
      <c r="AQ100" s="231">
        <f ca="1" t="shared" si="27"/>
        <v>0.175850810105566</v>
      </c>
      <c r="AR100" s="231">
        <f ca="1" t="shared" si="28"/>
        <v>0.611091195815469</v>
      </c>
      <c r="AS100" s="231">
        <f ca="1" t="shared" si="29"/>
        <v>0.73716596512156</v>
      </c>
    </row>
    <row r="101" ht="15" hidden="1" customHeight="1" spans="2:45">
      <c r="B101" s="8"/>
      <c r="C101" s="221"/>
      <c r="D101" s="221"/>
      <c r="E101" s="221"/>
      <c r="F101" s="221"/>
      <c r="G101" s="221"/>
      <c r="I101" s="12">
        <v>460</v>
      </c>
      <c r="J101" s="230">
        <v>0.06</v>
      </c>
      <c r="L101" s="12">
        <v>460</v>
      </c>
      <c r="M101" s="230">
        <v>0.823726</v>
      </c>
      <c r="N101" s="230">
        <v>0.193202</v>
      </c>
      <c r="O101" s="230">
        <v>0.106663</v>
      </c>
      <c r="P101" s="231">
        <v>0.567</v>
      </c>
      <c r="Q101" s="230">
        <v>0.708049</v>
      </c>
      <c r="S101" s="12">
        <v>460</v>
      </c>
      <c r="T101" s="230">
        <v>0.764351284939957</v>
      </c>
      <c r="U101" s="230">
        <v>0.279527795849455</v>
      </c>
      <c r="V101" s="230">
        <v>0.146279342637142</v>
      </c>
      <c r="W101" s="231">
        <v>0.563494913300885</v>
      </c>
      <c r="X101" s="230">
        <v>0.708048488474048</v>
      </c>
      <c r="Z101" s="12">
        <v>460</v>
      </c>
      <c r="AA101" s="230">
        <f ca="1" t="shared" si="15"/>
        <v>0.764351284939957</v>
      </c>
      <c r="AB101" s="230">
        <f ca="1" t="shared" si="16"/>
        <v>0.279527795849455</v>
      </c>
      <c r="AC101" s="230">
        <f ca="1" t="shared" si="17"/>
        <v>0.146279342637142</v>
      </c>
      <c r="AD101" s="230">
        <f ca="1" t="shared" si="18"/>
        <v>0.563494913300885</v>
      </c>
      <c r="AE101" s="230">
        <f ca="1" t="shared" si="19"/>
        <v>0.708048488474048</v>
      </c>
      <c r="AG101" s="12">
        <v>460</v>
      </c>
      <c r="AH101" s="231">
        <f ca="1" t="shared" si="20"/>
        <v>0.00166163322813034</v>
      </c>
      <c r="AI101" s="231">
        <f ca="1" t="shared" si="21"/>
        <v>0.000607669121411859</v>
      </c>
      <c r="AJ101" s="231">
        <f ca="1" t="shared" si="22"/>
        <v>0.000317998570950309</v>
      </c>
      <c r="AK101" s="231">
        <f ca="1" t="shared" si="23"/>
        <v>0.00122498894195845</v>
      </c>
      <c r="AL101" s="231">
        <f ca="1" t="shared" si="24"/>
        <v>0.0015392358445088</v>
      </c>
      <c r="AN101" s="12">
        <v>460</v>
      </c>
      <c r="AO101" s="231">
        <f ca="1" t="shared" si="25"/>
        <v>0.73111862037735</v>
      </c>
      <c r="AP101" s="231">
        <f ca="1" t="shared" si="26"/>
        <v>0.329983658660134</v>
      </c>
      <c r="AQ101" s="231">
        <f ca="1" t="shared" si="27"/>
        <v>0.18102903118845</v>
      </c>
      <c r="AR101" s="231">
        <f ca="1" t="shared" si="28"/>
        <v>0.624418670999336</v>
      </c>
      <c r="AS101" s="231">
        <f ca="1" t="shared" si="29"/>
        <v>0.752343424418689</v>
      </c>
    </row>
    <row r="102" ht="15" hidden="1" customHeight="1" spans="2:45">
      <c r="B102" s="8"/>
      <c r="C102" s="221"/>
      <c r="D102" s="221"/>
      <c r="E102" s="221"/>
      <c r="F102" s="221"/>
      <c r="G102" s="221"/>
      <c r="I102" s="12">
        <v>461</v>
      </c>
      <c r="J102" s="230">
        <v>0.06260197</v>
      </c>
      <c r="L102" s="12">
        <v>461</v>
      </c>
      <c r="M102" s="230">
        <v>0.808307</v>
      </c>
      <c r="N102" s="230">
        <v>0.200621</v>
      </c>
      <c r="O102" s="230">
        <v>0.110629</v>
      </c>
      <c r="P102" s="231">
        <v>0.578</v>
      </c>
      <c r="Q102" s="230">
        <v>0.723594</v>
      </c>
      <c r="S102" s="12">
        <v>461</v>
      </c>
      <c r="T102" s="230">
        <v>0.741185645889256</v>
      </c>
      <c r="U102" s="230">
        <v>0.288693496176753</v>
      </c>
      <c r="V102" s="230">
        <v>0.150908950915365</v>
      </c>
      <c r="W102" s="231">
        <v>0.57656861730797</v>
      </c>
      <c r="X102" s="230">
        <v>0.723532427107506</v>
      </c>
      <c r="Z102" s="12">
        <v>461</v>
      </c>
      <c r="AA102" s="230">
        <f ca="1" t="shared" si="15"/>
        <v>0.741185645889256</v>
      </c>
      <c r="AB102" s="230">
        <f ca="1" t="shared" si="16"/>
        <v>0.288693496176753</v>
      </c>
      <c r="AC102" s="230">
        <f ca="1" t="shared" si="17"/>
        <v>0.150908950915365</v>
      </c>
      <c r="AD102" s="230">
        <f ca="1" t="shared" si="18"/>
        <v>0.57656861730797</v>
      </c>
      <c r="AE102" s="230">
        <f ca="1" t="shared" si="19"/>
        <v>0.723532427107506</v>
      </c>
      <c r="AG102" s="12">
        <v>461</v>
      </c>
      <c r="AH102" s="231">
        <f ca="1" t="shared" si="20"/>
        <v>0.00160777797372941</v>
      </c>
      <c r="AI102" s="231">
        <f ca="1" t="shared" si="21"/>
        <v>0.000626233180426796</v>
      </c>
      <c r="AJ102" s="231">
        <f ca="1" t="shared" si="22"/>
        <v>0.000327351303504046</v>
      </c>
      <c r="AK102" s="231">
        <f ca="1" t="shared" si="23"/>
        <v>0.00125069114383508</v>
      </c>
      <c r="AL102" s="231">
        <f ca="1" t="shared" si="24"/>
        <v>0.00156948465750001</v>
      </c>
      <c r="AN102" s="12">
        <v>461</v>
      </c>
      <c r="AO102" s="231">
        <f ca="1" t="shared" si="25"/>
        <v>0.707422308440938</v>
      </c>
      <c r="AP102" s="231">
        <f ca="1" t="shared" si="26"/>
        <v>0.340064533099005</v>
      </c>
      <c r="AQ102" s="231">
        <f ca="1" t="shared" si="27"/>
        <v>0.186353319621911</v>
      </c>
      <c r="AR102" s="231">
        <f ca="1" t="shared" si="28"/>
        <v>0.637519960478655</v>
      </c>
      <c r="AS102" s="231">
        <f ca="1" t="shared" si="29"/>
        <v>0.767128355286559</v>
      </c>
    </row>
    <row r="103" ht="15" hidden="1" customHeight="1" spans="2:45">
      <c r="B103" s="8"/>
      <c r="C103" s="221"/>
      <c r="D103" s="221"/>
      <c r="E103" s="221"/>
      <c r="F103" s="221"/>
      <c r="G103" s="221"/>
      <c r="I103" s="12">
        <v>462</v>
      </c>
      <c r="J103" s="230">
        <v>0.06527752</v>
      </c>
      <c r="L103" s="12">
        <v>462</v>
      </c>
      <c r="M103" s="230">
        <v>0.792431</v>
      </c>
      <c r="N103" s="230">
        <v>0.208315</v>
      </c>
      <c r="O103" s="230">
        <v>0.114828</v>
      </c>
      <c r="P103" s="231">
        <v>0.588</v>
      </c>
      <c r="Q103" s="230">
        <v>0.739105</v>
      </c>
      <c r="S103" s="12">
        <v>462</v>
      </c>
      <c r="T103" s="230">
        <v>0.717468766967684</v>
      </c>
      <c r="U103" s="230">
        <v>0.298100016451217</v>
      </c>
      <c r="V103" s="230">
        <v>0.155743883607121</v>
      </c>
      <c r="W103" s="231">
        <v>0.589740562926786</v>
      </c>
      <c r="X103" s="230">
        <v>0.739007762115495</v>
      </c>
      <c r="Z103" s="12">
        <v>462</v>
      </c>
      <c r="AA103" s="230">
        <f ca="1" t="shared" si="15"/>
        <v>0.717468766967684</v>
      </c>
      <c r="AB103" s="230">
        <f ca="1" t="shared" si="16"/>
        <v>0.298100016451217</v>
      </c>
      <c r="AC103" s="230">
        <f ca="1" t="shared" si="17"/>
        <v>0.155743883607121</v>
      </c>
      <c r="AD103" s="230">
        <f ca="1" t="shared" si="18"/>
        <v>0.589740562926786</v>
      </c>
      <c r="AE103" s="230">
        <f ca="1" t="shared" si="19"/>
        <v>0.739007762115495</v>
      </c>
      <c r="AG103" s="12">
        <v>462</v>
      </c>
      <c r="AH103" s="231">
        <f ca="1" t="shared" si="20"/>
        <v>0.00155296269906425</v>
      </c>
      <c r="AI103" s="231">
        <f ca="1" t="shared" si="21"/>
        <v>0.00064523813084679</v>
      </c>
      <c r="AJ103" s="231">
        <f ca="1" t="shared" si="22"/>
        <v>0.000337107973175587</v>
      </c>
      <c r="AK103" s="231">
        <f ca="1" t="shared" si="23"/>
        <v>0.00127649472494975</v>
      </c>
      <c r="AL103" s="231">
        <f ca="1" t="shared" si="24"/>
        <v>0.00159958390068289</v>
      </c>
      <c r="AN103" s="12">
        <v>462</v>
      </c>
      <c r="AO103" s="231">
        <f ca="1" t="shared" si="25"/>
        <v>0.68330358758827</v>
      </c>
      <c r="AP103" s="231">
        <f ca="1" t="shared" si="26"/>
        <v>0.350384825592514</v>
      </c>
      <c r="AQ103" s="231">
        <f ca="1" t="shared" si="27"/>
        <v>0.19190755985949</v>
      </c>
      <c r="AR103" s="231">
        <f ca="1" t="shared" si="28"/>
        <v>0.650672926415548</v>
      </c>
      <c r="AS103" s="231">
        <f ca="1" t="shared" si="29"/>
        <v>0.781840179838594</v>
      </c>
    </row>
    <row r="104" ht="15" hidden="1" customHeight="1" spans="2:45">
      <c r="B104" s="8"/>
      <c r="C104" s="221"/>
      <c r="D104" s="221"/>
      <c r="E104" s="221"/>
      <c r="F104" s="221"/>
      <c r="G104" s="221"/>
      <c r="I104" s="12">
        <v>463</v>
      </c>
      <c r="J104" s="230">
        <v>0.06804208</v>
      </c>
      <c r="L104" s="12">
        <v>463</v>
      </c>
      <c r="M104" s="230">
        <v>0.775569</v>
      </c>
      <c r="N104" s="230">
        <v>0.216212</v>
      </c>
      <c r="O104" s="230">
        <v>0.119217</v>
      </c>
      <c r="P104" s="231">
        <v>0.599</v>
      </c>
      <c r="Q104" s="230">
        <v>0.75456</v>
      </c>
      <c r="S104" s="12">
        <v>463</v>
      </c>
      <c r="T104" s="230">
        <v>0.693274138772661</v>
      </c>
      <c r="U104" s="230">
        <v>0.307746413264686</v>
      </c>
      <c r="V104" s="230">
        <v>0.160788876270329</v>
      </c>
      <c r="W104" s="231">
        <v>0.603003731994239</v>
      </c>
      <c r="X104" s="230">
        <v>0.754459619075015</v>
      </c>
      <c r="Z104" s="12">
        <v>463</v>
      </c>
      <c r="AA104" s="230">
        <f ca="1" t="shared" si="15"/>
        <v>0.693274138772661</v>
      </c>
      <c r="AB104" s="230">
        <f ca="1" t="shared" si="16"/>
        <v>0.307746413264686</v>
      </c>
      <c r="AC104" s="230">
        <f ca="1" t="shared" si="17"/>
        <v>0.160788876270329</v>
      </c>
      <c r="AD104" s="230">
        <f ca="1" t="shared" si="18"/>
        <v>0.603003731994239</v>
      </c>
      <c r="AE104" s="230">
        <f ca="1" t="shared" si="19"/>
        <v>0.754459619075015</v>
      </c>
      <c r="AG104" s="12">
        <v>463</v>
      </c>
      <c r="AH104" s="231">
        <f ca="1" t="shared" si="20"/>
        <v>0.00149735235156082</v>
      </c>
      <c r="AI104" s="231">
        <f ca="1" t="shared" si="21"/>
        <v>0.000664679078325456</v>
      </c>
      <c r="AJ104" s="231">
        <f ca="1" t="shared" si="22"/>
        <v>0.000347276190648659</v>
      </c>
      <c r="AK104" s="231">
        <f ca="1" t="shared" si="23"/>
        <v>0.00130238387039792</v>
      </c>
      <c r="AL104" s="231">
        <f ca="1" t="shared" si="24"/>
        <v>0.00162950241700867</v>
      </c>
      <c r="AN104" s="12">
        <v>463</v>
      </c>
      <c r="AO104" s="231">
        <f ca="1" t="shared" si="25"/>
        <v>0.658835034686762</v>
      </c>
      <c r="AP104" s="231">
        <f ca="1" t="shared" si="26"/>
        <v>0.360941878354919</v>
      </c>
      <c r="AQ104" s="231">
        <f ca="1" t="shared" si="27"/>
        <v>0.197696084482612</v>
      </c>
      <c r="AR104" s="231">
        <f ca="1" t="shared" si="28"/>
        <v>0.663869507413423</v>
      </c>
      <c r="AS104" s="231">
        <f ca="1" t="shared" si="29"/>
        <v>0.796463669218968</v>
      </c>
    </row>
    <row r="105" ht="15" hidden="1" customHeight="1" spans="2:45">
      <c r="B105" s="8"/>
      <c r="C105" s="221"/>
      <c r="D105" s="221"/>
      <c r="E105" s="221"/>
      <c r="F105" s="221"/>
      <c r="G105" s="221"/>
      <c r="I105" s="12">
        <v>464</v>
      </c>
      <c r="J105" s="230">
        <v>0.07091109</v>
      </c>
      <c r="L105" s="12">
        <v>464</v>
      </c>
      <c r="M105" s="230">
        <v>0.757244</v>
      </c>
      <c r="N105" s="230">
        <v>0.224231</v>
      </c>
      <c r="O105" s="230">
        <v>0.12374</v>
      </c>
      <c r="P105" s="231">
        <v>0.61</v>
      </c>
      <c r="Q105" s="230">
        <v>0.769938</v>
      </c>
      <c r="S105" s="12">
        <v>464</v>
      </c>
      <c r="T105" s="230">
        <v>0.668677946379168</v>
      </c>
      <c r="U105" s="230">
        <v>0.31763108638177</v>
      </c>
      <c r="V105" s="230">
        <v>0.1660481341956</v>
      </c>
      <c r="W105" s="231">
        <v>0.61635368947601</v>
      </c>
      <c r="X105" s="230">
        <v>0.769869297062266</v>
      </c>
      <c r="Z105" s="12">
        <v>464</v>
      </c>
      <c r="AA105" s="230">
        <f ca="1" t="shared" si="15"/>
        <v>0.668677946379168</v>
      </c>
      <c r="AB105" s="230">
        <f ca="1" t="shared" si="16"/>
        <v>0.31763108638177</v>
      </c>
      <c r="AC105" s="230">
        <f ca="1" t="shared" si="17"/>
        <v>0.1660481341956</v>
      </c>
      <c r="AD105" s="230">
        <f ca="1" t="shared" si="18"/>
        <v>0.61635368947601</v>
      </c>
      <c r="AE105" s="230">
        <f ca="1" t="shared" si="19"/>
        <v>0.769869297062266</v>
      </c>
      <c r="AG105" s="12">
        <v>464</v>
      </c>
      <c r="AH105" s="231">
        <f ca="1" t="shared" si="20"/>
        <v>0.00144111626374821</v>
      </c>
      <c r="AI105" s="231">
        <f ca="1" t="shared" si="21"/>
        <v>0.000684549755133125</v>
      </c>
      <c r="AJ105" s="231">
        <f ca="1" t="shared" si="22"/>
        <v>0.000357862358180172</v>
      </c>
      <c r="AK105" s="231">
        <f ca="1" t="shared" si="23"/>
        <v>0.0013283484686983</v>
      </c>
      <c r="AL105" s="231">
        <f ca="1" t="shared" si="24"/>
        <v>0.00165920107125488</v>
      </c>
      <c r="AN105" s="12">
        <v>464</v>
      </c>
      <c r="AO105" s="231">
        <f ca="1" t="shared" si="25"/>
        <v>0.634091156049211</v>
      </c>
      <c r="AP105" s="231">
        <f ca="1" t="shared" si="26"/>
        <v>0.371732287809679</v>
      </c>
      <c r="AQ105" s="231">
        <f ca="1" t="shared" si="27"/>
        <v>0.203722538144028</v>
      </c>
      <c r="AR105" s="231">
        <f ca="1" t="shared" si="28"/>
        <v>0.677104549305173</v>
      </c>
      <c r="AS105" s="231">
        <f ca="1" t="shared" si="29"/>
        <v>0.810979695022247</v>
      </c>
    </row>
    <row r="106" ht="15" hidden="1" customHeight="1" spans="2:45">
      <c r="B106" s="8"/>
      <c r="C106" s="221"/>
      <c r="D106" s="221"/>
      <c r="E106" s="221"/>
      <c r="F106" s="221"/>
      <c r="G106" s="221"/>
      <c r="I106" s="12">
        <v>465</v>
      </c>
      <c r="J106" s="230">
        <v>0.0739</v>
      </c>
      <c r="L106" s="12">
        <v>465</v>
      </c>
      <c r="M106" s="230">
        <v>0.737043</v>
      </c>
      <c r="N106" s="230">
        <v>0.232275</v>
      </c>
      <c r="O106" s="230">
        <v>0.128336</v>
      </c>
      <c r="P106" s="231">
        <v>0.62</v>
      </c>
      <c r="Q106" s="230">
        <v>0.785216</v>
      </c>
      <c r="S106" s="12">
        <v>465</v>
      </c>
      <c r="T106" s="230">
        <v>0.643760017315039</v>
      </c>
      <c r="U106" s="230">
        <v>0.327752490154648</v>
      </c>
      <c r="V106" s="230">
        <v>0.171525225912681</v>
      </c>
      <c r="W106" s="231">
        <v>0.629783096631754</v>
      </c>
      <c r="X106" s="230">
        <v>0.785215746071412</v>
      </c>
      <c r="Z106" s="12">
        <v>465</v>
      </c>
      <c r="AA106" s="230">
        <f ca="1" t="shared" si="15"/>
        <v>0.643760017315039</v>
      </c>
      <c r="AB106" s="230">
        <f ca="1" t="shared" si="16"/>
        <v>0.327752490154648</v>
      </c>
      <c r="AC106" s="230">
        <f ca="1" t="shared" si="17"/>
        <v>0.171525225912681</v>
      </c>
      <c r="AD106" s="230">
        <f ca="1" t="shared" si="18"/>
        <v>0.629783096631754</v>
      </c>
      <c r="AE106" s="230">
        <f ca="1" t="shared" si="19"/>
        <v>0.785215746071412</v>
      </c>
      <c r="AG106" s="12">
        <v>465</v>
      </c>
      <c r="AH106" s="231">
        <f ca="1" t="shared" si="20"/>
        <v>0.00138443014476352</v>
      </c>
      <c r="AI106" s="231">
        <f ca="1" t="shared" si="21"/>
        <v>0.000704844064848705</v>
      </c>
      <c r="AJ106" s="231">
        <f ca="1" t="shared" si="22"/>
        <v>0.000368871453575658</v>
      </c>
      <c r="AK106" s="231">
        <f ca="1" t="shared" si="23"/>
        <v>0.00135437225082098</v>
      </c>
      <c r="AL106" s="231">
        <f ca="1" t="shared" si="24"/>
        <v>0.0016886360130568</v>
      </c>
      <c r="AN106" s="12">
        <v>465</v>
      </c>
      <c r="AO106" s="231">
        <f ca="1" t="shared" si="25"/>
        <v>0.609149263695951</v>
      </c>
      <c r="AP106" s="231">
        <f ca="1" t="shared" si="26"/>
        <v>0.382752743406254</v>
      </c>
      <c r="AQ106" s="231">
        <f ca="1" t="shared" si="27"/>
        <v>0.20998975459016</v>
      </c>
      <c r="AR106" s="231">
        <f ca="1" t="shared" si="28"/>
        <v>0.69036975921102</v>
      </c>
      <c r="AS106" s="231">
        <f ca="1" t="shared" si="29"/>
        <v>0.825366824188853</v>
      </c>
    </row>
    <row r="107" ht="15" hidden="1" customHeight="1" spans="2:45">
      <c r="B107" s="8"/>
      <c r="C107" s="221"/>
      <c r="D107" s="221"/>
      <c r="E107" s="221"/>
      <c r="F107" s="221"/>
      <c r="G107" s="221"/>
      <c r="I107" s="12">
        <v>466</v>
      </c>
      <c r="J107" s="230">
        <v>0.077016</v>
      </c>
      <c r="L107" s="12">
        <v>466</v>
      </c>
      <c r="M107" s="230">
        <v>0.71473</v>
      </c>
      <c r="N107" s="230">
        <v>0.240257</v>
      </c>
      <c r="O107" s="230">
        <v>0.132947</v>
      </c>
      <c r="P107" s="231">
        <v>0.631</v>
      </c>
      <c r="Q107" s="230">
        <v>0.800683</v>
      </c>
      <c r="S107" s="12">
        <v>466</v>
      </c>
      <c r="T107" s="230">
        <v>0.618602968887339</v>
      </c>
      <c r="U107" s="230">
        <v>0.338109209231821</v>
      </c>
      <c r="V107" s="230">
        <v>0.177224598036125</v>
      </c>
      <c r="W107" s="231">
        <v>0.643287333337339</v>
      </c>
      <c r="X107" s="230">
        <v>0.800480948240733</v>
      </c>
      <c r="Z107" s="12">
        <v>466</v>
      </c>
      <c r="AA107" s="230">
        <f ca="1" t="shared" si="15"/>
        <v>0.618602968887339</v>
      </c>
      <c r="AB107" s="230">
        <f ca="1" t="shared" si="16"/>
        <v>0.338109209231821</v>
      </c>
      <c r="AC107" s="230">
        <f ca="1" t="shared" si="17"/>
        <v>0.177224598036125</v>
      </c>
      <c r="AD107" s="230">
        <f ca="1" t="shared" si="18"/>
        <v>0.643287333337339</v>
      </c>
      <c r="AE107" s="230">
        <f ca="1" t="shared" si="19"/>
        <v>0.800480948240733</v>
      </c>
      <c r="AG107" s="12">
        <v>466</v>
      </c>
      <c r="AH107" s="231">
        <f ca="1" t="shared" si="20"/>
        <v>0.00132747418216167</v>
      </c>
      <c r="AI107" s="231">
        <f ca="1" t="shared" si="21"/>
        <v>0.00072555624298674</v>
      </c>
      <c r="AJ107" s="231">
        <f ca="1" t="shared" si="22"/>
        <v>0.00038031029621486</v>
      </c>
      <c r="AK107" s="231">
        <f ca="1" t="shared" si="23"/>
        <v>0.00138044492132476</v>
      </c>
      <c r="AL107" s="231">
        <f ca="1" t="shared" si="24"/>
        <v>0.00171777027519471</v>
      </c>
      <c r="AN107" s="12">
        <v>466</v>
      </c>
      <c r="AO107" s="231">
        <f ca="1" t="shared" si="25"/>
        <v>0.584088640151136</v>
      </c>
      <c r="AP107" s="231">
        <f ca="1" t="shared" si="26"/>
        <v>0.394000114845713</v>
      </c>
      <c r="AQ107" s="231">
        <f ca="1" t="shared" si="27"/>
        <v>0.216501615931875</v>
      </c>
      <c r="AR107" s="231">
        <f ca="1" t="shared" si="28"/>
        <v>0.703659889193213</v>
      </c>
      <c r="AS107" s="231">
        <f ca="1" t="shared" si="29"/>
        <v>0.839606987983725</v>
      </c>
    </row>
    <row r="108" ht="15" hidden="1" customHeight="1" spans="2:45">
      <c r="B108" s="8"/>
      <c r="C108" s="221"/>
      <c r="D108" s="221"/>
      <c r="E108" s="221"/>
      <c r="F108" s="221"/>
      <c r="G108" s="221"/>
      <c r="I108" s="12">
        <v>467</v>
      </c>
      <c r="J108" s="230">
        <v>0.0802664</v>
      </c>
      <c r="L108" s="12">
        <v>467</v>
      </c>
      <c r="M108" s="230">
        <v>0.690558</v>
      </c>
      <c r="N108" s="230">
        <v>0.24816</v>
      </c>
      <c r="O108" s="230">
        <v>0.13757</v>
      </c>
      <c r="P108" s="231">
        <v>0.642</v>
      </c>
      <c r="Q108" s="230">
        <v>0.816354</v>
      </c>
      <c r="S108" s="12">
        <v>467</v>
      </c>
      <c r="T108" s="230">
        <v>0.593292693554248</v>
      </c>
      <c r="U108" s="230">
        <v>0.348699239341837</v>
      </c>
      <c r="V108" s="230">
        <v>0.183149189036959</v>
      </c>
      <c r="W108" s="231">
        <v>0.656860278336333</v>
      </c>
      <c r="X108" s="230">
        <v>0.815642787132787</v>
      </c>
      <c r="Z108" s="12">
        <v>467</v>
      </c>
      <c r="AA108" s="230">
        <f ca="1" t="shared" si="15"/>
        <v>0.593292693554248</v>
      </c>
      <c r="AB108" s="230">
        <f ca="1" t="shared" si="16"/>
        <v>0.348699239341837</v>
      </c>
      <c r="AC108" s="230">
        <f ca="1" t="shared" si="17"/>
        <v>0.183149189036959</v>
      </c>
      <c r="AD108" s="230">
        <f ca="1" t="shared" si="18"/>
        <v>0.656860278336333</v>
      </c>
      <c r="AE108" s="230">
        <f ca="1" t="shared" si="19"/>
        <v>0.815642787132787</v>
      </c>
      <c r="AG108" s="12">
        <v>467</v>
      </c>
      <c r="AH108" s="231">
        <f ca="1" t="shared" si="20"/>
        <v>0.00127043403330674</v>
      </c>
      <c r="AI108" s="231">
        <f ca="1" t="shared" si="21"/>
        <v>0.000746679313365818</v>
      </c>
      <c r="AJ108" s="231">
        <f ca="1" t="shared" si="22"/>
        <v>0.000392182417638028</v>
      </c>
      <c r="AK108" s="231">
        <f ca="1" t="shared" si="23"/>
        <v>0.00140655305853604</v>
      </c>
      <c r="AL108" s="231">
        <f ca="1" t="shared" si="24"/>
        <v>0.00174655843069119</v>
      </c>
      <c r="AN108" s="12">
        <v>467</v>
      </c>
      <c r="AO108" s="231">
        <f ca="1" t="shared" si="25"/>
        <v>0.558990974654966</v>
      </c>
      <c r="AP108" s="231">
        <f ca="1" t="shared" si="26"/>
        <v>0.405470613839687</v>
      </c>
      <c r="AQ108" s="231">
        <f ca="1" t="shared" si="27"/>
        <v>0.223260132591132</v>
      </c>
      <c r="AR108" s="231">
        <f ca="1" t="shared" si="28"/>
        <v>0.716968097766651</v>
      </c>
      <c r="AS108" s="231">
        <f ca="1" t="shared" si="29"/>
        <v>0.853677982734914</v>
      </c>
    </row>
    <row r="109" ht="15" hidden="1" customHeight="1" spans="2:45">
      <c r="B109" s="8"/>
      <c r="C109" s="221"/>
      <c r="D109" s="221"/>
      <c r="E109" s="221"/>
      <c r="F109" s="221"/>
      <c r="G109" s="221"/>
      <c r="I109" s="12">
        <v>468</v>
      </c>
      <c r="J109" s="230">
        <v>0.0836668</v>
      </c>
      <c r="L109" s="12">
        <v>468</v>
      </c>
      <c r="M109" s="230">
        <v>0.66489</v>
      </c>
      <c r="N109" s="230">
        <v>0.255987</v>
      </c>
      <c r="O109" s="230">
        <v>0.142218</v>
      </c>
      <c r="P109" s="231">
        <v>0.653</v>
      </c>
      <c r="Q109" s="230">
        <v>0.831798</v>
      </c>
      <c r="S109" s="12">
        <v>468</v>
      </c>
      <c r="T109" s="230">
        <v>0.567917171269068</v>
      </c>
      <c r="U109" s="230">
        <v>0.359519954407475</v>
      </c>
      <c r="V109" s="230">
        <v>0.189303655335369</v>
      </c>
      <c r="W109" s="231">
        <v>0.670497248515936</v>
      </c>
      <c r="X109" s="230">
        <v>0.830678557376</v>
      </c>
      <c r="Z109" s="12">
        <v>468</v>
      </c>
      <c r="AA109" s="230">
        <f ca="1" t="shared" si="15"/>
        <v>0.567917171269068</v>
      </c>
      <c r="AB109" s="230">
        <f ca="1" t="shared" si="16"/>
        <v>0.359519954407475</v>
      </c>
      <c r="AC109" s="230">
        <f ca="1" t="shared" si="17"/>
        <v>0.189303655335369</v>
      </c>
      <c r="AD109" s="230">
        <f ca="1" t="shared" si="18"/>
        <v>0.670497248515936</v>
      </c>
      <c r="AE109" s="230">
        <f ca="1" t="shared" si="19"/>
        <v>0.830678557376</v>
      </c>
      <c r="AG109" s="12">
        <v>468</v>
      </c>
      <c r="AH109" s="231">
        <f ca="1" t="shared" si="20"/>
        <v>0.00121349822920741</v>
      </c>
      <c r="AI109" s="231">
        <f ca="1" t="shared" si="21"/>
        <v>0.000768205030785203</v>
      </c>
      <c r="AJ109" s="231">
        <f ca="1" t="shared" si="22"/>
        <v>0.00040449499003284</v>
      </c>
      <c r="AK109" s="231">
        <f ca="1" t="shared" si="23"/>
        <v>0.00143268642845285</v>
      </c>
      <c r="AL109" s="231">
        <f ca="1" t="shared" si="24"/>
        <v>0.00177495418242735</v>
      </c>
      <c r="AN109" s="12">
        <v>468</v>
      </c>
      <c r="AO109" s="231">
        <f ca="1" t="shared" si="25"/>
        <v>0.533939220851261</v>
      </c>
      <c r="AP109" s="231">
        <f ca="1" t="shared" si="26"/>
        <v>0.417159762981953</v>
      </c>
      <c r="AQ109" s="231">
        <f ca="1" t="shared" si="27"/>
        <v>0.230269387523975</v>
      </c>
      <c r="AR109" s="231">
        <f ca="1" t="shared" si="28"/>
        <v>0.730289168311255</v>
      </c>
      <c r="AS109" s="231">
        <f ca="1" t="shared" si="29"/>
        <v>0.867557179465121</v>
      </c>
    </row>
    <row r="110" ht="15" hidden="1" customHeight="1" spans="2:45">
      <c r="B110" s="8"/>
      <c r="C110" s="221"/>
      <c r="D110" s="221"/>
      <c r="E110" s="221"/>
      <c r="F110" s="221"/>
      <c r="G110" s="221"/>
      <c r="I110" s="12">
        <v>469</v>
      </c>
      <c r="J110" s="230">
        <v>0.0872328</v>
      </c>
      <c r="L110" s="12">
        <v>469</v>
      </c>
      <c r="M110" s="230">
        <v>0.638078</v>
      </c>
      <c r="N110" s="230">
        <v>0.263744</v>
      </c>
      <c r="O110" s="230">
        <v>0.146905</v>
      </c>
      <c r="P110" s="231">
        <v>0.664</v>
      </c>
      <c r="Q110" s="230">
        <v>0.846587</v>
      </c>
      <c r="S110" s="12">
        <v>469</v>
      </c>
      <c r="T110" s="230">
        <v>0.542561533588779</v>
      </c>
      <c r="U110" s="230">
        <v>0.37056892701278</v>
      </c>
      <c r="V110" s="230">
        <v>0.195690165258544</v>
      </c>
      <c r="W110" s="231">
        <v>0.684190437452311</v>
      </c>
      <c r="X110" s="230">
        <v>0.845570844554139</v>
      </c>
      <c r="Z110" s="12">
        <v>469</v>
      </c>
      <c r="AA110" s="230">
        <f ca="1" t="shared" si="15"/>
        <v>0.542561533588779</v>
      </c>
      <c r="AB110" s="230">
        <f ca="1" t="shared" si="16"/>
        <v>0.37056892701278</v>
      </c>
      <c r="AC110" s="230">
        <f ca="1" t="shared" si="17"/>
        <v>0.195690165258544</v>
      </c>
      <c r="AD110" s="230">
        <f ca="1" t="shared" si="18"/>
        <v>0.684190437452311</v>
      </c>
      <c r="AE110" s="230">
        <f ca="1" t="shared" si="19"/>
        <v>0.845570844554139</v>
      </c>
      <c r="AG110" s="12">
        <v>469</v>
      </c>
      <c r="AH110" s="231">
        <f ca="1" t="shared" si="20"/>
        <v>0.00115684761959228</v>
      </c>
      <c r="AI110" s="231">
        <f ca="1" t="shared" si="21"/>
        <v>0.00079012564395049</v>
      </c>
      <c r="AJ110" s="231">
        <f ca="1" t="shared" si="22"/>
        <v>0.000417249819314593</v>
      </c>
      <c r="AK110" s="231">
        <f ca="1" t="shared" si="23"/>
        <v>0.00145882822484501</v>
      </c>
      <c r="AL110" s="231">
        <f ca="1" t="shared" si="24"/>
        <v>0.0018029229094971</v>
      </c>
      <c r="AN110" s="12">
        <v>469</v>
      </c>
      <c r="AO110" s="231">
        <f ca="1" t="shared" si="25"/>
        <v>0.509012952620603</v>
      </c>
      <c r="AP110" s="231">
        <f ca="1" t="shared" si="26"/>
        <v>0.429063353073134</v>
      </c>
      <c r="AQ110" s="231">
        <f ca="1" t="shared" si="27"/>
        <v>0.237530408795076</v>
      </c>
      <c r="AR110" s="231">
        <f ca="1" t="shared" si="28"/>
        <v>0.743614534117928</v>
      </c>
      <c r="AS110" s="231">
        <f ca="1" t="shared" si="29"/>
        <v>0.881227656263951</v>
      </c>
    </row>
    <row r="111" ht="15" hidden="1" customHeight="1" spans="2:45">
      <c r="B111" s="8"/>
      <c r="C111" s="221"/>
      <c r="D111" s="221"/>
      <c r="E111" s="221"/>
      <c r="F111" s="221"/>
      <c r="G111" s="221"/>
      <c r="I111" s="12">
        <v>470</v>
      </c>
      <c r="J111" s="230">
        <v>0.09098</v>
      </c>
      <c r="L111" s="12">
        <v>470</v>
      </c>
      <c r="M111" s="230">
        <v>0.610456</v>
      </c>
      <c r="N111" s="230">
        <v>0.271441</v>
      </c>
      <c r="O111" s="230">
        <v>0.151651</v>
      </c>
      <c r="P111" s="231">
        <v>0.676</v>
      </c>
      <c r="Q111" s="230">
        <v>0.860291</v>
      </c>
      <c r="S111" s="12">
        <v>470</v>
      </c>
      <c r="T111" s="230">
        <v>0.517314915023402</v>
      </c>
      <c r="U111" s="230">
        <v>0.381844904879891</v>
      </c>
      <c r="V111" s="230">
        <v>0.202312631951279</v>
      </c>
      <c r="W111" s="231">
        <v>0.69793342855282</v>
      </c>
      <c r="X111" s="230">
        <v>0.860290248212551</v>
      </c>
      <c r="Z111" s="12">
        <v>470</v>
      </c>
      <c r="AA111" s="230">
        <f ca="1" t="shared" si="15"/>
        <v>0.517314915023402</v>
      </c>
      <c r="AB111" s="230">
        <f ca="1" t="shared" si="16"/>
        <v>0.381844904879891</v>
      </c>
      <c r="AC111" s="230">
        <f ca="1" t="shared" si="17"/>
        <v>0.202312631951279</v>
      </c>
      <c r="AD111" s="230">
        <f ca="1" t="shared" si="18"/>
        <v>0.69793342855282</v>
      </c>
      <c r="AE111" s="230">
        <f ca="1" t="shared" si="19"/>
        <v>0.860290248212551</v>
      </c>
      <c r="AG111" s="12">
        <v>470</v>
      </c>
      <c r="AH111" s="231">
        <f ca="1" t="shared" si="20"/>
        <v>0.00110067003196469</v>
      </c>
      <c r="AI111" s="231">
        <f ca="1" t="shared" si="21"/>
        <v>0.000812435967829555</v>
      </c>
      <c r="AJ111" s="231">
        <f ca="1" t="shared" si="22"/>
        <v>0.000430452408406977</v>
      </c>
      <c r="AK111" s="231">
        <f ca="1" t="shared" si="23"/>
        <v>0.00148496474160174</v>
      </c>
      <c r="AL111" s="231">
        <f ca="1" t="shared" si="24"/>
        <v>0.00183040478343096</v>
      </c>
      <c r="AN111" s="12">
        <v>470</v>
      </c>
      <c r="AO111" s="231">
        <f ca="1" t="shared" si="25"/>
        <v>0.484294814064461</v>
      </c>
      <c r="AP111" s="231">
        <f ca="1" t="shared" si="26"/>
        <v>0.441178568475887</v>
      </c>
      <c r="AQ111" s="231">
        <f ca="1" t="shared" si="27"/>
        <v>0.245046329088148</v>
      </c>
      <c r="AR111" s="231">
        <f ca="1" t="shared" si="28"/>
        <v>0.756937208714238</v>
      </c>
      <c r="AS111" s="231">
        <f ca="1" t="shared" si="29"/>
        <v>0.894660170338129</v>
      </c>
    </row>
    <row r="112" ht="15" hidden="1" customHeight="1" spans="2:45">
      <c r="B112" s="8"/>
      <c r="C112" s="221"/>
      <c r="D112" s="221"/>
      <c r="E112" s="221"/>
      <c r="F112" s="221"/>
      <c r="G112" s="221"/>
      <c r="I112" s="12">
        <v>471</v>
      </c>
      <c r="J112" s="230">
        <v>0.09491755</v>
      </c>
      <c r="L112" s="12">
        <v>471</v>
      </c>
      <c r="M112" s="230">
        <v>0.582346</v>
      </c>
      <c r="N112" s="230">
        <v>0.279097</v>
      </c>
      <c r="O112" s="230">
        <v>0.156475</v>
      </c>
      <c r="P112" s="231">
        <v>0.687</v>
      </c>
      <c r="Q112" s="230">
        <v>0.872925</v>
      </c>
      <c r="S112" s="12">
        <v>471</v>
      </c>
      <c r="T112" s="230">
        <v>0.490905615443493</v>
      </c>
      <c r="U112" s="230">
        <v>0.392257268698538</v>
      </c>
      <c r="V112" s="230">
        <v>0.208596972045947</v>
      </c>
      <c r="W112" s="231">
        <v>0.709759149956019</v>
      </c>
      <c r="X112" s="230">
        <v>0.872404706760567</v>
      </c>
      <c r="Z112" s="12">
        <v>471</v>
      </c>
      <c r="AA112" s="230">
        <f ca="1" t="shared" si="15"/>
        <v>0.490905615443493</v>
      </c>
      <c r="AB112" s="230">
        <f ca="1" t="shared" si="16"/>
        <v>0.392257268698538</v>
      </c>
      <c r="AC112" s="230">
        <f ca="1" t="shared" si="17"/>
        <v>0.208596972045947</v>
      </c>
      <c r="AD112" s="230">
        <f ca="1" t="shared" si="18"/>
        <v>0.709759149956019</v>
      </c>
      <c r="AE112" s="230">
        <f ca="1" t="shared" si="19"/>
        <v>0.872404706760567</v>
      </c>
      <c r="AG112" s="12">
        <v>471</v>
      </c>
      <c r="AH112" s="231">
        <f ca="1" t="shared" si="20"/>
        <v>0.0010422624531709</v>
      </c>
      <c r="AI112" s="231">
        <f ca="1" t="shared" si="21"/>
        <v>0.000832817980251673</v>
      </c>
      <c r="AJ112" s="231">
        <f ca="1" t="shared" si="22"/>
        <v>0.000442881044683539</v>
      </c>
      <c r="AK112" s="231">
        <f ca="1" t="shared" si="23"/>
        <v>0.00150691963897244</v>
      </c>
      <c r="AL112" s="231">
        <f ca="1" t="shared" si="24"/>
        <v>0.00185223929248528</v>
      </c>
      <c r="AN112" s="12">
        <v>471</v>
      </c>
      <c r="AO112" s="231">
        <f ca="1" t="shared" si="25"/>
        <v>0.458595479395195</v>
      </c>
      <c r="AP112" s="231">
        <f ca="1" t="shared" si="26"/>
        <v>0.452246649431326</v>
      </c>
      <c r="AQ112" s="231">
        <f ca="1" t="shared" si="27"/>
        <v>0.252121656431337</v>
      </c>
      <c r="AR112" s="231">
        <f ca="1" t="shared" si="28"/>
        <v>0.768128369196241</v>
      </c>
      <c r="AS112" s="231">
        <f ca="1" t="shared" si="29"/>
        <v>0.905332381078954</v>
      </c>
    </row>
    <row r="113" ht="15" hidden="1" customHeight="1" spans="2:45">
      <c r="B113" s="8"/>
      <c r="C113" s="221"/>
      <c r="D113" s="221"/>
      <c r="E113" s="221"/>
      <c r="F113" s="221"/>
      <c r="G113" s="221"/>
      <c r="I113" s="12">
        <v>472</v>
      </c>
      <c r="J113" s="230">
        <v>0.09904584</v>
      </c>
      <c r="L113" s="12">
        <v>472</v>
      </c>
      <c r="M113" s="230">
        <v>0.554065</v>
      </c>
      <c r="N113" s="230">
        <v>0.286755</v>
      </c>
      <c r="O113" s="230">
        <v>0.161404</v>
      </c>
      <c r="P113" s="231">
        <v>0.699</v>
      </c>
      <c r="Q113" s="230">
        <v>0.88487</v>
      </c>
      <c r="S113" s="12">
        <v>472</v>
      </c>
      <c r="T113" s="230">
        <v>0.46491654316969</v>
      </c>
      <c r="U113" s="230">
        <v>0.402829252076416</v>
      </c>
      <c r="V113" s="230">
        <v>0.21508493868653</v>
      </c>
      <c r="W113" s="231">
        <v>0.721550945313899</v>
      </c>
      <c r="X113" s="230">
        <v>0.884229500185674</v>
      </c>
      <c r="Z113" s="12">
        <v>472</v>
      </c>
      <c r="AA113" s="230">
        <f ca="1" t="shared" si="15"/>
        <v>0.46491654316969</v>
      </c>
      <c r="AB113" s="230">
        <f ca="1" t="shared" si="16"/>
        <v>0.402829252076416</v>
      </c>
      <c r="AC113" s="230">
        <f ca="1" t="shared" si="17"/>
        <v>0.21508493868653</v>
      </c>
      <c r="AD113" s="230">
        <f ca="1" t="shared" si="18"/>
        <v>0.721550945313899</v>
      </c>
      <c r="AE113" s="230">
        <f ca="1" t="shared" si="19"/>
        <v>0.884229500185674</v>
      </c>
      <c r="AG113" s="12">
        <v>472</v>
      </c>
      <c r="AH113" s="231">
        <f ca="1" t="shared" si="20"/>
        <v>0.00098499267620697</v>
      </c>
      <c r="AI113" s="231">
        <f ca="1" t="shared" si="21"/>
        <v>0.000853451805246644</v>
      </c>
      <c r="AJ113" s="231">
        <f ca="1" t="shared" si="22"/>
        <v>0.000455688429420614</v>
      </c>
      <c r="AK113" s="231">
        <f ca="1" t="shared" si="23"/>
        <v>0.00152870962990233</v>
      </c>
      <c r="AL113" s="231">
        <f ca="1" t="shared" si="24"/>
        <v>0.00187336758513914</v>
      </c>
      <c r="AN113" s="12">
        <v>472</v>
      </c>
      <c r="AO113" s="231">
        <f ca="1" t="shared" si="25"/>
        <v>0.433396777531067</v>
      </c>
      <c r="AP113" s="231">
        <f ca="1" t="shared" si="26"/>
        <v>0.463451472622232</v>
      </c>
      <c r="AQ113" s="231">
        <f ca="1" t="shared" si="27"/>
        <v>0.2594125962745</v>
      </c>
      <c r="AR113" s="231">
        <f ca="1" t="shared" si="28"/>
        <v>0.779235471237323</v>
      </c>
      <c r="AS113" s="231">
        <f ca="1" t="shared" si="29"/>
        <v>0.91565940932744</v>
      </c>
    </row>
    <row r="114" ht="15" hidden="1" customHeight="1" spans="2:45">
      <c r="B114" s="8"/>
      <c r="C114" s="221"/>
      <c r="D114" s="221"/>
      <c r="E114" s="221"/>
      <c r="F114" s="221"/>
      <c r="G114" s="221"/>
      <c r="I114" s="12">
        <v>473</v>
      </c>
      <c r="J114" s="230">
        <v>0.1033674</v>
      </c>
      <c r="L114" s="12">
        <v>473</v>
      </c>
      <c r="M114" s="230">
        <v>0.525903</v>
      </c>
      <c r="N114" s="230">
        <v>0.294476</v>
      </c>
      <c r="O114" s="230">
        <v>0.166464</v>
      </c>
      <c r="P114" s="231">
        <v>0.71</v>
      </c>
      <c r="Q114" s="230">
        <v>0.896242</v>
      </c>
      <c r="S114" s="12">
        <v>473</v>
      </c>
      <c r="T114" s="230">
        <v>0.439424229606703</v>
      </c>
      <c r="U114" s="230">
        <v>0.413554737237864</v>
      </c>
      <c r="V114" s="230">
        <v>0.221778274391186</v>
      </c>
      <c r="W114" s="231">
        <v>0.733305597358699</v>
      </c>
      <c r="X114" s="230">
        <v>0.895740065130865</v>
      </c>
      <c r="Z114" s="12">
        <v>473</v>
      </c>
      <c r="AA114" s="230">
        <f ca="1" t="shared" si="15"/>
        <v>0.439424229606703</v>
      </c>
      <c r="AB114" s="230">
        <f ca="1" t="shared" si="16"/>
        <v>0.413554737237864</v>
      </c>
      <c r="AC114" s="230">
        <f ca="1" t="shared" si="17"/>
        <v>0.221778274391186</v>
      </c>
      <c r="AD114" s="230">
        <f ca="1" t="shared" si="18"/>
        <v>0.733305597358699</v>
      </c>
      <c r="AE114" s="230">
        <f ca="1" t="shared" si="19"/>
        <v>0.895740065130865</v>
      </c>
      <c r="AG114" s="12">
        <v>473</v>
      </c>
      <c r="AH114" s="231">
        <f ca="1" t="shared" si="20"/>
        <v>0.000929015284580768</v>
      </c>
      <c r="AI114" s="231">
        <f ca="1" t="shared" si="21"/>
        <v>0.000874322911707958</v>
      </c>
      <c r="AJ114" s="231">
        <f ca="1" t="shared" si="22"/>
        <v>0.000468875844378829</v>
      </c>
      <c r="AK114" s="231">
        <f ca="1" t="shared" si="23"/>
        <v>0.00155032895847505</v>
      </c>
      <c r="AL114" s="231">
        <f ca="1" t="shared" si="24"/>
        <v>0.001893742209579</v>
      </c>
      <c r="AN114" s="12">
        <v>473</v>
      </c>
      <c r="AO114" s="231">
        <f ca="1" t="shared" si="25"/>
        <v>0.408766725215538</v>
      </c>
      <c r="AP114" s="231">
        <f ca="1" t="shared" si="26"/>
        <v>0.474785147195638</v>
      </c>
      <c r="AQ114" s="231">
        <f ca="1" t="shared" si="27"/>
        <v>0.266919878293508</v>
      </c>
      <c r="AR114" s="231">
        <f ca="1" t="shared" si="28"/>
        <v>0.790255580850472</v>
      </c>
      <c r="AS114" s="231">
        <f ca="1" t="shared" si="29"/>
        <v>0.925618061717852</v>
      </c>
    </row>
    <row r="115" ht="15" hidden="1" customHeight="1" spans="2:45">
      <c r="B115" s="8"/>
      <c r="C115" s="221"/>
      <c r="D115" s="221"/>
      <c r="E115" s="221"/>
      <c r="F115" s="221"/>
      <c r="G115" s="221"/>
      <c r="I115" s="12">
        <v>474</v>
      </c>
      <c r="J115" s="230">
        <v>0.1078846</v>
      </c>
      <c r="L115" s="12">
        <v>474</v>
      </c>
      <c r="M115" s="230">
        <v>0.498108</v>
      </c>
      <c r="N115" s="230">
        <v>0.302323</v>
      </c>
      <c r="O115" s="230">
        <v>0.17169</v>
      </c>
      <c r="P115" s="231">
        <v>0.722</v>
      </c>
      <c r="Q115" s="230">
        <v>0.907158</v>
      </c>
      <c r="S115" s="12">
        <v>474</v>
      </c>
      <c r="T115" s="230">
        <v>0.414505216054957</v>
      </c>
      <c r="U115" s="230">
        <v>0.424427973537665</v>
      </c>
      <c r="V115" s="230">
        <v>0.228676744047114</v>
      </c>
      <c r="W115" s="231">
        <v>0.745014971103988</v>
      </c>
      <c r="X115" s="230">
        <v>0.906915866606049</v>
      </c>
      <c r="Z115" s="12">
        <v>474</v>
      </c>
      <c r="AA115" s="230">
        <f ca="1" t="shared" si="15"/>
        <v>0.414505216054957</v>
      </c>
      <c r="AB115" s="230">
        <f ca="1" t="shared" si="16"/>
        <v>0.424427973537665</v>
      </c>
      <c r="AC115" s="230">
        <f ca="1" t="shared" si="17"/>
        <v>0.228676744047114</v>
      </c>
      <c r="AD115" s="230">
        <f ca="1" t="shared" si="18"/>
        <v>0.745014971103988</v>
      </c>
      <c r="AE115" s="230">
        <f ca="1" t="shared" si="19"/>
        <v>0.906915866606049</v>
      </c>
      <c r="AG115" s="12">
        <v>474</v>
      </c>
      <c r="AH115" s="231">
        <f ca="1" t="shared" si="20"/>
        <v>0.000874483578175015</v>
      </c>
      <c r="AI115" s="231">
        <f ca="1" t="shared" si="21"/>
        <v>0.000895417665691276</v>
      </c>
      <c r="AJ115" s="231">
        <f ca="1" t="shared" si="22"/>
        <v>0.000482440388285051</v>
      </c>
      <c r="AK115" s="231">
        <f ca="1" t="shared" si="23"/>
        <v>0.00157176154241348</v>
      </c>
      <c r="AL115" s="231">
        <f ca="1" t="shared" si="24"/>
        <v>0.00191332461309293</v>
      </c>
      <c r="AN115" s="12">
        <v>474</v>
      </c>
      <c r="AO115" s="231">
        <f ca="1" t="shared" si="25"/>
        <v>0.384772774397006</v>
      </c>
      <c r="AP115" s="231">
        <f ca="1" t="shared" si="26"/>
        <v>0.486240269486167</v>
      </c>
      <c r="AQ115" s="231">
        <f ca="1" t="shared" si="27"/>
        <v>0.274641850862499</v>
      </c>
      <c r="AR115" s="231">
        <f ca="1" t="shared" si="28"/>
        <v>0.801180500350168</v>
      </c>
      <c r="AS115" s="231">
        <f ca="1" t="shared" si="29"/>
        <v>0.93518949456265</v>
      </c>
    </row>
    <row r="116" ht="15" hidden="1" customHeight="1" spans="2:45">
      <c r="B116" s="8"/>
      <c r="C116" s="221"/>
      <c r="D116" s="221"/>
      <c r="E116" s="221"/>
      <c r="F116" s="221"/>
      <c r="G116" s="221"/>
      <c r="I116" s="12">
        <v>475</v>
      </c>
      <c r="J116" s="230">
        <v>0.1126</v>
      </c>
      <c r="L116" s="12">
        <v>475</v>
      </c>
      <c r="M116" s="230">
        <v>0.470894</v>
      </c>
      <c r="N116" s="230">
        <v>0.310372</v>
      </c>
      <c r="O116" s="230">
        <v>0.177116</v>
      </c>
      <c r="P116" s="231">
        <v>0.734</v>
      </c>
      <c r="Q116" s="230">
        <v>0.917734</v>
      </c>
      <c r="S116" s="12">
        <v>475</v>
      </c>
      <c r="T116" s="230">
        <v>0.390224919772631</v>
      </c>
      <c r="U116" s="230">
        <v>0.43544669635854</v>
      </c>
      <c r="V116" s="230">
        <v>0.235780562794596</v>
      </c>
      <c r="W116" s="231">
        <v>0.756672586164253</v>
      </c>
      <c r="X116" s="230">
        <v>0.917734376892116</v>
      </c>
      <c r="Z116" s="12">
        <v>475</v>
      </c>
      <c r="AA116" s="230">
        <f ca="1" t="shared" si="15"/>
        <v>0.390224919772631</v>
      </c>
      <c r="AB116" s="230">
        <f ca="1" t="shared" si="16"/>
        <v>0.43544669635854</v>
      </c>
      <c r="AC116" s="230">
        <f ca="1" t="shared" si="17"/>
        <v>0.235780562794596</v>
      </c>
      <c r="AD116" s="230">
        <f ca="1" t="shared" si="18"/>
        <v>0.756672586164253</v>
      </c>
      <c r="AE116" s="230">
        <f ca="1" t="shared" si="19"/>
        <v>0.917734376892116</v>
      </c>
      <c r="AG116" s="12">
        <v>475</v>
      </c>
      <c r="AH116" s="231">
        <f ca="1" t="shared" si="20"/>
        <v>0.00082152614688975</v>
      </c>
      <c r="AI116" s="231">
        <f ca="1" t="shared" si="21"/>
        <v>0.000916729887070611</v>
      </c>
      <c r="AJ116" s="231">
        <f ca="1" t="shared" si="22"/>
        <v>0.000496380132199149</v>
      </c>
      <c r="AK116" s="231">
        <f ca="1" t="shared" si="23"/>
        <v>0.00159299491824053</v>
      </c>
      <c r="AL116" s="231">
        <f ca="1" t="shared" si="24"/>
        <v>0.00193207237240445</v>
      </c>
      <c r="AN116" s="12">
        <v>475</v>
      </c>
      <c r="AO116" s="231">
        <f ca="1" t="shared" si="25"/>
        <v>0.36147150463149</v>
      </c>
      <c r="AP116" s="231">
        <f ca="1" t="shared" si="26"/>
        <v>0.497813483488859</v>
      </c>
      <c r="AQ116" s="231">
        <f ca="1" t="shared" si="27"/>
        <v>0.282577415881685</v>
      </c>
      <c r="AR116" s="231">
        <f ca="1" t="shared" si="28"/>
        <v>0.812003876676784</v>
      </c>
      <c r="AS116" s="231">
        <f ca="1" t="shared" si="29"/>
        <v>0.944352972330484</v>
      </c>
    </row>
    <row r="117" ht="15" hidden="1" customHeight="1" spans="2:45">
      <c r="B117" s="8"/>
      <c r="C117" s="221"/>
      <c r="D117" s="221"/>
      <c r="E117" s="221"/>
      <c r="F117" s="221"/>
      <c r="G117" s="221"/>
      <c r="I117" s="12">
        <v>476</v>
      </c>
      <c r="J117" s="230">
        <v>0.117532</v>
      </c>
      <c r="L117" s="12">
        <v>476</v>
      </c>
      <c r="M117" s="230">
        <v>0.44445</v>
      </c>
      <c r="N117" s="230">
        <v>0.318692</v>
      </c>
      <c r="O117" s="230">
        <v>0.182777</v>
      </c>
      <c r="P117" s="231">
        <v>0.745</v>
      </c>
      <c r="Q117" s="230">
        <v>0.928345</v>
      </c>
      <c r="S117" s="12">
        <v>476</v>
      </c>
      <c r="T117" s="230">
        <v>0.366646041086794</v>
      </c>
      <c r="U117" s="230">
        <v>0.446603374250327</v>
      </c>
      <c r="V117" s="230">
        <v>0.243090507329718</v>
      </c>
      <c r="W117" s="231">
        <v>0.768271990395513</v>
      </c>
      <c r="X117" s="230">
        <v>0.928168873297389</v>
      </c>
      <c r="Z117" s="12">
        <v>476</v>
      </c>
      <c r="AA117" s="230">
        <f ca="1" t="shared" si="15"/>
        <v>0.366646041086794</v>
      </c>
      <c r="AB117" s="230">
        <f ca="1" t="shared" si="16"/>
        <v>0.446603374250327</v>
      </c>
      <c r="AC117" s="230">
        <f ca="1" t="shared" si="17"/>
        <v>0.243090507329718</v>
      </c>
      <c r="AD117" s="230">
        <f ca="1" t="shared" si="18"/>
        <v>0.768271990395513</v>
      </c>
      <c r="AE117" s="230">
        <f ca="1" t="shared" si="19"/>
        <v>0.928168873297389</v>
      </c>
      <c r="AG117" s="12">
        <v>476</v>
      </c>
      <c r="AH117" s="231">
        <f ca="1" t="shared" si="20"/>
        <v>0.000770264792199147</v>
      </c>
      <c r="AI117" s="231">
        <f ca="1" t="shared" si="21"/>
        <v>0.000938242382878838</v>
      </c>
      <c r="AJ117" s="231">
        <f ca="1" t="shared" si="22"/>
        <v>0.00051069434312966</v>
      </c>
      <c r="AK117" s="231">
        <f ca="1" t="shared" si="23"/>
        <v>0.0016140167865452</v>
      </c>
      <c r="AL117" s="231">
        <f ca="1" t="shared" si="24"/>
        <v>0.00194993460776762</v>
      </c>
      <c r="AN117" s="12">
        <v>476</v>
      </c>
      <c r="AO117" s="231">
        <f ca="1" t="shared" si="25"/>
        <v>0.338916508567625</v>
      </c>
      <c r="AP117" s="231">
        <f ca="1" t="shared" si="26"/>
        <v>0.509495452875779</v>
      </c>
      <c r="AQ117" s="231">
        <f ca="1" t="shared" si="27"/>
        <v>0.29072615607644</v>
      </c>
      <c r="AR117" s="231">
        <f ca="1" t="shared" si="28"/>
        <v>0.822719440400759</v>
      </c>
      <c r="AS117" s="231">
        <f ca="1" t="shared" si="29"/>
        <v>0.953083626160332</v>
      </c>
    </row>
    <row r="118" ht="15" hidden="1" customHeight="1" spans="2:45">
      <c r="B118" s="8"/>
      <c r="C118" s="221"/>
      <c r="D118" s="221"/>
      <c r="E118" s="221"/>
      <c r="F118" s="221"/>
      <c r="G118" s="221"/>
      <c r="I118" s="12">
        <v>477</v>
      </c>
      <c r="J118" s="230">
        <v>0.1226744</v>
      </c>
      <c r="L118" s="12">
        <v>477</v>
      </c>
      <c r="M118" s="230">
        <v>0.418992</v>
      </c>
      <c r="N118" s="230">
        <v>0.327307</v>
      </c>
      <c r="O118" s="230">
        <v>0.188685</v>
      </c>
      <c r="P118" s="231">
        <v>0.757</v>
      </c>
      <c r="Q118" s="230">
        <v>0.93895</v>
      </c>
      <c r="S118" s="12">
        <v>477</v>
      </c>
      <c r="T118" s="230">
        <v>0.343823850740512</v>
      </c>
      <c r="U118" s="230">
        <v>0.457892995425473</v>
      </c>
      <c r="V118" s="230">
        <v>0.250605731880197</v>
      </c>
      <c r="W118" s="231">
        <v>0.779804972175817</v>
      </c>
      <c r="X118" s="230">
        <v>0.938196913797383</v>
      </c>
      <c r="Z118" s="12">
        <v>477</v>
      </c>
      <c r="AA118" s="230">
        <f ca="1" t="shared" si="15"/>
        <v>0.343823850740512</v>
      </c>
      <c r="AB118" s="230">
        <f ca="1" t="shared" si="16"/>
        <v>0.457892995425473</v>
      </c>
      <c r="AC118" s="230">
        <f ca="1" t="shared" si="17"/>
        <v>0.250605731880197</v>
      </c>
      <c r="AD118" s="230">
        <f ca="1" t="shared" si="18"/>
        <v>0.779804972175817</v>
      </c>
      <c r="AE118" s="230">
        <f ca="1" t="shared" si="19"/>
        <v>0.938196913797383</v>
      </c>
      <c r="AG118" s="12">
        <v>477</v>
      </c>
      <c r="AH118" s="231">
        <f ca="1" t="shared" si="20"/>
        <v>0.000720804718533568</v>
      </c>
      <c r="AI118" s="231">
        <f ca="1" t="shared" si="21"/>
        <v>0.000959943386636212</v>
      </c>
      <c r="AJ118" s="231">
        <f ca="1" t="shared" si="22"/>
        <v>0.000525378892830602</v>
      </c>
      <c r="AK118" s="231">
        <f ca="1" t="shared" si="23"/>
        <v>0.0016348112624231</v>
      </c>
      <c r="AL118" s="231">
        <f ca="1" t="shared" si="24"/>
        <v>0.00196686984024609</v>
      </c>
      <c r="AN118" s="12">
        <v>477</v>
      </c>
      <c r="AO118" s="231">
        <f ca="1" t="shared" si="25"/>
        <v>0.31715407615477</v>
      </c>
      <c r="AP118" s="231">
        <f ca="1" t="shared" si="26"/>
        <v>0.521279788074213</v>
      </c>
      <c r="AQ118" s="231">
        <f ca="1" t="shared" si="27"/>
        <v>0.29908572133441</v>
      </c>
      <c r="AR118" s="231">
        <f ca="1" t="shared" si="28"/>
        <v>0.833319094444205</v>
      </c>
      <c r="AS118" s="231">
        <f ca="1" t="shared" si="29"/>
        <v>0.961361182092794</v>
      </c>
    </row>
    <row r="119" ht="15" hidden="1" customHeight="1" spans="2:45">
      <c r="B119" s="8"/>
      <c r="C119" s="221"/>
      <c r="D119" s="221"/>
      <c r="E119" s="221"/>
      <c r="F119" s="221"/>
      <c r="G119" s="221"/>
      <c r="I119" s="12">
        <v>478</v>
      </c>
      <c r="J119" s="230">
        <v>0.1279928</v>
      </c>
      <c r="L119" s="12">
        <v>478</v>
      </c>
      <c r="M119" s="230">
        <v>0.394699</v>
      </c>
      <c r="N119" s="230">
        <v>0.336232</v>
      </c>
      <c r="O119" s="230">
        <v>0.194845</v>
      </c>
      <c r="P119" s="231">
        <v>0.769</v>
      </c>
      <c r="Q119" s="230">
        <v>0.949035</v>
      </c>
      <c r="S119" s="12">
        <v>478</v>
      </c>
      <c r="T119" s="230">
        <v>0.321805898365846</v>
      </c>
      <c r="U119" s="230">
        <v>0.469311287886988</v>
      </c>
      <c r="V119" s="230">
        <v>0.258326523884836</v>
      </c>
      <c r="W119" s="231">
        <v>0.791266902090284</v>
      </c>
      <c r="X119" s="230">
        <v>0.947794098042365</v>
      </c>
      <c r="Z119" s="12">
        <v>478</v>
      </c>
      <c r="AA119" s="230">
        <f ca="1" t="shared" si="15"/>
        <v>0.321805898365846</v>
      </c>
      <c r="AB119" s="230">
        <f ca="1" t="shared" si="16"/>
        <v>0.469311287886988</v>
      </c>
      <c r="AC119" s="230">
        <f ca="1" t="shared" si="17"/>
        <v>0.258326523884836</v>
      </c>
      <c r="AD119" s="230">
        <f ca="1" t="shared" si="18"/>
        <v>0.791266902090284</v>
      </c>
      <c r="AE119" s="230">
        <f ca="1" t="shared" si="19"/>
        <v>0.947794098042365</v>
      </c>
      <c r="AG119" s="12">
        <v>478</v>
      </c>
      <c r="AH119" s="231">
        <f ca="1" t="shared" si="20"/>
        <v>0.000673234096999678</v>
      </c>
      <c r="AI119" s="231">
        <f ca="1" t="shared" si="21"/>
        <v>0.000981822778006251</v>
      </c>
      <c r="AJ119" s="231">
        <f ca="1" t="shared" si="22"/>
        <v>0.000540432058336477</v>
      </c>
      <c r="AK119" s="231">
        <f ca="1" t="shared" si="23"/>
        <v>0.00165537008805499</v>
      </c>
      <c r="AL119" s="231">
        <f ca="1" t="shared" si="24"/>
        <v>0.00198283284109281</v>
      </c>
      <c r="AN119" s="12">
        <v>478</v>
      </c>
      <c r="AO119" s="231">
        <f ca="1" t="shared" si="25"/>
        <v>0.296223002679858</v>
      </c>
      <c r="AP119" s="231">
        <f ca="1" t="shared" si="26"/>
        <v>0.533160993419596</v>
      </c>
      <c r="AQ119" s="231">
        <f ca="1" t="shared" si="27"/>
        <v>0.307655130812271</v>
      </c>
      <c r="AR119" s="231">
        <f ca="1" t="shared" si="28"/>
        <v>0.843798629514823</v>
      </c>
      <c r="AS119" s="231">
        <f ca="1" t="shared" si="29"/>
        <v>0.969163533346418</v>
      </c>
    </row>
    <row r="120" ht="15" hidden="1" customHeight="1" spans="2:45">
      <c r="B120" s="8"/>
      <c r="C120" s="221"/>
      <c r="D120" s="221"/>
      <c r="E120" s="221"/>
      <c r="F120" s="221"/>
      <c r="G120" s="221"/>
      <c r="I120" s="12">
        <v>479</v>
      </c>
      <c r="J120" s="230">
        <v>0.1334528</v>
      </c>
      <c r="L120" s="12">
        <v>479</v>
      </c>
      <c r="M120" s="230">
        <v>0.371707</v>
      </c>
      <c r="N120" s="230">
        <v>0.34548</v>
      </c>
      <c r="O120" s="230">
        <v>0.201261</v>
      </c>
      <c r="P120" s="231">
        <v>0.781</v>
      </c>
      <c r="Q120" s="230">
        <v>0.958091</v>
      </c>
      <c r="S120" s="12">
        <v>479</v>
      </c>
      <c r="T120" s="230">
        <v>0.30063324181579</v>
      </c>
      <c r="U120" s="230">
        <v>0.480852634715475</v>
      </c>
      <c r="V120" s="230">
        <v>0.266251461272959</v>
      </c>
      <c r="W120" s="231">
        <v>0.802649611829083</v>
      </c>
      <c r="X120" s="230">
        <v>0.956938439023276</v>
      </c>
      <c r="Z120" s="12">
        <v>479</v>
      </c>
      <c r="AA120" s="230">
        <f ca="1" t="shared" si="15"/>
        <v>0.30063324181579</v>
      </c>
      <c r="AB120" s="230">
        <f ca="1" t="shared" si="16"/>
        <v>0.480852634715475</v>
      </c>
      <c r="AC120" s="230">
        <f ca="1" t="shared" si="17"/>
        <v>0.266251461272959</v>
      </c>
      <c r="AD120" s="230">
        <f ca="1" t="shared" si="18"/>
        <v>0.802649611829083</v>
      </c>
      <c r="AE120" s="230">
        <f ca="1" t="shared" si="19"/>
        <v>0.956938439023276</v>
      </c>
      <c r="AG120" s="12">
        <v>479</v>
      </c>
      <c r="AH120" s="231">
        <f ca="1" t="shared" si="20"/>
        <v>0.000627626809636305</v>
      </c>
      <c r="AI120" s="231">
        <f ca="1" t="shared" si="21"/>
        <v>0.00100386771339348</v>
      </c>
      <c r="AJ120" s="231">
        <f ca="1" t="shared" si="22"/>
        <v>0.000555848562156491</v>
      </c>
      <c r="AK120" s="231">
        <f ca="1" t="shared" si="23"/>
        <v>0.00167567768649078</v>
      </c>
      <c r="AL120" s="231">
        <f ca="1" t="shared" si="24"/>
        <v>0.00199778379754337</v>
      </c>
      <c r="AN120" s="12">
        <v>479</v>
      </c>
      <c r="AO120" s="231">
        <f ca="1" t="shared" si="25"/>
        <v>0.276155796239974</v>
      </c>
      <c r="AP120" s="231">
        <f ca="1" t="shared" si="26"/>
        <v>0.545132094431116</v>
      </c>
      <c r="AQ120" s="231">
        <f ca="1" t="shared" si="27"/>
        <v>0.316431380159902</v>
      </c>
      <c r="AR120" s="231">
        <f ca="1" t="shared" si="28"/>
        <v>0.85415010550953</v>
      </c>
      <c r="AS120" s="231">
        <f ca="1" t="shared" si="29"/>
        <v>0.97647122034869</v>
      </c>
    </row>
    <row r="121" ht="15" hidden="1" customHeight="1" spans="2:45">
      <c r="B121" s="8"/>
      <c r="C121" s="221"/>
      <c r="D121" s="221"/>
      <c r="E121" s="221"/>
      <c r="F121" s="221"/>
      <c r="G121" s="221"/>
      <c r="I121" s="12">
        <v>480</v>
      </c>
      <c r="J121" s="230">
        <v>0.13902</v>
      </c>
      <c r="L121" s="12">
        <v>480</v>
      </c>
      <c r="M121" s="230">
        <v>0.350108</v>
      </c>
      <c r="N121" s="230">
        <v>0.355066</v>
      </c>
      <c r="O121" s="230">
        <v>0.20794</v>
      </c>
      <c r="P121" s="231">
        <v>0.793</v>
      </c>
      <c r="Q121" s="230">
        <v>0.965605</v>
      </c>
      <c r="S121" s="12">
        <v>480</v>
      </c>
      <c r="T121" s="230">
        <v>0.280338018943724</v>
      </c>
      <c r="U121" s="230">
        <v>0.492511074049308</v>
      </c>
      <c r="V121" s="230">
        <v>0.274380346366361</v>
      </c>
      <c r="W121" s="231">
        <v>0.813944888156495</v>
      </c>
      <c r="X121" s="230">
        <v>0.965603875153901</v>
      </c>
      <c r="Z121" s="12">
        <v>480</v>
      </c>
      <c r="AA121" s="230">
        <f ca="1" t="shared" si="15"/>
        <v>0.280338018943724</v>
      </c>
      <c r="AB121" s="230">
        <f ca="1" t="shared" si="16"/>
        <v>0.492511074049308</v>
      </c>
      <c r="AC121" s="230">
        <f ca="1" t="shared" si="17"/>
        <v>0.274380346366361</v>
      </c>
      <c r="AD121" s="230">
        <f ca="1" t="shared" si="18"/>
        <v>0.813944888156495</v>
      </c>
      <c r="AE121" s="230">
        <f ca="1" t="shared" si="19"/>
        <v>0.965603875153901</v>
      </c>
      <c r="AG121" s="12">
        <v>480</v>
      </c>
      <c r="AH121" s="231">
        <f ca="1" t="shared" si="20"/>
        <v>0.000584037539466092</v>
      </c>
      <c r="AI121" s="231">
        <f ca="1" t="shared" si="21"/>
        <v>0.00102606473760272</v>
      </c>
      <c r="AJ121" s="231">
        <f ca="1" t="shared" si="22"/>
        <v>0.000571625721596585</v>
      </c>
      <c r="AK121" s="231">
        <f ca="1" t="shared" si="23"/>
        <v>0.0016957185169927</v>
      </c>
      <c r="AL121" s="231">
        <f ca="1" t="shared" si="24"/>
        <v>0.00201167473990396</v>
      </c>
      <c r="AN121" s="12">
        <v>480</v>
      </c>
      <c r="AO121" s="231">
        <f ca="1" t="shared" si="25"/>
        <v>0.25697651736508</v>
      </c>
      <c r="AP121" s="231">
        <f ca="1" t="shared" si="26"/>
        <v>0.557185784509883</v>
      </c>
      <c r="AQ121" s="231">
        <f ca="1" t="shared" si="27"/>
        <v>0.325412942183312</v>
      </c>
      <c r="AR121" s="231">
        <f ca="1" t="shared" si="28"/>
        <v>0.8643656007839</v>
      </c>
      <c r="AS121" s="231">
        <f ca="1" t="shared" si="29"/>
        <v>0.983260796605798</v>
      </c>
    </row>
    <row r="122" ht="15" hidden="1" customHeight="1" spans="2:45">
      <c r="B122" s="8"/>
      <c r="C122" s="221"/>
      <c r="D122" s="221"/>
      <c r="E122" s="221"/>
      <c r="F122" s="221"/>
      <c r="G122" s="221"/>
      <c r="I122" s="12">
        <v>481</v>
      </c>
      <c r="J122" s="230">
        <v>0.1446764</v>
      </c>
      <c r="L122" s="12">
        <v>481</v>
      </c>
      <c r="M122" s="230">
        <v>0.329904</v>
      </c>
      <c r="N122" s="230">
        <v>0.364985</v>
      </c>
      <c r="O122" s="230">
        <v>0.214875</v>
      </c>
      <c r="P122" s="231">
        <v>0.805</v>
      </c>
      <c r="Q122" s="230">
        <v>0.971976</v>
      </c>
      <c r="S122" s="12">
        <v>481</v>
      </c>
      <c r="T122" s="230">
        <v>0.260404209240256</v>
      </c>
      <c r="U122" s="230">
        <v>0.503237504424369</v>
      </c>
      <c r="V122" s="230">
        <v>0.282126577218297</v>
      </c>
      <c r="W122" s="231">
        <v>0.823438180243268</v>
      </c>
      <c r="X122" s="230">
        <v>0.971753245993047</v>
      </c>
      <c r="Z122" s="12">
        <v>481</v>
      </c>
      <c r="AA122" s="230">
        <f ca="1" t="shared" si="15"/>
        <v>0.260404209240256</v>
      </c>
      <c r="AB122" s="230">
        <f ca="1" t="shared" si="16"/>
        <v>0.503237504424369</v>
      </c>
      <c r="AC122" s="230">
        <f ca="1" t="shared" si="17"/>
        <v>0.282126577218297</v>
      </c>
      <c r="AD122" s="230">
        <f ca="1" t="shared" si="18"/>
        <v>0.823438180243268</v>
      </c>
      <c r="AE122" s="230">
        <f ca="1" t="shared" si="19"/>
        <v>0.971753245993047</v>
      </c>
      <c r="AG122" s="12">
        <v>481</v>
      </c>
      <c r="AH122" s="231">
        <f ca="1" t="shared" si="20"/>
        <v>0.000541380892391385</v>
      </c>
      <c r="AI122" s="231">
        <f ca="1" t="shared" si="21"/>
        <v>0.00104623181793008</v>
      </c>
      <c r="AJ122" s="231">
        <f ca="1" t="shared" si="22"/>
        <v>0.00058654174057858</v>
      </c>
      <c r="AK122" s="231">
        <f ca="1" t="shared" si="23"/>
        <v>0.00171192968865544</v>
      </c>
      <c r="AL122" s="231">
        <f ca="1" t="shared" si="24"/>
        <v>0.00202027701869656</v>
      </c>
      <c r="AN122" s="12">
        <v>481</v>
      </c>
      <c r="AO122" s="231">
        <f ca="1" t="shared" si="25"/>
        <v>0.238207592652209</v>
      </c>
      <c r="AP122" s="231">
        <f ca="1" t="shared" si="26"/>
        <v>0.568137150502369</v>
      </c>
      <c r="AQ122" s="231">
        <f ca="1" t="shared" si="27"/>
        <v>0.333904277403561</v>
      </c>
      <c r="AR122" s="231">
        <f ca="1" t="shared" si="28"/>
        <v>0.872628988246655</v>
      </c>
      <c r="AS122" s="231">
        <f ca="1" t="shared" si="29"/>
        <v>0.987465394561154</v>
      </c>
    </row>
    <row r="123" ht="15" hidden="1" customHeight="1" spans="2:45">
      <c r="B123" s="8"/>
      <c r="C123" s="221"/>
      <c r="D123" s="221"/>
      <c r="E123" s="221"/>
      <c r="F123" s="221"/>
      <c r="G123" s="221"/>
      <c r="I123" s="12">
        <v>482</v>
      </c>
      <c r="J123" s="230">
        <v>0.1504693</v>
      </c>
      <c r="L123" s="12">
        <v>482</v>
      </c>
      <c r="M123" s="230">
        <v>0.310864</v>
      </c>
      <c r="N123" s="230">
        <v>0.375142</v>
      </c>
      <c r="O123" s="230">
        <v>0.222022</v>
      </c>
      <c r="P123" s="231">
        <v>0.817</v>
      </c>
      <c r="Q123" s="230">
        <v>0.977833</v>
      </c>
      <c r="S123" s="12">
        <v>482</v>
      </c>
      <c r="T123" s="230">
        <v>0.241467118736264</v>
      </c>
      <c r="U123" s="230">
        <v>0.514023530279004</v>
      </c>
      <c r="V123" s="230">
        <v>0.290040069151502</v>
      </c>
      <c r="W123" s="231">
        <v>0.832789038147774</v>
      </c>
      <c r="X123" s="230">
        <v>0.977347485597097</v>
      </c>
      <c r="Z123" s="12">
        <v>482</v>
      </c>
      <c r="AA123" s="230">
        <f ca="1" t="shared" si="15"/>
        <v>0.241467118736264</v>
      </c>
      <c r="AB123" s="230">
        <f ca="1" t="shared" si="16"/>
        <v>0.514023530279004</v>
      </c>
      <c r="AC123" s="230">
        <f ca="1" t="shared" si="17"/>
        <v>0.290040069151502</v>
      </c>
      <c r="AD123" s="230">
        <f ca="1" t="shared" si="18"/>
        <v>0.832789038147774</v>
      </c>
      <c r="AE123" s="230">
        <f ca="1" t="shared" si="19"/>
        <v>0.977347485597097</v>
      </c>
      <c r="AG123" s="12">
        <v>482</v>
      </c>
      <c r="AH123" s="231">
        <f ca="1" t="shared" si="20"/>
        <v>0.000500969126008846</v>
      </c>
      <c r="AI123" s="231">
        <f ca="1" t="shared" si="21"/>
        <v>0.00106643885950001</v>
      </c>
      <c r="AJ123" s="231">
        <f ca="1" t="shared" si="22"/>
        <v>0.000601742882057058</v>
      </c>
      <c r="AK123" s="231">
        <f ca="1" t="shared" si="23"/>
        <v>0.00172777808744351</v>
      </c>
      <c r="AL123" s="231">
        <f ca="1" t="shared" si="24"/>
        <v>0.00202769187883215</v>
      </c>
      <c r="AN123" s="12">
        <v>482</v>
      </c>
      <c r="AO123" s="231">
        <f ca="1" t="shared" si="25"/>
        <v>0.220426415443892</v>
      </c>
      <c r="AP123" s="231">
        <f ca="1" t="shared" si="26"/>
        <v>0.579110216720461</v>
      </c>
      <c r="AQ123" s="231">
        <f ca="1" t="shared" si="27"/>
        <v>0.342557926086898</v>
      </c>
      <c r="AR123" s="231">
        <f ca="1" t="shared" si="28"/>
        <v>0.880707457994222</v>
      </c>
      <c r="AS123" s="231">
        <f ca="1" t="shared" si="29"/>
        <v>0.991089609320636</v>
      </c>
    </row>
    <row r="124" ht="15" hidden="1" customHeight="1" spans="2:45">
      <c r="B124" s="8"/>
      <c r="C124" s="221"/>
      <c r="D124" s="221"/>
      <c r="E124" s="221"/>
      <c r="F124" s="221"/>
      <c r="G124" s="221"/>
      <c r="I124" s="12">
        <v>483</v>
      </c>
      <c r="J124" s="230">
        <v>0.1564619</v>
      </c>
      <c r="L124" s="12">
        <v>483</v>
      </c>
      <c r="M124" s="230">
        <v>0.292741</v>
      </c>
      <c r="N124" s="230">
        <v>0.38541</v>
      </c>
      <c r="O124" s="230">
        <v>0.229316</v>
      </c>
      <c r="P124" s="231">
        <v>0.828</v>
      </c>
      <c r="Q124" s="230">
        <v>0.983006</v>
      </c>
      <c r="S124" s="12">
        <v>483</v>
      </c>
      <c r="T124" s="230">
        <v>0.22352957891803</v>
      </c>
      <c r="U124" s="230">
        <v>0.52486305023013</v>
      </c>
      <c r="V124" s="230">
        <v>0.298117863402442</v>
      </c>
      <c r="W124" s="231">
        <v>0.841986251278328</v>
      </c>
      <c r="X124" s="230">
        <v>0.982369793379555</v>
      </c>
      <c r="Z124" s="12">
        <v>483</v>
      </c>
      <c r="AA124" s="230">
        <f ca="1" t="shared" si="15"/>
        <v>0.22352957891803</v>
      </c>
      <c r="AB124" s="230">
        <f ca="1" t="shared" si="16"/>
        <v>0.52486305023013</v>
      </c>
      <c r="AC124" s="230">
        <f ca="1" t="shared" si="17"/>
        <v>0.298117863402442</v>
      </c>
      <c r="AD124" s="230">
        <f ca="1" t="shared" si="18"/>
        <v>0.841986251278328</v>
      </c>
      <c r="AE124" s="230">
        <f ca="1" t="shared" si="19"/>
        <v>0.982369793379555</v>
      </c>
      <c r="AG124" s="12">
        <v>483</v>
      </c>
      <c r="AH124" s="231">
        <f ca="1" t="shared" si="20"/>
        <v>0.00046279415925058</v>
      </c>
      <c r="AI124" s="231">
        <f ca="1" t="shared" si="21"/>
        <v>0.00108667298184292</v>
      </c>
      <c r="AJ124" s="231">
        <f ca="1" t="shared" si="22"/>
        <v>0.000617221249280418</v>
      </c>
      <c r="AK124" s="231">
        <f ca="1" t="shared" si="23"/>
        <v>0.00174324275626983</v>
      </c>
      <c r="AL124" s="231">
        <f ca="1" t="shared" si="24"/>
        <v>0.00203389191175891</v>
      </c>
      <c r="AN124" s="12">
        <v>483</v>
      </c>
      <c r="AO124" s="231">
        <f ca="1" t="shared" si="25"/>
        <v>0.203629430070255</v>
      </c>
      <c r="AP124" s="231">
        <f ca="1" t="shared" si="26"/>
        <v>0.590097988659534</v>
      </c>
      <c r="AQ124" s="231">
        <f ca="1" t="shared" si="27"/>
        <v>0.351369392800256</v>
      </c>
      <c r="AR124" s="231">
        <f ca="1" t="shared" si="28"/>
        <v>0.888590327484076</v>
      </c>
      <c r="AS124" s="231">
        <f ca="1" t="shared" si="29"/>
        <v>0.994120044208356</v>
      </c>
    </row>
    <row r="125" ht="15" hidden="1" customHeight="1" spans="2:45">
      <c r="B125" s="8"/>
      <c r="C125" s="221"/>
      <c r="D125" s="221"/>
      <c r="E125" s="221"/>
      <c r="F125" s="221"/>
      <c r="G125" s="221"/>
      <c r="I125" s="12">
        <v>484</v>
      </c>
      <c r="J125" s="230">
        <v>0.1627177</v>
      </c>
      <c r="L125" s="12">
        <v>484</v>
      </c>
      <c r="M125" s="230">
        <v>0.275338</v>
      </c>
      <c r="N125" s="230">
        <v>0.395646</v>
      </c>
      <c r="O125" s="230">
        <v>0.236684</v>
      </c>
      <c r="P125" s="231">
        <v>0.84</v>
      </c>
      <c r="Q125" s="230">
        <v>0.987325</v>
      </c>
      <c r="S125" s="12">
        <v>484</v>
      </c>
      <c r="T125" s="230">
        <v>0.206587956610327</v>
      </c>
      <c r="U125" s="230">
        <v>0.535751011914103</v>
      </c>
      <c r="V125" s="230">
        <v>0.306357135407388</v>
      </c>
      <c r="W125" s="231">
        <v>0.851024376362298</v>
      </c>
      <c r="X125" s="230">
        <v>0.986799680035349</v>
      </c>
      <c r="Z125" s="12">
        <v>484</v>
      </c>
      <c r="AA125" s="230">
        <f ca="1" t="shared" si="15"/>
        <v>0.206587956610327</v>
      </c>
      <c r="AB125" s="230">
        <f ca="1" t="shared" si="16"/>
        <v>0.535751011914103</v>
      </c>
      <c r="AC125" s="230">
        <f ca="1" t="shared" si="17"/>
        <v>0.306357135407388</v>
      </c>
      <c r="AD125" s="230">
        <f ca="1" t="shared" si="18"/>
        <v>0.851024376362298</v>
      </c>
      <c r="AE125" s="230">
        <f ca="1" t="shared" si="19"/>
        <v>0.986799680035349</v>
      </c>
      <c r="AG125" s="12">
        <v>484</v>
      </c>
      <c r="AH125" s="231">
        <f ca="1" t="shared" si="20"/>
        <v>0.000426834621095717</v>
      </c>
      <c r="AI125" s="231">
        <f ca="1" t="shared" si="21"/>
        <v>0.00110692357833492</v>
      </c>
      <c r="AJ125" s="231">
        <f ca="1" t="shared" si="22"/>
        <v>0.000632969288031793</v>
      </c>
      <c r="AK125" s="231">
        <f ca="1" t="shared" si="23"/>
        <v>0.00175831482719483</v>
      </c>
      <c r="AL125" s="231">
        <f ca="1" t="shared" si="24"/>
        <v>0.00203884231412262</v>
      </c>
      <c r="AN125" s="12">
        <v>484</v>
      </c>
      <c r="AO125" s="231">
        <f ca="1" t="shared" si="25"/>
        <v>0.187807233282115</v>
      </c>
      <c r="AP125" s="231">
        <f ca="1" t="shared" si="26"/>
        <v>0.601094706585494</v>
      </c>
      <c r="AQ125" s="231">
        <f ca="1" t="shared" si="27"/>
        <v>0.36033437710745</v>
      </c>
      <c r="AR125" s="231">
        <f ca="1" t="shared" si="28"/>
        <v>0.896273076424773</v>
      </c>
      <c r="AS125" s="231">
        <f ca="1" t="shared" si="29"/>
        <v>0.99653968813742</v>
      </c>
    </row>
    <row r="126" ht="15" hidden="1" customHeight="1" spans="2:45">
      <c r="B126" s="8"/>
      <c r="C126" s="221"/>
      <c r="D126" s="221"/>
      <c r="E126" s="221"/>
      <c r="F126" s="221"/>
      <c r="G126" s="221"/>
      <c r="I126" s="12">
        <v>485</v>
      </c>
      <c r="J126" s="230">
        <v>0.1693</v>
      </c>
      <c r="L126" s="12">
        <v>485</v>
      </c>
      <c r="M126" s="230">
        <v>0.258497</v>
      </c>
      <c r="N126" s="230">
        <v>0.405688</v>
      </c>
      <c r="O126" s="230">
        <v>0.244046</v>
      </c>
      <c r="P126" s="231">
        <v>0.851</v>
      </c>
      <c r="Q126" s="230">
        <v>0.990621</v>
      </c>
      <c r="S126" s="12">
        <v>485</v>
      </c>
      <c r="T126" s="230">
        <v>0.190631646972856</v>
      </c>
      <c r="U126" s="230">
        <v>0.546679766185707</v>
      </c>
      <c r="V126" s="230">
        <v>0.314754537780963</v>
      </c>
      <c r="W126" s="231">
        <v>0.859896141103494</v>
      </c>
      <c r="X126" s="230">
        <v>0.990622071435452</v>
      </c>
      <c r="Z126" s="12">
        <v>485</v>
      </c>
      <c r="AA126" s="230">
        <f ca="1" t="shared" si="15"/>
        <v>0.190631646972856</v>
      </c>
      <c r="AB126" s="230">
        <f ca="1" t="shared" si="16"/>
        <v>0.546679766185707</v>
      </c>
      <c r="AC126" s="230">
        <f ca="1" t="shared" si="17"/>
        <v>0.314754537780963</v>
      </c>
      <c r="AD126" s="230">
        <f ca="1" t="shared" si="18"/>
        <v>0.859896141103494</v>
      </c>
      <c r="AE126" s="230">
        <f ca="1" t="shared" si="19"/>
        <v>0.990622071435452</v>
      </c>
      <c r="AG126" s="12">
        <v>485</v>
      </c>
      <c r="AH126" s="231">
        <f ca="1" t="shared" si="20"/>
        <v>0.000393054942212074</v>
      </c>
      <c r="AI126" s="231">
        <f ca="1" t="shared" si="21"/>
        <v>0.00112717477564063</v>
      </c>
      <c r="AJ126" s="231">
        <f ca="1" t="shared" si="22"/>
        <v>0.000648978428414357</v>
      </c>
      <c r="AK126" s="231">
        <f ca="1" t="shared" si="23"/>
        <v>0.00177298173423401</v>
      </c>
      <c r="AL126" s="231">
        <f ca="1" t="shared" si="24"/>
        <v>0.00204251973491846</v>
      </c>
      <c r="AN126" s="12">
        <v>485</v>
      </c>
      <c r="AO126" s="231">
        <f ca="1" t="shared" si="25"/>
        <v>0.172944174573313</v>
      </c>
      <c r="AP126" s="231">
        <f ca="1" t="shared" si="26"/>
        <v>0.612091750772402</v>
      </c>
      <c r="AQ126" s="231">
        <f ca="1" t="shared" si="27"/>
        <v>0.369448000369827</v>
      </c>
      <c r="AR126" s="231">
        <f ca="1" t="shared" si="28"/>
        <v>0.903749299505148</v>
      </c>
      <c r="AS126" s="231">
        <f ca="1" t="shared" si="29"/>
        <v>0.998337127668495</v>
      </c>
    </row>
    <row r="127" ht="15" hidden="1" customHeight="1" spans="2:45">
      <c r="B127" s="8"/>
      <c r="C127" s="221"/>
      <c r="D127" s="221"/>
      <c r="E127" s="221"/>
      <c r="F127" s="221"/>
      <c r="G127" s="221"/>
      <c r="I127" s="12">
        <v>486</v>
      </c>
      <c r="J127" s="230">
        <v>0.1762431</v>
      </c>
      <c r="L127" s="12">
        <v>486</v>
      </c>
      <c r="M127" s="230">
        <v>0.242158</v>
      </c>
      <c r="N127" s="230">
        <v>0.415435</v>
      </c>
      <c r="O127" s="230">
        <v>0.251347</v>
      </c>
      <c r="P127" s="231">
        <v>0.862</v>
      </c>
      <c r="Q127" s="230">
        <v>0.993343</v>
      </c>
      <c r="S127" s="12">
        <v>486</v>
      </c>
      <c r="T127" s="230">
        <v>0.175644275469338</v>
      </c>
      <c r="U127" s="230">
        <v>0.557643956667777</v>
      </c>
      <c r="V127" s="230">
        <v>0.323307664243217</v>
      </c>
      <c r="W127" s="231">
        <v>0.868594349894167</v>
      </c>
      <c r="X127" s="230">
        <v>0.993813747318854</v>
      </c>
      <c r="Z127" s="12">
        <v>486</v>
      </c>
      <c r="AA127" s="230">
        <f ca="1" t="shared" si="15"/>
        <v>0.175644275469338</v>
      </c>
      <c r="AB127" s="230">
        <f ca="1" t="shared" si="16"/>
        <v>0.557643956667777</v>
      </c>
      <c r="AC127" s="230">
        <f ca="1" t="shared" si="17"/>
        <v>0.323307664243217</v>
      </c>
      <c r="AD127" s="230">
        <f ca="1" t="shared" si="18"/>
        <v>0.868594349894167</v>
      </c>
      <c r="AE127" s="230">
        <f ca="1" t="shared" si="19"/>
        <v>0.993813747318854</v>
      </c>
      <c r="AG127" s="12">
        <v>486</v>
      </c>
      <c r="AH127" s="231">
        <f ca="1" t="shared" si="20"/>
        <v>0.000361407974216745</v>
      </c>
      <c r="AI127" s="231">
        <f ca="1" t="shared" si="21"/>
        <v>0.00114741554869913</v>
      </c>
      <c r="AJ127" s="231">
        <f ca="1" t="shared" si="22"/>
        <v>0.000665242107496331</v>
      </c>
      <c r="AK127" s="231">
        <f ca="1" t="shared" si="23"/>
        <v>0.00178723117262174</v>
      </c>
      <c r="AL127" s="231">
        <f ca="1" t="shared" si="24"/>
        <v>0.0020448842537425</v>
      </c>
      <c r="AN127" s="12">
        <v>486</v>
      </c>
      <c r="AO127" s="231">
        <f ca="1" t="shared" si="25"/>
        <v>0.159019508655368</v>
      </c>
      <c r="AP127" s="231">
        <f ca="1" t="shared" si="26"/>
        <v>0.623083134261552</v>
      </c>
      <c r="AQ127" s="231">
        <f ca="1" t="shared" si="27"/>
        <v>0.378706526466253</v>
      </c>
      <c r="AR127" s="231">
        <f ca="1" t="shared" si="28"/>
        <v>0.911012724566219</v>
      </c>
      <c r="AS127" s="231">
        <f ca="1" t="shared" si="29"/>
        <v>0.999492850617338</v>
      </c>
    </row>
    <row r="128" ht="15" hidden="1" customHeight="1" spans="2:45">
      <c r="B128" s="8"/>
      <c r="C128" s="221"/>
      <c r="D128" s="221"/>
      <c r="E128" s="221"/>
      <c r="F128" s="221"/>
      <c r="G128" s="221"/>
      <c r="I128" s="12">
        <v>487</v>
      </c>
      <c r="J128" s="230">
        <v>0.1835581</v>
      </c>
      <c r="L128" s="12">
        <v>487</v>
      </c>
      <c r="M128" s="230">
        <v>0.226504</v>
      </c>
      <c r="N128" s="230">
        <v>0.425064</v>
      </c>
      <c r="O128" s="230">
        <v>0.258695</v>
      </c>
      <c r="P128" s="231">
        <v>0.873</v>
      </c>
      <c r="Q128" s="230">
        <v>0.995887</v>
      </c>
      <c r="S128" s="12">
        <v>487</v>
      </c>
      <c r="T128" s="230">
        <v>0.161603588387361</v>
      </c>
      <c r="U128" s="230">
        <v>0.568638158904207</v>
      </c>
      <c r="V128" s="230">
        <v>0.332012167566734</v>
      </c>
      <c r="W128" s="231">
        <v>0.877109873850214</v>
      </c>
      <c r="X128" s="230">
        <v>0.996363936928116</v>
      </c>
      <c r="Z128" s="12">
        <v>487</v>
      </c>
      <c r="AA128" s="230">
        <f ca="1" t="shared" si="15"/>
        <v>0.161603588387361</v>
      </c>
      <c r="AB128" s="230">
        <f ca="1" t="shared" si="16"/>
        <v>0.568638158904207</v>
      </c>
      <c r="AC128" s="230">
        <f ca="1" t="shared" si="17"/>
        <v>0.332012167566734</v>
      </c>
      <c r="AD128" s="230">
        <f ca="1" t="shared" si="18"/>
        <v>0.877109873850214</v>
      </c>
      <c r="AE128" s="230">
        <f ca="1" t="shared" si="19"/>
        <v>0.996363936928116</v>
      </c>
      <c r="AG128" s="12">
        <v>487</v>
      </c>
      <c r="AH128" s="231">
        <f ca="1" t="shared" si="20"/>
        <v>0.000331834883752281</v>
      </c>
      <c r="AI128" s="231">
        <f ca="1" t="shared" si="21"/>
        <v>0.00116763482321192</v>
      </c>
      <c r="AJ128" s="231">
        <f ca="1" t="shared" si="22"/>
        <v>0.000681749830732513</v>
      </c>
      <c r="AK128" s="231">
        <f ca="1" t="shared" si="23"/>
        <v>0.00180104696889161</v>
      </c>
      <c r="AL128" s="231">
        <f ca="1" t="shared" si="24"/>
        <v>0.00204592184174151</v>
      </c>
      <c r="AN128" s="12">
        <v>487</v>
      </c>
      <c r="AO128" s="231">
        <f ca="1" t="shared" si="25"/>
        <v>0.146007348851004</v>
      </c>
      <c r="AP128" s="231">
        <f ca="1" t="shared" si="26"/>
        <v>0.634062843356665</v>
      </c>
      <c r="AQ128" s="231">
        <f ca="1" t="shared" si="27"/>
        <v>0.388103981101482</v>
      </c>
      <c r="AR128" s="231">
        <f ca="1" t="shared" si="28"/>
        <v>0.918055107440171</v>
      </c>
      <c r="AS128" s="231">
        <f ca="1" t="shared" si="29"/>
        <v>1</v>
      </c>
    </row>
    <row r="129" ht="15" hidden="1" customHeight="1" spans="2:45">
      <c r="B129" s="8"/>
      <c r="C129" s="221"/>
      <c r="D129" s="221"/>
      <c r="E129" s="221"/>
      <c r="F129" s="221"/>
      <c r="G129" s="221"/>
      <c r="I129" s="12">
        <v>488</v>
      </c>
      <c r="J129" s="230">
        <v>0.1912735</v>
      </c>
      <c r="L129" s="12">
        <v>488</v>
      </c>
      <c r="M129" s="230">
        <v>0.211726</v>
      </c>
      <c r="N129" s="230">
        <v>0.434851</v>
      </c>
      <c r="O129" s="230">
        <v>0.266252</v>
      </c>
      <c r="P129" s="231">
        <v>0.884</v>
      </c>
      <c r="Q129" s="230">
        <v>0.998008</v>
      </c>
      <c r="S129" s="12">
        <v>488</v>
      </c>
      <c r="T129" s="230">
        <v>0.148482749188338</v>
      </c>
      <c r="U129" s="230">
        <v>0.579655552083517</v>
      </c>
      <c r="V129" s="230">
        <v>0.340865462929638</v>
      </c>
      <c r="W129" s="231">
        <v>0.885433603364944</v>
      </c>
      <c r="X129" s="230">
        <v>0.998253864186535</v>
      </c>
      <c r="Z129" s="12">
        <v>488</v>
      </c>
      <c r="AA129" s="230">
        <f ca="1" t="shared" si="15"/>
        <v>0.148482749188338</v>
      </c>
      <c r="AB129" s="230">
        <f ca="1" t="shared" si="16"/>
        <v>0.579655552083517</v>
      </c>
      <c r="AC129" s="230">
        <f ca="1" t="shared" si="17"/>
        <v>0.340865462929638</v>
      </c>
      <c r="AD129" s="230">
        <f ca="1" t="shared" si="18"/>
        <v>0.885433603364944</v>
      </c>
      <c r="AE129" s="230">
        <f ca="1" t="shared" si="19"/>
        <v>0.998253864186535</v>
      </c>
      <c r="AG129" s="12">
        <v>488</v>
      </c>
      <c r="AH129" s="231">
        <f ca="1" t="shared" si="20"/>
        <v>0.000304267928664627</v>
      </c>
      <c r="AI129" s="231">
        <f ca="1" t="shared" si="21"/>
        <v>0.0011878187542695</v>
      </c>
      <c r="AJ129" s="231">
        <f ca="1" t="shared" si="22"/>
        <v>0.000698494801085324</v>
      </c>
      <c r="AK129" s="231">
        <f ca="1" t="shared" si="23"/>
        <v>0.00181441312164948</v>
      </c>
      <c r="AL129" s="231">
        <f ca="1" t="shared" si="24"/>
        <v>0.00204560218071011</v>
      </c>
      <c r="AN129" s="12">
        <v>488</v>
      </c>
      <c r="AO129" s="231">
        <f ca="1" t="shared" si="25"/>
        <v>0.133877888612436</v>
      </c>
      <c r="AP129" s="231">
        <f ca="1" t="shared" si="26"/>
        <v>0.645023359831567</v>
      </c>
      <c r="AQ129" s="231">
        <f ca="1" t="shared" si="27"/>
        <v>0.397636494883509</v>
      </c>
      <c r="AR129" s="231">
        <f ca="1" t="shared" si="28"/>
        <v>0.924868291670305</v>
      </c>
      <c r="AS129" s="231">
        <f ca="1" t="shared" si="29"/>
        <v>0.999843756968191</v>
      </c>
    </row>
    <row r="130" ht="15" hidden="1" customHeight="1" spans="2:45">
      <c r="B130" s="8"/>
      <c r="C130" s="221"/>
      <c r="D130" s="221"/>
      <c r="E130" s="221"/>
      <c r="F130" s="221"/>
      <c r="G130" s="221"/>
      <c r="I130" s="12">
        <v>489</v>
      </c>
      <c r="J130" s="230">
        <v>0.199418</v>
      </c>
      <c r="L130" s="12">
        <v>489</v>
      </c>
      <c r="M130" s="230">
        <v>0.19796</v>
      </c>
      <c r="N130" s="230">
        <v>0.445097</v>
      </c>
      <c r="O130" s="230">
        <v>0.274202</v>
      </c>
      <c r="P130" s="231">
        <v>0.894</v>
      </c>
      <c r="Q130" s="230">
        <v>0.999461</v>
      </c>
      <c r="S130" s="12">
        <v>489</v>
      </c>
      <c r="T130" s="230">
        <v>0.136251408344865</v>
      </c>
      <c r="U130" s="230">
        <v>0.590691878871151</v>
      </c>
      <c r="V130" s="230">
        <v>0.349862181681337</v>
      </c>
      <c r="W130" s="231">
        <v>0.893558519726285</v>
      </c>
      <c r="X130" s="230">
        <v>0.999470545639064</v>
      </c>
      <c r="Z130" s="12">
        <v>489</v>
      </c>
      <c r="AA130" s="230">
        <f ca="1" t="shared" si="15"/>
        <v>0.136251408344865</v>
      </c>
      <c r="AB130" s="230">
        <f ca="1" t="shared" si="16"/>
        <v>0.590691878871151</v>
      </c>
      <c r="AC130" s="230">
        <f ca="1" t="shared" si="17"/>
        <v>0.349862181681337</v>
      </c>
      <c r="AD130" s="230">
        <f ca="1" t="shared" si="18"/>
        <v>0.893558519726285</v>
      </c>
      <c r="AE130" s="230">
        <f ca="1" t="shared" si="19"/>
        <v>0.999470545639064</v>
      </c>
      <c r="AG130" s="12">
        <v>489</v>
      </c>
      <c r="AH130" s="231">
        <f ca="1" t="shared" si="20"/>
        <v>0.000278632736901564</v>
      </c>
      <c r="AI130" s="231">
        <f ca="1" t="shared" si="21"/>
        <v>0.00120795885249724</v>
      </c>
      <c r="AJ130" s="231">
        <f ca="1" t="shared" si="22"/>
        <v>0.000715464584215413</v>
      </c>
      <c r="AK130" s="231">
        <f ca="1" t="shared" si="23"/>
        <v>0.00182731803625007</v>
      </c>
      <c r="AL130" s="231">
        <f ca="1" t="shared" si="24"/>
        <v>0.00204390704629665</v>
      </c>
      <c r="AN130" s="12">
        <v>489</v>
      </c>
      <c r="AO130" s="231">
        <f ca="1" t="shared" si="25"/>
        <v>0.122598404236688</v>
      </c>
      <c r="AP130" s="231">
        <f ca="1" t="shared" si="26"/>
        <v>0.655960073685848</v>
      </c>
      <c r="AQ130" s="231">
        <f ca="1" t="shared" si="27"/>
        <v>0.407296989238366</v>
      </c>
      <c r="AR130" s="231">
        <f ca="1" t="shared" si="28"/>
        <v>0.93144636707022</v>
      </c>
      <c r="AS130" s="231">
        <f ca="1" t="shared" si="29"/>
        <v>0.999015213873888</v>
      </c>
    </row>
    <row r="131" ht="15" hidden="1" customHeight="1" spans="2:45">
      <c r="B131" s="8"/>
      <c r="C131" s="221"/>
      <c r="D131" s="221"/>
      <c r="E131" s="221"/>
      <c r="F131" s="221"/>
      <c r="G131" s="221"/>
      <c r="I131" s="12">
        <v>490</v>
      </c>
      <c r="J131" s="230">
        <v>0.20802</v>
      </c>
      <c r="L131" s="12">
        <v>490</v>
      </c>
      <c r="M131" s="230">
        <v>0.185297</v>
      </c>
      <c r="N131" s="230">
        <v>0.456137</v>
      </c>
      <c r="O131" s="230">
        <v>0.282752</v>
      </c>
      <c r="P131" s="231">
        <v>0.904</v>
      </c>
      <c r="Q131" s="230">
        <v>1</v>
      </c>
      <c r="S131" s="12">
        <v>490</v>
      </c>
      <c r="T131" s="230">
        <v>0.124875143412909</v>
      </c>
      <c r="U131" s="230">
        <v>0.601740163917197</v>
      </c>
      <c r="V131" s="230">
        <v>0.358999629192771</v>
      </c>
      <c r="W131" s="231">
        <v>0.90147564922702</v>
      </c>
      <c r="X131" s="230">
        <v>1</v>
      </c>
      <c r="Z131" s="12">
        <v>490</v>
      </c>
      <c r="AA131" s="230">
        <f ca="1" t="shared" si="15"/>
        <v>0.124875143412909</v>
      </c>
      <c r="AB131" s="230">
        <f ca="1" t="shared" si="16"/>
        <v>0.601740163917197</v>
      </c>
      <c r="AC131" s="230">
        <f ca="1" t="shared" si="17"/>
        <v>0.358999629192771</v>
      </c>
      <c r="AD131" s="230">
        <f ca="1" t="shared" si="18"/>
        <v>0.90147564922702</v>
      </c>
      <c r="AE131" s="230">
        <f ca="1" t="shared" si="19"/>
        <v>1</v>
      </c>
      <c r="AG131" s="12">
        <v>490</v>
      </c>
      <c r="AH131" s="231">
        <f ca="1" t="shared" si="20"/>
        <v>0.000254847231454916</v>
      </c>
      <c r="AI131" s="231">
        <f ca="1" t="shared" si="21"/>
        <v>0.00122804115085142</v>
      </c>
      <c r="AJ131" s="231">
        <f ca="1" t="shared" si="22"/>
        <v>0.000732652304475043</v>
      </c>
      <c r="AK131" s="231">
        <f ca="1" t="shared" si="23"/>
        <v>0.00183974622291229</v>
      </c>
      <c r="AL131" s="231">
        <f ca="1" t="shared" si="24"/>
        <v>0.00204081632653061</v>
      </c>
      <c r="AN131" s="12">
        <v>490</v>
      </c>
      <c r="AO131" s="231">
        <f ca="1" t="shared" si="25"/>
        <v>0.112132781840163</v>
      </c>
      <c r="AP131" s="231">
        <f ca="1" t="shared" si="26"/>
        <v>0.666865400370574</v>
      </c>
      <c r="AQ131" s="231">
        <f ca="1" t="shared" si="27"/>
        <v>0.417081550023154</v>
      </c>
      <c r="AR131" s="231">
        <f ca="1" t="shared" si="28"/>
        <v>0.937781437969835</v>
      </c>
      <c r="AS131" s="231">
        <f ca="1" t="shared" si="29"/>
        <v>0.997504540443953</v>
      </c>
    </row>
    <row r="132" ht="15" hidden="1" customHeight="1" spans="2:45">
      <c r="B132" s="8"/>
      <c r="C132" s="221"/>
      <c r="D132" s="221"/>
      <c r="E132" s="221"/>
      <c r="F132" s="221"/>
      <c r="G132" s="221"/>
      <c r="I132" s="12">
        <v>491</v>
      </c>
      <c r="J132" s="230">
        <v>0.2171199</v>
      </c>
      <c r="L132" s="12">
        <v>491</v>
      </c>
      <c r="M132" s="230">
        <v>0.173751</v>
      </c>
      <c r="N132" s="230">
        <v>0.468236</v>
      </c>
      <c r="O132" s="230">
        <v>0.292071</v>
      </c>
      <c r="P132" s="231">
        <v>0.914</v>
      </c>
      <c r="Q132" s="230">
        <v>0.999561</v>
      </c>
      <c r="S132" s="12">
        <v>491</v>
      </c>
      <c r="T132" s="230">
        <v>0.114317310915483</v>
      </c>
      <c r="U132" s="230">
        <v>0.612794699334985</v>
      </c>
      <c r="V132" s="230">
        <v>0.368273102058258</v>
      </c>
      <c r="W132" s="231">
        <v>0.909173984208073</v>
      </c>
      <c r="X132" s="230">
        <v>0.999831925414328</v>
      </c>
      <c r="Z132" s="12">
        <v>491</v>
      </c>
      <c r="AA132" s="230">
        <f ca="1" t="shared" si="15"/>
        <v>0.114317310915483</v>
      </c>
      <c r="AB132" s="230">
        <f ca="1" t="shared" si="16"/>
        <v>0.612794699334985</v>
      </c>
      <c r="AC132" s="230">
        <f ca="1" t="shared" si="17"/>
        <v>0.368273102058258</v>
      </c>
      <c r="AD132" s="230">
        <f ca="1" t="shared" si="18"/>
        <v>0.909173984208073</v>
      </c>
      <c r="AE132" s="230">
        <f ca="1" t="shared" si="19"/>
        <v>0.999831925414328</v>
      </c>
      <c r="AG132" s="12">
        <v>491</v>
      </c>
      <c r="AH132" s="231">
        <f ca="1" t="shared" si="20"/>
        <v>0.000232825480479599</v>
      </c>
      <c r="AI132" s="231">
        <f ca="1" t="shared" si="21"/>
        <v>0.00124805437746433</v>
      </c>
      <c r="AJ132" s="231">
        <f ca="1" t="shared" si="22"/>
        <v>0.000750047051035149</v>
      </c>
      <c r="AK132" s="231">
        <f ca="1" t="shared" si="23"/>
        <v>0.00185167817557652</v>
      </c>
      <c r="AL132" s="231">
        <f ca="1" t="shared" si="24"/>
        <v>0.00203631756703529</v>
      </c>
      <c r="AN132" s="12">
        <v>491</v>
      </c>
      <c r="AO132" s="231">
        <f ca="1" t="shared" si="25"/>
        <v>0.102443211411023</v>
      </c>
      <c r="AP132" s="231">
        <f ca="1" t="shared" si="26"/>
        <v>0.677733218903096</v>
      </c>
      <c r="AQ132" s="231">
        <f ca="1" t="shared" si="27"/>
        <v>0.426983965962113</v>
      </c>
      <c r="AR132" s="231">
        <f ca="1" t="shared" si="28"/>
        <v>0.943863561464859</v>
      </c>
      <c r="AS132" s="231">
        <f ca="1" t="shared" si="29"/>
        <v>0.995305649262709</v>
      </c>
    </row>
    <row r="133" ht="15" hidden="1" customHeight="1" spans="2:45">
      <c r="B133" s="8"/>
      <c r="C133" s="221"/>
      <c r="D133" s="221"/>
      <c r="E133" s="221"/>
      <c r="F133" s="221"/>
      <c r="G133" s="221"/>
      <c r="I133" s="12">
        <v>492</v>
      </c>
      <c r="J133" s="230">
        <v>0.2267345</v>
      </c>
      <c r="L133" s="12">
        <v>492</v>
      </c>
      <c r="M133" s="230">
        <v>0.163149</v>
      </c>
      <c r="N133" s="230">
        <v>0.481255</v>
      </c>
      <c r="O133" s="230">
        <v>0.302094</v>
      </c>
      <c r="P133" s="231">
        <v>0.923</v>
      </c>
      <c r="Q133" s="230">
        <v>0.998365</v>
      </c>
      <c r="S133" s="12">
        <v>492</v>
      </c>
      <c r="T133" s="230">
        <v>0.104539880664148</v>
      </c>
      <c r="U133" s="230">
        <v>0.623851178736904</v>
      </c>
      <c r="V133" s="230">
        <v>0.377678271660573</v>
      </c>
      <c r="W133" s="231">
        <v>0.916646743724094</v>
      </c>
      <c r="X133" s="230">
        <v>0.998957472762385</v>
      </c>
      <c r="Z133" s="12">
        <v>492</v>
      </c>
      <c r="AA133" s="230">
        <f ca="1" t="shared" si="15"/>
        <v>0.104539880664148</v>
      </c>
      <c r="AB133" s="230">
        <f ca="1" t="shared" si="16"/>
        <v>0.623851178736904</v>
      </c>
      <c r="AC133" s="230">
        <f ca="1" t="shared" si="17"/>
        <v>0.377678271660573</v>
      </c>
      <c r="AD133" s="230">
        <f ca="1" t="shared" si="18"/>
        <v>0.916646743724094</v>
      </c>
      <c r="AE133" s="230">
        <f ca="1" t="shared" si="19"/>
        <v>0.998957472762385</v>
      </c>
      <c r="AG133" s="12">
        <v>492</v>
      </c>
      <c r="AH133" s="231">
        <f ca="1" t="shared" si="20"/>
        <v>0.000212479432244203</v>
      </c>
      <c r="AI133" s="231">
        <f ca="1" t="shared" si="21"/>
        <v>0.00126799020068476</v>
      </c>
      <c r="AJ133" s="231">
        <f ca="1" t="shared" si="22"/>
        <v>0.00076763876353775</v>
      </c>
      <c r="AK133" s="231">
        <f ca="1" t="shared" si="23"/>
        <v>0.0018631031376506</v>
      </c>
      <c r="AL133" s="231">
        <f ca="1" t="shared" si="24"/>
        <v>0.00203040136740322</v>
      </c>
      <c r="AN133" s="12">
        <v>492</v>
      </c>
      <c r="AO133" s="231">
        <f ca="1" t="shared" si="25"/>
        <v>0.0934909501874494</v>
      </c>
      <c r="AP133" s="231">
        <f ca="1" t="shared" si="26"/>
        <v>0.688559004931843</v>
      </c>
      <c r="AQ133" s="231">
        <f ca="1" t="shared" si="27"/>
        <v>0.436998509932467</v>
      </c>
      <c r="AR133" s="231">
        <f ca="1" t="shared" si="28"/>
        <v>0.949687254553146</v>
      </c>
      <c r="AS133" s="231">
        <f ca="1" t="shared" si="29"/>
        <v>0.992413945625079</v>
      </c>
    </row>
    <row r="134" ht="15" hidden="1" customHeight="1" spans="2:45">
      <c r="B134" s="8"/>
      <c r="C134" s="221"/>
      <c r="D134" s="221"/>
      <c r="E134" s="221"/>
      <c r="F134" s="221"/>
      <c r="G134" s="221"/>
      <c r="I134" s="12">
        <v>493</v>
      </c>
      <c r="J134" s="230">
        <v>0.2368571</v>
      </c>
      <c r="L134" s="12">
        <v>493</v>
      </c>
      <c r="M134" s="230">
        <v>0.153311</v>
      </c>
      <c r="N134" s="230">
        <v>0.494927</v>
      </c>
      <c r="O134" s="230">
        <v>0.312673</v>
      </c>
      <c r="P134" s="231">
        <v>0.932</v>
      </c>
      <c r="Q134" s="230">
        <v>0.99659</v>
      </c>
      <c r="S134" s="12">
        <v>493</v>
      </c>
      <c r="T134" s="230">
        <v>0.0955027769896623</v>
      </c>
      <c r="U134" s="230">
        <v>0.634902445673578</v>
      </c>
      <c r="V134" s="230">
        <v>0.387210388040162</v>
      </c>
      <c r="W134" s="231">
        <v>0.923883051258951</v>
      </c>
      <c r="X134" s="230">
        <v>0.997369309001774</v>
      </c>
      <c r="Z134" s="12">
        <v>493</v>
      </c>
      <c r="AA134" s="230">
        <f ca="1" t="shared" si="15"/>
        <v>0.0955027769896623</v>
      </c>
      <c r="AB134" s="230">
        <f ca="1" t="shared" si="16"/>
        <v>0.634902445673578</v>
      </c>
      <c r="AC134" s="230">
        <f ca="1" t="shared" si="17"/>
        <v>0.387210388040162</v>
      </c>
      <c r="AD134" s="230">
        <f ca="1" t="shared" si="18"/>
        <v>0.923883051258951</v>
      </c>
      <c r="AE134" s="230">
        <f ca="1" t="shared" si="19"/>
        <v>0.997369309001774</v>
      </c>
      <c r="AG134" s="12">
        <v>493</v>
      </c>
      <c r="AH134" s="231">
        <f ca="1" t="shared" si="20"/>
        <v>0.000193717600384711</v>
      </c>
      <c r="AI134" s="231">
        <f ca="1" t="shared" si="21"/>
        <v>0.0012878345754028</v>
      </c>
      <c r="AJ134" s="231">
        <f ca="1" t="shared" si="22"/>
        <v>0.000785416608600734</v>
      </c>
      <c r="AK134" s="231">
        <f ca="1" t="shared" si="23"/>
        <v>0.0018740021323711</v>
      </c>
      <c r="AL134" s="231">
        <f ca="1" t="shared" si="24"/>
        <v>0.00202306147870542</v>
      </c>
      <c r="AN134" s="12">
        <v>493</v>
      </c>
      <c r="AO134" s="231">
        <f ca="1" t="shared" si="25"/>
        <v>0.0852357441692726</v>
      </c>
      <c r="AP134" s="231">
        <f ca="1" t="shared" si="26"/>
        <v>0.699335131515442</v>
      </c>
      <c r="AQ134" s="231">
        <f ca="1" t="shared" si="27"/>
        <v>0.447119014747167</v>
      </c>
      <c r="AR134" s="231">
        <f ca="1" t="shared" si="28"/>
        <v>0.955242844130733</v>
      </c>
      <c r="AS134" s="231">
        <f ca="1" t="shared" si="29"/>
        <v>0.9888263751969</v>
      </c>
    </row>
    <row r="135" ht="15" hidden="1" customHeight="1" spans="2:45">
      <c r="B135" s="8"/>
      <c r="C135" s="221"/>
      <c r="D135" s="221"/>
      <c r="E135" s="221"/>
      <c r="F135" s="221"/>
      <c r="G135" s="221"/>
      <c r="I135" s="12">
        <v>494</v>
      </c>
      <c r="J135" s="230">
        <v>0.2474812</v>
      </c>
      <c r="L135" s="12">
        <v>494</v>
      </c>
      <c r="M135" s="230">
        <v>0.144086</v>
      </c>
      <c r="N135" s="230">
        <v>0.508947</v>
      </c>
      <c r="O135" s="230">
        <v>0.323637</v>
      </c>
      <c r="P135" s="231">
        <v>0.941</v>
      </c>
      <c r="Q135" s="230">
        <v>0.994416</v>
      </c>
      <c r="S135" s="12">
        <v>494</v>
      </c>
      <c r="T135" s="230">
        <v>0.0871653744167768</v>
      </c>
      <c r="U135" s="230">
        <v>0.645944195519439</v>
      </c>
      <c r="V135" s="230">
        <v>0.39686609690435</v>
      </c>
      <c r="W135" s="231">
        <v>0.930872070269433</v>
      </c>
      <c r="X135" s="230">
        <v>0.99505938465413</v>
      </c>
      <c r="Z135" s="12">
        <v>494</v>
      </c>
      <c r="AA135" s="230">
        <f ca="1" t="shared" si="15"/>
        <v>0.0871653744167768</v>
      </c>
      <c r="AB135" s="230">
        <f ca="1" t="shared" si="16"/>
        <v>0.645944195519439</v>
      </c>
      <c r="AC135" s="230">
        <f ca="1" t="shared" si="17"/>
        <v>0.39686609690435</v>
      </c>
      <c r="AD135" s="230">
        <f ca="1" t="shared" si="18"/>
        <v>0.930872070269433</v>
      </c>
      <c r="AE135" s="230">
        <f ca="1" t="shared" si="19"/>
        <v>0.99505938465413</v>
      </c>
      <c r="AG135" s="12">
        <v>494</v>
      </c>
      <c r="AH135" s="231">
        <f ca="1" t="shared" si="20"/>
        <v>0.000176448126349751</v>
      </c>
      <c r="AI135" s="231">
        <f ca="1" t="shared" si="21"/>
        <v>0.00130757934315676</v>
      </c>
      <c r="AJ135" s="231">
        <f ca="1" t="shared" si="22"/>
        <v>0.000803372665798279</v>
      </c>
      <c r="AK135" s="231">
        <f ca="1" t="shared" si="23"/>
        <v>0.00188435641754946</v>
      </c>
      <c r="AL135" s="231">
        <f ca="1" t="shared" si="24"/>
        <v>0.0020142902523363</v>
      </c>
      <c r="AN135" s="12">
        <v>494</v>
      </c>
      <c r="AO135" s="231">
        <f ca="1" t="shared" si="25"/>
        <v>0.0776371755938903</v>
      </c>
      <c r="AP135" s="231">
        <f ca="1" t="shared" si="26"/>
        <v>0.710057168349747</v>
      </c>
      <c r="AQ135" s="231">
        <f ca="1" t="shared" si="27"/>
        <v>0.457340971495973</v>
      </c>
      <c r="AR135" s="231">
        <f ca="1" t="shared" si="28"/>
        <v>0.960520776664462</v>
      </c>
      <c r="AS135" s="231">
        <f ca="1" t="shared" si="29"/>
        <v>0.984539199513951</v>
      </c>
    </row>
    <row r="136" ht="15" hidden="1" customHeight="1" spans="2:45">
      <c r="B136" s="8"/>
      <c r="C136" s="221"/>
      <c r="D136" s="221"/>
      <c r="E136" s="221"/>
      <c r="F136" s="221"/>
      <c r="G136" s="221"/>
      <c r="I136" s="12">
        <v>495</v>
      </c>
      <c r="J136" s="230">
        <v>0.2586</v>
      </c>
      <c r="L136" s="12">
        <v>495</v>
      </c>
      <c r="M136" s="230">
        <v>0.135351</v>
      </c>
      <c r="N136" s="230">
        <v>0.52297</v>
      </c>
      <c r="O136" s="230">
        <v>0.334786</v>
      </c>
      <c r="P136" s="231">
        <v>0.949</v>
      </c>
      <c r="Q136" s="230">
        <v>0.992022</v>
      </c>
      <c r="S136" s="12">
        <v>495</v>
      </c>
      <c r="T136" s="230">
        <v>0.079487163599102</v>
      </c>
      <c r="U136" s="230">
        <v>0.656969185685073</v>
      </c>
      <c r="V136" s="230">
        <v>0.406639909462568</v>
      </c>
      <c r="W136" s="231">
        <v>0.937605184246085</v>
      </c>
      <c r="X136" s="230">
        <v>0.99202130656228</v>
      </c>
      <c r="Z136" s="12">
        <v>495</v>
      </c>
      <c r="AA136" s="230">
        <f ca="1" t="shared" si="15"/>
        <v>0.079487163599102</v>
      </c>
      <c r="AB136" s="230">
        <f ca="1" t="shared" si="16"/>
        <v>0.656969185685073</v>
      </c>
      <c r="AC136" s="230">
        <f ca="1" t="shared" si="17"/>
        <v>0.406639909462568</v>
      </c>
      <c r="AD136" s="230">
        <f ca="1" t="shared" si="18"/>
        <v>0.937605184246085</v>
      </c>
      <c r="AE136" s="230">
        <f ca="1" t="shared" si="19"/>
        <v>0.99202130656228</v>
      </c>
      <c r="AG136" s="12">
        <v>495</v>
      </c>
      <c r="AH136" s="231">
        <f ca="1" t="shared" si="20"/>
        <v>0.000160580128483034</v>
      </c>
      <c r="AI136" s="231">
        <f ca="1" t="shared" si="21"/>
        <v>0.00132721047613146</v>
      </c>
      <c r="AJ136" s="231">
        <f ca="1" t="shared" si="22"/>
        <v>0.000821494766591046</v>
      </c>
      <c r="AK136" s="231">
        <f ca="1" t="shared" si="23"/>
        <v>0.00189415188736583</v>
      </c>
      <c r="AL136" s="231">
        <f ca="1" t="shared" si="24"/>
        <v>0.00200408344760057</v>
      </c>
      <c r="AN136" s="12">
        <v>495</v>
      </c>
      <c r="AO136" s="231">
        <f ca="1" t="shared" si="25"/>
        <v>0.0706552565325351</v>
      </c>
      <c r="AP136" s="231">
        <f ca="1" t="shared" si="26"/>
        <v>0.720717497884979</v>
      </c>
      <c r="AQ136" s="231">
        <f ca="1" t="shared" si="27"/>
        <v>0.467657452918547</v>
      </c>
      <c r="AR136" s="231">
        <f ca="1" t="shared" si="28"/>
        <v>0.96551386193654</v>
      </c>
      <c r="AS136" s="231">
        <f ca="1" t="shared" si="29"/>
        <v>0.979550345820966</v>
      </c>
    </row>
    <row r="137" ht="15" hidden="1" customHeight="1" spans="2:45">
      <c r="B137" s="8"/>
      <c r="C137" s="221"/>
      <c r="D137" s="221"/>
      <c r="E137" s="221"/>
      <c r="F137" s="221"/>
      <c r="G137" s="221"/>
      <c r="I137" s="12">
        <v>496</v>
      </c>
      <c r="J137" s="230">
        <v>0.2701849</v>
      </c>
      <c r="L137" s="12">
        <v>496</v>
      </c>
      <c r="M137" s="230">
        <v>0.127011</v>
      </c>
      <c r="N137" s="230">
        <v>0.536701</v>
      </c>
      <c r="O137" s="230">
        <v>0.345943</v>
      </c>
      <c r="P137" s="231">
        <v>0.957</v>
      </c>
      <c r="Q137" s="230">
        <v>0.988792</v>
      </c>
      <c r="S137" s="12">
        <v>496</v>
      </c>
      <c r="T137" s="230">
        <v>0.0724274174825169</v>
      </c>
      <c r="U137" s="230">
        <v>0.667973141037621</v>
      </c>
      <c r="V137" s="230">
        <v>0.416527807194759</v>
      </c>
      <c r="W137" s="231">
        <v>0.944069571447968</v>
      </c>
      <c r="X137" s="230">
        <v>0.988257229350205</v>
      </c>
      <c r="Z137" s="12">
        <v>496</v>
      </c>
      <c r="AA137" s="230">
        <f ca="1" t="shared" si="15"/>
        <v>0.0724274174825169</v>
      </c>
      <c r="AB137" s="230">
        <f ca="1" t="shared" si="16"/>
        <v>0.667973141037621</v>
      </c>
      <c r="AC137" s="230">
        <f ca="1" t="shared" si="17"/>
        <v>0.416527807194759</v>
      </c>
      <c r="AD137" s="230">
        <f ca="1" t="shared" si="18"/>
        <v>0.944069571447968</v>
      </c>
      <c r="AE137" s="230">
        <f ca="1" t="shared" si="19"/>
        <v>0.988257229350205</v>
      </c>
      <c r="AG137" s="12">
        <v>496</v>
      </c>
      <c r="AH137" s="231">
        <f ca="1" t="shared" si="20"/>
        <v>0.000146023019117978</v>
      </c>
      <c r="AI137" s="231">
        <f ca="1" t="shared" si="21"/>
        <v>0.00134672004241456</v>
      </c>
      <c r="AJ137" s="231">
        <f ca="1" t="shared" si="22"/>
        <v>0.000839773804828143</v>
      </c>
      <c r="AK137" s="231">
        <f ca="1" t="shared" si="23"/>
        <v>0.00190336607146768</v>
      </c>
      <c r="AL137" s="231">
        <f ca="1" t="shared" si="24"/>
        <v>0.00199245409143186</v>
      </c>
      <c r="AN137" s="12">
        <v>496</v>
      </c>
      <c r="AO137" s="231">
        <f ca="1" t="shared" si="25"/>
        <v>0.0642501284119101</v>
      </c>
      <c r="AP137" s="231">
        <f ca="1" t="shared" si="26"/>
        <v>0.731311812840479</v>
      </c>
      <c r="AQ137" s="231">
        <f ca="1" t="shared" si="27"/>
        <v>0.478063275099538</v>
      </c>
      <c r="AR137" s="231">
        <f ca="1" t="shared" si="28"/>
        <v>0.9702106460414</v>
      </c>
      <c r="AS137" s="231">
        <f ca="1" t="shared" si="29"/>
        <v>0.973866181386414</v>
      </c>
    </row>
    <row r="138" ht="15" hidden="1" customHeight="1" spans="3:45">
      <c r="C138" s="221"/>
      <c r="D138" s="221"/>
      <c r="E138" s="221"/>
      <c r="F138" s="221"/>
      <c r="G138" s="221"/>
      <c r="I138" s="12">
        <v>497</v>
      </c>
      <c r="J138" s="230">
        <v>0.2822939</v>
      </c>
      <c r="L138" s="12">
        <v>497</v>
      </c>
      <c r="M138" s="230">
        <v>0.119017</v>
      </c>
      <c r="N138" s="230">
        <v>0.550195</v>
      </c>
      <c r="O138" s="230">
        <v>0.357126</v>
      </c>
      <c r="P138" s="231">
        <v>0.964</v>
      </c>
      <c r="Q138" s="230">
        <v>0.98422</v>
      </c>
      <c r="S138" s="12">
        <v>497</v>
      </c>
      <c r="T138" s="230">
        <v>0.0659466896513305</v>
      </c>
      <c r="U138" s="230">
        <v>0.678951887493374</v>
      </c>
      <c r="V138" s="230">
        <v>0.426523535043998</v>
      </c>
      <c r="W138" s="231">
        <v>0.950256830456826</v>
      </c>
      <c r="X138" s="230">
        <v>0.98376643310012</v>
      </c>
      <c r="Z138" s="12">
        <v>497</v>
      </c>
      <c r="AA138" s="230">
        <f ca="1" t="shared" si="15"/>
        <v>0.0659466896513305</v>
      </c>
      <c r="AB138" s="230">
        <f ca="1" t="shared" si="16"/>
        <v>0.678951887493374</v>
      </c>
      <c r="AC138" s="230">
        <f ca="1" t="shared" si="17"/>
        <v>0.426523535043998</v>
      </c>
      <c r="AD138" s="230">
        <f ca="1" t="shared" si="18"/>
        <v>0.950256830456826</v>
      </c>
      <c r="AE138" s="230">
        <f ca="1" t="shared" si="19"/>
        <v>0.98376643310012</v>
      </c>
      <c r="AG138" s="12">
        <v>497</v>
      </c>
      <c r="AH138" s="231">
        <f ca="1" t="shared" si="20"/>
        <v>0.000132689516401067</v>
      </c>
      <c r="AI138" s="231">
        <f ca="1" t="shared" si="21"/>
        <v>0.00136610037725025</v>
      </c>
      <c r="AJ138" s="231">
        <f ca="1" t="shared" si="22"/>
        <v>0.000858196247573437</v>
      </c>
      <c r="AK138" s="231">
        <f ca="1" t="shared" si="23"/>
        <v>0.00191198557435981</v>
      </c>
      <c r="AL138" s="231">
        <f ca="1" t="shared" si="24"/>
        <v>0.00197940932213304</v>
      </c>
      <c r="AN138" s="12">
        <v>497</v>
      </c>
      <c r="AO138" s="231">
        <f ca="1" t="shared" si="25"/>
        <v>0.0583833872164697</v>
      </c>
      <c r="AP138" s="231">
        <f ca="1" t="shared" si="26"/>
        <v>0.741835951010082</v>
      </c>
      <c r="AQ138" s="231">
        <f ca="1" t="shared" si="27"/>
        <v>0.488550734059932</v>
      </c>
      <c r="AR138" s="231">
        <f ca="1" t="shared" si="28"/>
        <v>0.97460430083797</v>
      </c>
      <c r="AS138" s="231">
        <f ca="1" t="shared" si="29"/>
        <v>0.967490195250149</v>
      </c>
    </row>
    <row r="139" ht="15" hidden="1" customHeight="1" spans="3:45">
      <c r="C139" s="221"/>
      <c r="D139" s="221"/>
      <c r="E139" s="221"/>
      <c r="F139" s="221"/>
      <c r="G139" s="221"/>
      <c r="I139" s="12">
        <v>498</v>
      </c>
      <c r="J139" s="230">
        <v>0.2950505</v>
      </c>
      <c r="L139" s="12">
        <v>498</v>
      </c>
      <c r="M139" s="230">
        <v>0.111333</v>
      </c>
      <c r="N139" s="230">
        <v>0.563616</v>
      </c>
      <c r="O139" s="230">
        <v>0.368416</v>
      </c>
      <c r="P139" s="231">
        <v>0.97</v>
      </c>
      <c r="Q139" s="230">
        <v>0.978657</v>
      </c>
      <c r="S139" s="12">
        <v>498</v>
      </c>
      <c r="T139" s="230">
        <v>0.0600056300316773</v>
      </c>
      <c r="U139" s="230">
        <v>0.689898181193528</v>
      </c>
      <c r="V139" s="230">
        <v>0.436623392778576</v>
      </c>
      <c r="W139" s="231">
        <v>0.956154338580984</v>
      </c>
      <c r="X139" s="230">
        <v>0.978547698869323</v>
      </c>
      <c r="Z139" s="12">
        <v>498</v>
      </c>
      <c r="AA139" s="230">
        <f ca="1" t="shared" si="15"/>
        <v>0.0600056300316773</v>
      </c>
      <c r="AB139" s="230">
        <f ca="1" t="shared" si="16"/>
        <v>0.689898181193528</v>
      </c>
      <c r="AC139" s="230">
        <f ca="1" t="shared" si="17"/>
        <v>0.436623392778576</v>
      </c>
      <c r="AD139" s="230">
        <f ca="1" t="shared" si="18"/>
        <v>0.956154338580984</v>
      </c>
      <c r="AE139" s="230">
        <f ca="1" t="shared" si="19"/>
        <v>0.978547698869323</v>
      </c>
      <c r="AG139" s="12">
        <v>498</v>
      </c>
      <c r="AH139" s="231">
        <f ca="1" t="shared" si="20"/>
        <v>0.000120493232995336</v>
      </c>
      <c r="AI139" s="231">
        <f ca="1" t="shared" si="21"/>
        <v>0.00138533771324002</v>
      </c>
      <c r="AJ139" s="231">
        <f ca="1" t="shared" si="22"/>
        <v>0.000876753800760193</v>
      </c>
      <c r="AK139" s="231">
        <f ca="1" t="shared" si="23"/>
        <v>0.00191998863168872</v>
      </c>
      <c r="AL139" s="231">
        <f ca="1" t="shared" si="24"/>
        <v>0.0019649552186131</v>
      </c>
      <c r="AN139" s="12">
        <v>498</v>
      </c>
      <c r="AO139" s="231">
        <f ca="1" t="shared" si="25"/>
        <v>0.0530170225179478</v>
      </c>
      <c r="AP139" s="231">
        <f ca="1" t="shared" si="26"/>
        <v>0.752282436258548</v>
      </c>
      <c r="AQ139" s="231">
        <f ca="1" t="shared" si="27"/>
        <v>0.499115108184593</v>
      </c>
      <c r="AR139" s="231">
        <f ca="1" t="shared" si="28"/>
        <v>0.978683732292479</v>
      </c>
      <c r="AS139" s="231">
        <f ca="1" t="shared" si="29"/>
        <v>0.960425358644447</v>
      </c>
    </row>
    <row r="140" ht="15" hidden="1" customHeight="1" spans="3:45">
      <c r="C140" s="221"/>
      <c r="D140" s="221"/>
      <c r="E140" s="221"/>
      <c r="F140" s="221"/>
      <c r="G140" s="221"/>
      <c r="I140" s="12">
        <v>499</v>
      </c>
      <c r="J140" s="230">
        <v>0.308578</v>
      </c>
      <c r="L140" s="12">
        <v>499</v>
      </c>
      <c r="M140" s="230">
        <v>0.103934</v>
      </c>
      <c r="N140" s="230">
        <v>0.57715</v>
      </c>
      <c r="O140" s="230">
        <v>0.379907</v>
      </c>
      <c r="P140" s="231">
        <v>0.976</v>
      </c>
      <c r="Q140" s="230">
        <v>0.972451</v>
      </c>
      <c r="S140" s="12">
        <v>499</v>
      </c>
      <c r="T140" s="230">
        <v>0.054566738950904</v>
      </c>
      <c r="U140" s="230">
        <v>0.700806304307063</v>
      </c>
      <c r="V140" s="230">
        <v>0.446822464876445</v>
      </c>
      <c r="W140" s="231">
        <v>0.961751782730009</v>
      </c>
      <c r="X140" s="230">
        <v>0.972608364027112</v>
      </c>
      <c r="Z140" s="12">
        <v>499</v>
      </c>
      <c r="AA140" s="230">
        <f ca="1" t="shared" si="15"/>
        <v>0.054566738950904</v>
      </c>
      <c r="AB140" s="230">
        <f ca="1" t="shared" si="16"/>
        <v>0.700806304307063</v>
      </c>
      <c r="AC140" s="230">
        <f ca="1" t="shared" si="17"/>
        <v>0.446822464876445</v>
      </c>
      <c r="AD140" s="230">
        <f ca="1" t="shared" si="18"/>
        <v>0.961751782730009</v>
      </c>
      <c r="AE140" s="230">
        <f ca="1" t="shared" si="19"/>
        <v>0.972608364027112</v>
      </c>
      <c r="AG140" s="12">
        <v>499</v>
      </c>
      <c r="AH140" s="231">
        <f ca="1" t="shared" si="20"/>
        <v>0.000109352182266341</v>
      </c>
      <c r="AI140" s="231">
        <f ca="1" t="shared" si="21"/>
        <v>0.00140442145151716</v>
      </c>
      <c r="AJ140" s="231">
        <f ca="1" t="shared" si="22"/>
        <v>0.000895435801355601</v>
      </c>
      <c r="AK140" s="231">
        <f ca="1" t="shared" si="23"/>
        <v>0.00192735828202407</v>
      </c>
      <c r="AL140" s="231">
        <f ca="1" t="shared" si="24"/>
        <v>0.00194911495797016</v>
      </c>
      <c r="AN140" s="12">
        <v>499</v>
      </c>
      <c r="AO140" s="231">
        <f ca="1" t="shared" si="25"/>
        <v>0.0481149601971899</v>
      </c>
      <c r="AP140" s="231">
        <f ca="1" t="shared" si="26"/>
        <v>0.762645513064184</v>
      </c>
      <c r="AQ140" s="231">
        <f ca="1" t="shared" si="27"/>
        <v>0.509750327262283</v>
      </c>
      <c r="AR140" s="231">
        <f ca="1" t="shared" si="28"/>
        <v>0.982440294585007</v>
      </c>
      <c r="AS140" s="231">
        <f ca="1" t="shared" si="29"/>
        <v>0.952683000007007</v>
      </c>
    </row>
    <row r="141" ht="15" hidden="1" customHeight="1" spans="3:45">
      <c r="C141" s="221"/>
      <c r="D141" s="221"/>
      <c r="E141" s="221"/>
      <c r="F141" s="221"/>
      <c r="G141" s="221"/>
      <c r="I141" s="12">
        <v>500</v>
      </c>
      <c r="J141" s="230">
        <v>0.323</v>
      </c>
      <c r="L141" s="12">
        <v>500</v>
      </c>
      <c r="M141" s="230">
        <v>0.096799</v>
      </c>
      <c r="N141" s="230">
        <v>0.591003</v>
      </c>
      <c r="O141" s="230">
        <v>0.391705</v>
      </c>
      <c r="P141" s="231">
        <v>0.982</v>
      </c>
      <c r="Q141" s="230">
        <v>0.965952</v>
      </c>
      <c r="S141" s="12">
        <v>500</v>
      </c>
      <c r="T141" s="230">
        <v>0.0495936416947002</v>
      </c>
      <c r="U141" s="230">
        <v>0.711672197797391</v>
      </c>
      <c r="V141" s="230">
        <v>0.457114502483503</v>
      </c>
      <c r="W141" s="231">
        <v>0.967034570621391</v>
      </c>
      <c r="X141" s="230">
        <v>0.965950785529675</v>
      </c>
      <c r="Z141" s="12">
        <v>500</v>
      </c>
      <c r="AA141" s="230">
        <f ca="1" t="shared" si="15"/>
        <v>0.0495936416947002</v>
      </c>
      <c r="AB141" s="230">
        <f ca="1" t="shared" si="16"/>
        <v>0.711672197797391</v>
      </c>
      <c r="AC141" s="230">
        <f ca="1" t="shared" si="17"/>
        <v>0.457114502483503</v>
      </c>
      <c r="AD141" s="230">
        <f ca="1" t="shared" si="18"/>
        <v>0.967034570621391</v>
      </c>
      <c r="AE141" s="230">
        <f ca="1" t="shared" si="19"/>
        <v>0.965950785529675</v>
      </c>
      <c r="AG141" s="12">
        <v>500</v>
      </c>
      <c r="AH141" s="231">
        <f ca="1" t="shared" si="20"/>
        <v>9.91872833894004e-5</v>
      </c>
      <c r="AI141" s="231">
        <f ca="1" t="shared" si="21"/>
        <v>0.00142334439559478</v>
      </c>
      <c r="AJ141" s="231">
        <f ca="1" t="shared" si="22"/>
        <v>0.000914229004967006</v>
      </c>
      <c r="AK141" s="231">
        <f ca="1" t="shared" si="23"/>
        <v>0.00193406914124278</v>
      </c>
      <c r="AL141" s="231">
        <f ca="1" t="shared" si="24"/>
        <v>0.00193190157105935</v>
      </c>
      <c r="AN141" s="12">
        <v>500</v>
      </c>
      <c r="AO141" s="231">
        <f ca="1" t="shared" si="25"/>
        <v>0.0436424046913362</v>
      </c>
      <c r="AP141" s="231">
        <f ca="1" t="shared" si="26"/>
        <v>0.772921273505733</v>
      </c>
      <c r="AQ141" s="231">
        <f ca="1" t="shared" si="27"/>
        <v>0.520448851574933</v>
      </c>
      <c r="AR141" s="231">
        <f ca="1" t="shared" si="28"/>
        <v>0.985861048561704</v>
      </c>
      <c r="AS141" s="231">
        <f ca="1" t="shared" si="29"/>
        <v>0.944269488523029</v>
      </c>
    </row>
    <row r="142" ht="15" hidden="1" customHeight="1" spans="3:45">
      <c r="C142" s="221"/>
      <c r="D142" s="221"/>
      <c r="E142" s="221"/>
      <c r="F142" s="221"/>
      <c r="G142" s="221"/>
      <c r="I142" s="12">
        <v>501</v>
      </c>
      <c r="J142" s="230">
        <v>0.3384021</v>
      </c>
      <c r="L142" s="12">
        <v>501</v>
      </c>
      <c r="M142" s="230">
        <v>0.0899169</v>
      </c>
      <c r="N142" s="230">
        <v>0.60535</v>
      </c>
      <c r="O142" s="230">
        <v>0.403905</v>
      </c>
      <c r="P142" s="231">
        <v>0.986</v>
      </c>
      <c r="Q142" s="230">
        <v>0.958844</v>
      </c>
      <c r="S142" s="12">
        <v>501</v>
      </c>
      <c r="T142" s="230">
        <v>0.0450516809669606</v>
      </c>
      <c r="U142" s="230">
        <v>0.72249026552524</v>
      </c>
      <c r="V142" s="230">
        <v>0.467496108394127</v>
      </c>
      <c r="W142" s="231">
        <v>0.971994930852935</v>
      </c>
      <c r="X142" s="230">
        <v>0.958588026459555</v>
      </c>
      <c r="Z142" s="12">
        <v>501</v>
      </c>
      <c r="AA142" s="230">
        <f ca="1" t="shared" si="15"/>
        <v>0.0450516809669606</v>
      </c>
      <c r="AB142" s="230">
        <f ca="1" t="shared" si="16"/>
        <v>0.72249026552524</v>
      </c>
      <c r="AC142" s="230">
        <f ca="1" t="shared" si="17"/>
        <v>0.467496108394127</v>
      </c>
      <c r="AD142" s="230">
        <f ca="1" t="shared" si="18"/>
        <v>0.971994930852935</v>
      </c>
      <c r="AE142" s="230">
        <f ca="1" t="shared" si="19"/>
        <v>0.958588026459555</v>
      </c>
      <c r="AG142" s="12">
        <v>501</v>
      </c>
      <c r="AH142" s="231">
        <f ca="1" t="shared" si="20"/>
        <v>8.9923514904113e-5</v>
      </c>
      <c r="AI142" s="231">
        <f ca="1" t="shared" si="21"/>
        <v>0.00144209633837373</v>
      </c>
      <c r="AJ142" s="231">
        <f ca="1" t="shared" si="22"/>
        <v>0.000933125964858537</v>
      </c>
      <c r="AK142" s="231">
        <f ca="1" t="shared" si="23"/>
        <v>0.00194010964242103</v>
      </c>
      <c r="AL142" s="231">
        <f ca="1" t="shared" si="24"/>
        <v>0.00191334935421069</v>
      </c>
      <c r="AN142" s="12">
        <v>501</v>
      </c>
      <c r="AO142" s="231">
        <f ca="1" t="shared" si="25"/>
        <v>0.0395663465578097</v>
      </c>
      <c r="AP142" s="231">
        <f ca="1" t="shared" si="26"/>
        <v>0.78310417480374</v>
      </c>
      <c r="AQ142" s="231">
        <f ca="1" t="shared" si="27"/>
        <v>0.531206441872738</v>
      </c>
      <c r="AR142" s="231">
        <f ca="1" t="shared" si="28"/>
        <v>0.988940098166723</v>
      </c>
      <c r="AS142" s="231">
        <f ca="1" t="shared" si="29"/>
        <v>0.935201587457527</v>
      </c>
    </row>
    <row r="143" ht="15" hidden="1" customHeight="1" spans="3:45">
      <c r="C143" s="221"/>
      <c r="D143" s="221"/>
      <c r="E143" s="221"/>
      <c r="F143" s="221"/>
      <c r="G143" s="221"/>
      <c r="I143" s="12">
        <v>502</v>
      </c>
      <c r="J143" s="230">
        <v>0.3546858</v>
      </c>
      <c r="L143" s="12">
        <v>502</v>
      </c>
      <c r="M143" s="230">
        <v>0.0832878</v>
      </c>
      <c r="N143" s="230">
        <v>0.62016</v>
      </c>
      <c r="O143" s="230">
        <v>0.4165</v>
      </c>
      <c r="P143" s="231">
        <v>0.99</v>
      </c>
      <c r="Q143" s="230">
        <v>0.950716</v>
      </c>
      <c r="S143" s="12">
        <v>502</v>
      </c>
      <c r="T143" s="230">
        <v>0.0409077883202442</v>
      </c>
      <c r="U143" s="230">
        <v>0.733254944152107</v>
      </c>
      <c r="V143" s="230">
        <v>0.477960492540877</v>
      </c>
      <c r="W143" s="231">
        <v>0.976618619568296</v>
      </c>
      <c r="X143" s="230">
        <v>0.950525998378738</v>
      </c>
      <c r="Z143" s="12">
        <v>502</v>
      </c>
      <c r="AA143" s="230">
        <f ca="1" t="shared" si="15"/>
        <v>0.0409077883202442</v>
      </c>
      <c r="AB143" s="230">
        <f ca="1" t="shared" si="16"/>
        <v>0.733254944152107</v>
      </c>
      <c r="AC143" s="230">
        <f ca="1" t="shared" si="17"/>
        <v>0.477960492540877</v>
      </c>
      <c r="AD143" s="230">
        <f ca="1" t="shared" si="18"/>
        <v>0.976618619568296</v>
      </c>
      <c r="AE143" s="230">
        <f ca="1" t="shared" si="19"/>
        <v>0.950525998378738</v>
      </c>
      <c r="AG143" s="12">
        <v>502</v>
      </c>
      <c r="AH143" s="231">
        <f ca="1" t="shared" si="20"/>
        <v>8.14896181678171e-5</v>
      </c>
      <c r="AI143" s="231">
        <f ca="1" t="shared" si="21"/>
        <v>0.00146066721942651</v>
      </c>
      <c r="AJ143" s="231">
        <f ca="1" t="shared" si="22"/>
        <v>0.000952112534941986</v>
      </c>
      <c r="AK143" s="231">
        <f ca="1" t="shared" si="23"/>
        <v>0.00194545541746673</v>
      </c>
      <c r="AL143" s="231">
        <f ca="1" t="shared" si="24"/>
        <v>0.0018934780844198</v>
      </c>
      <c r="AN143" s="12">
        <v>502</v>
      </c>
      <c r="AO143" s="231">
        <f ca="1" t="shared" si="25"/>
        <v>0.0358554319938395</v>
      </c>
      <c r="AP143" s="231">
        <f ca="1" t="shared" si="26"/>
        <v>0.793188753826118</v>
      </c>
      <c r="AQ143" s="231">
        <f ca="1" t="shared" si="27"/>
        <v>0.542015045123774</v>
      </c>
      <c r="AR143" s="231">
        <f ca="1" t="shared" si="28"/>
        <v>0.991665022151881</v>
      </c>
      <c r="AS143" s="231">
        <f ca="1" t="shared" si="29"/>
        <v>0.925488963355534</v>
      </c>
    </row>
    <row r="144" ht="15" hidden="1" customHeight="1" spans="3:45">
      <c r="C144" s="221"/>
      <c r="D144" s="221"/>
      <c r="E144" s="221"/>
      <c r="F144" s="221"/>
      <c r="G144" s="221"/>
      <c r="I144" s="12">
        <v>503</v>
      </c>
      <c r="J144" s="230">
        <v>0.3716986</v>
      </c>
      <c r="L144" s="12">
        <v>503</v>
      </c>
      <c r="M144" s="230">
        <v>0.0769157</v>
      </c>
      <c r="N144" s="230">
        <v>0.635343</v>
      </c>
      <c r="O144" s="230">
        <v>0.429453</v>
      </c>
      <c r="P144" s="231">
        <v>0.994</v>
      </c>
      <c r="Q144" s="230">
        <v>0.941778</v>
      </c>
      <c r="S144" s="12">
        <v>503</v>
      </c>
      <c r="T144" s="230">
        <v>0.0371306883071645</v>
      </c>
      <c r="U144" s="230">
        <v>0.743960709619238</v>
      </c>
      <c r="V144" s="230">
        <v>0.488502735490802</v>
      </c>
      <c r="W144" s="231">
        <v>0.980893823785304</v>
      </c>
      <c r="X144" s="230">
        <v>0.941781163717645</v>
      </c>
      <c r="Z144" s="12">
        <v>503</v>
      </c>
      <c r="AA144" s="230">
        <f ca="1" t="shared" si="15"/>
        <v>0.0371306883071645</v>
      </c>
      <c r="AB144" s="230">
        <f ca="1" t="shared" si="16"/>
        <v>0.743960709619238</v>
      </c>
      <c r="AC144" s="230">
        <f ca="1" t="shared" si="17"/>
        <v>0.488502735490802</v>
      </c>
      <c r="AD144" s="230">
        <f ca="1" t="shared" si="18"/>
        <v>0.980893823785304</v>
      </c>
      <c r="AE144" s="230">
        <f ca="1" t="shared" si="19"/>
        <v>0.941781163717645</v>
      </c>
      <c r="AG144" s="12">
        <v>503</v>
      </c>
      <c r="AH144" s="231">
        <f ca="1" t="shared" si="20"/>
        <v>7.38184658194125e-5</v>
      </c>
      <c r="AI144" s="231">
        <f ca="1" t="shared" si="21"/>
        <v>0.00147904713641996</v>
      </c>
      <c r="AJ144" s="231">
        <f ca="1" t="shared" si="22"/>
        <v>0.000971178400578135</v>
      </c>
      <c r="AK144" s="231">
        <f ca="1" t="shared" si="23"/>
        <v>0.00195008712482168</v>
      </c>
      <c r="AL144" s="231">
        <f ca="1" t="shared" si="24"/>
        <v>0.00187232835729154</v>
      </c>
      <c r="AN144" s="12">
        <v>503</v>
      </c>
      <c r="AO144" s="231">
        <f ca="1" t="shared" si="25"/>
        <v>0.0324801249605415</v>
      </c>
      <c r="AP144" s="231">
        <f ca="1" t="shared" si="26"/>
        <v>0.803169633291042</v>
      </c>
      <c r="AQ144" s="231">
        <f ca="1" t="shared" si="27"/>
        <v>0.552868789448998</v>
      </c>
      <c r="AR144" s="231">
        <f ca="1" t="shared" si="28"/>
        <v>0.994025961464863</v>
      </c>
      <c r="AS144" s="231">
        <f ca="1" t="shared" si="29"/>
        <v>0.915151458424137</v>
      </c>
    </row>
    <row r="145" ht="15" hidden="1" customHeight="1" spans="3:45">
      <c r="C145" s="221"/>
      <c r="D145" s="221"/>
      <c r="E145" s="221"/>
      <c r="F145" s="221"/>
      <c r="G145" s="221"/>
      <c r="I145" s="12">
        <v>504</v>
      </c>
      <c r="J145" s="230">
        <v>0.3892875</v>
      </c>
      <c r="L145" s="12">
        <v>504</v>
      </c>
      <c r="M145" s="230">
        <v>0.0708052</v>
      </c>
      <c r="N145" s="230">
        <v>0.650796</v>
      </c>
      <c r="O145" s="230">
        <v>0.44272</v>
      </c>
      <c r="P145" s="231">
        <v>0.997</v>
      </c>
      <c r="Q145" s="230">
        <v>0.932236</v>
      </c>
      <c r="S145" s="12">
        <v>504</v>
      </c>
      <c r="T145" s="230">
        <v>0.0336910852029121</v>
      </c>
      <c r="U145" s="230">
        <v>0.754603821074315</v>
      </c>
      <c r="V145" s="230">
        <v>0.499118882199239</v>
      </c>
      <c r="W145" s="231">
        <v>0.984806712250856</v>
      </c>
      <c r="X145" s="230">
        <v>0.932367228009473</v>
      </c>
      <c r="Z145" s="12">
        <v>504</v>
      </c>
      <c r="AA145" s="230">
        <f ca="1" t="shared" si="15"/>
        <v>0.0336910852029121</v>
      </c>
      <c r="AB145" s="230">
        <f ca="1" t="shared" si="16"/>
        <v>0.754603821074315</v>
      </c>
      <c r="AC145" s="230">
        <f ca="1" t="shared" si="17"/>
        <v>0.499118882199239</v>
      </c>
      <c r="AD145" s="230">
        <f ca="1" t="shared" si="18"/>
        <v>0.984806712250856</v>
      </c>
      <c r="AE145" s="230">
        <f ca="1" t="shared" si="19"/>
        <v>0.932367228009473</v>
      </c>
      <c r="AG145" s="12">
        <v>504</v>
      </c>
      <c r="AH145" s="231">
        <f ca="1" t="shared" si="20"/>
        <v>6.68473912756193e-5</v>
      </c>
      <c r="AI145" s="231">
        <f ca="1" t="shared" si="21"/>
        <v>0.00149722980371888</v>
      </c>
      <c r="AJ145" s="231">
        <f ca="1" t="shared" si="22"/>
        <v>0.000990315242458807</v>
      </c>
      <c r="AK145" s="231">
        <f ca="1" t="shared" si="23"/>
        <v>0.0019539815719263</v>
      </c>
      <c r="AL145" s="231">
        <f ca="1" t="shared" si="24"/>
        <v>0.00184993497620927</v>
      </c>
      <c r="AN145" s="12">
        <v>504</v>
      </c>
      <c r="AO145" s="231">
        <f ca="1" t="shared" si="25"/>
        <v>0.0294128521612725</v>
      </c>
      <c r="AP145" s="231">
        <f ca="1" t="shared" si="26"/>
        <v>0.813043399898695</v>
      </c>
      <c r="AQ145" s="231">
        <f ca="1" t="shared" si="27"/>
        <v>0.563762938863921</v>
      </c>
      <c r="AR145" s="231">
        <f ca="1" t="shared" si="28"/>
        <v>0.996011094066516</v>
      </c>
      <c r="AS145" s="231">
        <f ca="1" t="shared" si="29"/>
        <v>0.904206083764464</v>
      </c>
    </row>
    <row r="146" ht="15" hidden="1" customHeight="1" spans="3:45">
      <c r="C146" s="221"/>
      <c r="D146" s="221"/>
      <c r="E146" s="221"/>
      <c r="F146" s="221"/>
      <c r="G146" s="221"/>
      <c r="I146" s="12">
        <v>505</v>
      </c>
      <c r="J146" s="230">
        <v>0.4073</v>
      </c>
      <c r="L146" s="12">
        <v>505</v>
      </c>
      <c r="M146" s="230">
        <v>0.0649614</v>
      </c>
      <c r="N146" s="230">
        <v>0.666404</v>
      </c>
      <c r="O146" s="230">
        <v>0.456252</v>
      </c>
      <c r="P146" s="231">
        <v>0.998</v>
      </c>
      <c r="Q146" s="230">
        <v>0.922299</v>
      </c>
      <c r="S146" s="12">
        <v>505</v>
      </c>
      <c r="T146" s="230">
        <v>0.0305611716397962</v>
      </c>
      <c r="U146" s="230">
        <v>0.76517540135145</v>
      </c>
      <c r="V146" s="230">
        <v>0.509803719812779</v>
      </c>
      <c r="W146" s="231">
        <v>0.988348255396619</v>
      </c>
      <c r="X146" s="230">
        <v>0.92229955692144</v>
      </c>
      <c r="Z146" s="12">
        <v>505</v>
      </c>
      <c r="AA146" s="230">
        <f ca="1" t="shared" si="15"/>
        <v>0.0305611716397962</v>
      </c>
      <c r="AB146" s="230">
        <f ca="1" t="shared" si="16"/>
        <v>0.76517540135145</v>
      </c>
      <c r="AC146" s="230">
        <f ca="1" t="shared" si="17"/>
        <v>0.509803719812779</v>
      </c>
      <c r="AD146" s="230">
        <f ca="1" t="shared" si="18"/>
        <v>0.988348255396619</v>
      </c>
      <c r="AE146" s="230">
        <f ca="1" t="shared" si="19"/>
        <v>0.92229955692144</v>
      </c>
      <c r="AG146" s="12">
        <v>505</v>
      </c>
      <c r="AH146" s="231">
        <f ca="1" t="shared" si="20"/>
        <v>6.05171715639529e-5</v>
      </c>
      <c r="AI146" s="231">
        <f ca="1" t="shared" si="21"/>
        <v>0.00151519881455733</v>
      </c>
      <c r="AJ146" s="231">
        <f ca="1" t="shared" si="22"/>
        <v>0.00100951231646095</v>
      </c>
      <c r="AK146" s="231">
        <f ca="1" t="shared" si="23"/>
        <v>0.00195712525821113</v>
      </c>
      <c r="AL146" s="231">
        <f ca="1" t="shared" si="24"/>
        <v>0.00182633575628008</v>
      </c>
      <c r="AN146" s="12">
        <v>505</v>
      </c>
      <c r="AO146" s="231">
        <f ca="1" t="shared" si="25"/>
        <v>0.0266275554881393</v>
      </c>
      <c r="AP146" s="231">
        <f ca="1" t="shared" si="26"/>
        <v>0.822801144253383</v>
      </c>
      <c r="AQ146" s="231">
        <f ca="1" t="shared" si="27"/>
        <v>0.574691376994556</v>
      </c>
      <c r="AR146" s="231">
        <f ca="1" t="shared" si="28"/>
        <v>0.997613538255825</v>
      </c>
      <c r="AS146" s="231">
        <f ca="1" t="shared" si="29"/>
        <v>0.892671322539615</v>
      </c>
    </row>
    <row r="147" ht="15" hidden="1" customHeight="1" spans="3:45">
      <c r="C147" s="221"/>
      <c r="D147" s="221"/>
      <c r="E147" s="221"/>
      <c r="F147" s="221"/>
      <c r="G147" s="221"/>
      <c r="I147" s="12">
        <v>506</v>
      </c>
      <c r="J147" s="230">
        <v>0.4256299</v>
      </c>
      <c r="L147" s="12">
        <v>506</v>
      </c>
      <c r="M147" s="230">
        <v>0.0594049</v>
      </c>
      <c r="N147" s="230">
        <v>0.682055</v>
      </c>
      <c r="O147" s="230">
        <v>0.469997</v>
      </c>
      <c r="P147" s="232">
        <v>1</v>
      </c>
      <c r="Q147" s="230">
        <v>0.911832</v>
      </c>
      <c r="S147" s="12">
        <v>506</v>
      </c>
      <c r="T147" s="230">
        <v>0.0277152627368819</v>
      </c>
      <c r="U147" s="230">
        <v>0.775673581225768</v>
      </c>
      <c r="V147" s="230">
        <v>0.520550658261462</v>
      </c>
      <c r="W147" s="232">
        <v>0.991500642574064</v>
      </c>
      <c r="X147" s="230">
        <v>0.911597236605041</v>
      </c>
      <c r="Z147" s="12">
        <v>506</v>
      </c>
      <c r="AA147" s="230">
        <f ca="1" t="shared" si="15"/>
        <v>0.0277152627368819</v>
      </c>
      <c r="AB147" s="230">
        <f ca="1" t="shared" si="16"/>
        <v>0.775673581225768</v>
      </c>
      <c r="AC147" s="230">
        <f ca="1" t="shared" si="17"/>
        <v>0.520550658261462</v>
      </c>
      <c r="AD147" s="230">
        <f ca="1" t="shared" si="18"/>
        <v>0.991500642574064</v>
      </c>
      <c r="AE147" s="230">
        <f ca="1" t="shared" si="19"/>
        <v>0.911597236605041</v>
      </c>
      <c r="AG147" s="12">
        <v>506</v>
      </c>
      <c r="AH147" s="231">
        <f ca="1" t="shared" si="20"/>
        <v>5.47732465155769e-5</v>
      </c>
      <c r="AI147" s="231">
        <f ca="1" t="shared" si="21"/>
        <v>0.0015329517415529</v>
      </c>
      <c r="AJ147" s="231">
        <f ca="1" t="shared" si="22"/>
        <v>0.00102875624162344</v>
      </c>
      <c r="AK147" s="231">
        <f ca="1" t="shared" si="23"/>
        <v>0.00195948743591712</v>
      </c>
      <c r="AL147" s="231">
        <f ca="1" t="shared" si="24"/>
        <v>0.00180157556641312</v>
      </c>
      <c r="AN147" s="12">
        <v>506</v>
      </c>
      <c r="AO147" s="231">
        <f ca="1" t="shared" si="25"/>
        <v>0.0241002284668538</v>
      </c>
      <c r="AP147" s="231">
        <f ca="1" t="shared" si="26"/>
        <v>0.832441548209264</v>
      </c>
      <c r="AQ147" s="231">
        <f ca="1" t="shared" si="27"/>
        <v>0.585646486377653</v>
      </c>
      <c r="AR147" s="231">
        <f ca="1" t="shared" si="28"/>
        <v>0.998817620850631</v>
      </c>
      <c r="AS147" s="231">
        <f ca="1" t="shared" si="29"/>
        <v>0.880569105650489</v>
      </c>
    </row>
    <row r="148" ht="15" hidden="1" customHeight="1" spans="3:45">
      <c r="C148" s="221"/>
      <c r="D148" s="221"/>
      <c r="E148" s="221"/>
      <c r="F148" s="221"/>
      <c r="G148" s="221"/>
      <c r="I148" s="12">
        <v>507</v>
      </c>
      <c r="J148" s="230">
        <v>0.4443096</v>
      </c>
      <c r="L148" s="12">
        <v>507</v>
      </c>
      <c r="M148" s="230">
        <v>0.0542076</v>
      </c>
      <c r="N148" s="230">
        <v>0.697672</v>
      </c>
      <c r="O148" s="230">
        <v>0.483926</v>
      </c>
      <c r="P148" s="232">
        <v>1</v>
      </c>
      <c r="Q148" s="230">
        <v>0.900602</v>
      </c>
      <c r="S148" s="12">
        <v>507</v>
      </c>
      <c r="T148" s="230">
        <v>0.025129161646594</v>
      </c>
      <c r="U148" s="230">
        <v>0.786091318490847</v>
      </c>
      <c r="V148" s="230">
        <v>0.531354055951252</v>
      </c>
      <c r="W148" s="232">
        <v>0.99425549522665</v>
      </c>
      <c r="X148" s="230">
        <v>0.900280824494058</v>
      </c>
      <c r="Z148" s="12">
        <v>507</v>
      </c>
      <c r="AA148" s="230">
        <f ca="1" t="shared" si="15"/>
        <v>0.025129161646594</v>
      </c>
      <c r="AB148" s="230">
        <f ca="1" t="shared" si="16"/>
        <v>0.786091318490847</v>
      </c>
      <c r="AC148" s="230">
        <f ca="1" t="shared" si="17"/>
        <v>0.531354055951252</v>
      </c>
      <c r="AD148" s="230">
        <f ca="1" t="shared" si="18"/>
        <v>0.99425549522665</v>
      </c>
      <c r="AE148" s="230">
        <f ca="1" t="shared" si="19"/>
        <v>0.900280824494058</v>
      </c>
      <c r="AG148" s="12">
        <v>507</v>
      </c>
      <c r="AH148" s="231">
        <f ca="1" t="shared" si="20"/>
        <v>4.95644213936765e-5</v>
      </c>
      <c r="AI148" s="231">
        <f ca="1" t="shared" si="21"/>
        <v>0.00155047597335473</v>
      </c>
      <c r="AJ148" s="231">
        <f ca="1" t="shared" si="22"/>
        <v>0.00104803561331608</v>
      </c>
      <c r="AK148" s="231">
        <f ca="1" t="shared" si="23"/>
        <v>0.00196105620360286</v>
      </c>
      <c r="AL148" s="231">
        <f ca="1" t="shared" si="24"/>
        <v>0.00177570182345968</v>
      </c>
      <c r="AN148" s="12">
        <v>507</v>
      </c>
      <c r="AO148" s="231">
        <f ca="1" t="shared" si="25"/>
        <v>0.0218083454132177</v>
      </c>
      <c r="AP148" s="231">
        <f ca="1" t="shared" si="26"/>
        <v>0.841957763401735</v>
      </c>
      <c r="AQ148" s="231">
        <f ca="1" t="shared" si="27"/>
        <v>0.596621774628195</v>
      </c>
      <c r="AR148" s="231">
        <f ca="1" t="shared" si="28"/>
        <v>0.999617275280057</v>
      </c>
      <c r="AS148" s="231">
        <f ca="1" t="shared" si="29"/>
        <v>0.867922609374063</v>
      </c>
    </row>
    <row r="149" ht="15" hidden="1" customHeight="1" spans="3:45">
      <c r="C149" s="221"/>
      <c r="D149" s="221"/>
      <c r="E149" s="221"/>
      <c r="F149" s="221"/>
      <c r="G149" s="221"/>
      <c r="I149" s="12">
        <v>508</v>
      </c>
      <c r="J149" s="230">
        <v>0.4633944</v>
      </c>
      <c r="L149" s="12">
        <v>508</v>
      </c>
      <c r="M149" s="230">
        <v>0.0494281</v>
      </c>
      <c r="N149" s="230">
        <v>0.713186</v>
      </c>
      <c r="O149" s="230">
        <v>0.498012</v>
      </c>
      <c r="P149" s="232">
        <v>1</v>
      </c>
      <c r="Q149" s="230">
        <v>0.888663</v>
      </c>
      <c r="S149" s="12">
        <v>508</v>
      </c>
      <c r="T149" s="230">
        <v>0.0227805916897416</v>
      </c>
      <c r="U149" s="230">
        <v>0.796421544706488</v>
      </c>
      <c r="V149" s="230">
        <v>0.542210595492235</v>
      </c>
      <c r="W149" s="232">
        <v>0.99659797411079</v>
      </c>
      <c r="X149" s="230">
        <v>0.88837637369524</v>
      </c>
      <c r="Z149" s="12">
        <v>508</v>
      </c>
      <c r="AA149" s="230">
        <f ca="1" t="shared" ref="AA149:AA212" si="30">OFFSET(M149,0,$AA$8)</f>
        <v>0.0227805916897416</v>
      </c>
      <c r="AB149" s="230">
        <f ca="1" t="shared" ref="AB149:AB212" si="31">OFFSET(N149,0,$AA$8)</f>
        <v>0.796421544706488</v>
      </c>
      <c r="AC149" s="230">
        <f ca="1" t="shared" ref="AC149:AC212" si="32">OFFSET(O149,0,$AA$8)</f>
        <v>0.542210595492235</v>
      </c>
      <c r="AD149" s="230">
        <f ca="1" t="shared" ref="AD149:AD212" si="33">OFFSET(P149,0,$AA$8)</f>
        <v>0.99659797411079</v>
      </c>
      <c r="AE149" s="230">
        <f ca="1" t="shared" ref="AE149:AE212" si="34">OFFSET(Q149,0,$AA$8)</f>
        <v>0.88837637369524</v>
      </c>
      <c r="AG149" s="12">
        <v>508</v>
      </c>
      <c r="AH149" s="231">
        <f ca="1" t="shared" ref="AH149:AH212" si="35">AA149/$Z149</f>
        <v>4.48436844286252e-5</v>
      </c>
      <c r="AI149" s="231">
        <f ca="1" t="shared" ref="AI149:AI212" si="36">AB149/$Z149</f>
        <v>0.00156775894627261</v>
      </c>
      <c r="AJ149" s="231">
        <f ca="1" t="shared" ref="AJ149:AJ212" si="37">AC149/$Z149</f>
        <v>0.00106734369191385</v>
      </c>
      <c r="AK149" s="231">
        <f ca="1" t="shared" ref="AK149:AK212" si="38">AD149/$Z149</f>
        <v>0.00196180703565116</v>
      </c>
      <c r="AL149" s="231">
        <f ca="1" t="shared" ref="AL149:AL212" si="39">AE149/$Z149</f>
        <v>0.00174877238916386</v>
      </c>
      <c r="AN149" s="12">
        <v>508</v>
      </c>
      <c r="AO149" s="231">
        <f ca="1" t="shared" ref="AO149:AO212" si="40">IF(AH149=0,"",AH149/AH$11)</f>
        <v>0.0197312211485951</v>
      </c>
      <c r="AP149" s="231">
        <f ca="1" t="shared" ref="AP149:AP212" si="41">IF(AI149=0,"",AI149/AI$11)</f>
        <v>0.851342967347458</v>
      </c>
      <c r="AQ149" s="231">
        <f ca="1" t="shared" ref="AQ149:AQ212" si="42">IF(AJ149=0,"",AJ149/AJ$11)</f>
        <v>0.607613405037788</v>
      </c>
      <c r="AR149" s="231">
        <f ca="1" t="shared" ref="AR149:AR212" si="43">IF(AK149=0,"",AK149/AK$11)</f>
        <v>1</v>
      </c>
      <c r="AS149" s="231">
        <f ca="1" t="shared" ref="AS149:AS212" si="44">IF(AL149=0,"",AL149/AL$11)</f>
        <v>0.854760115213045</v>
      </c>
    </row>
    <row r="150" ht="15" hidden="1" customHeight="1" spans="3:45">
      <c r="C150" s="221"/>
      <c r="D150" s="221"/>
      <c r="E150" s="221"/>
      <c r="F150" s="221"/>
      <c r="G150" s="221"/>
      <c r="I150" s="12">
        <v>509</v>
      </c>
      <c r="J150" s="230">
        <v>0.4829395</v>
      </c>
      <c r="L150" s="12">
        <v>509</v>
      </c>
      <c r="M150" s="230">
        <v>0.0450993</v>
      </c>
      <c r="N150" s="230">
        <v>0.728526</v>
      </c>
      <c r="O150" s="230">
        <v>0.512227</v>
      </c>
      <c r="P150" s="231">
        <v>0.998</v>
      </c>
      <c r="Q150" s="230">
        <v>0.876073</v>
      </c>
      <c r="S150" s="12">
        <v>509</v>
      </c>
      <c r="T150" s="230">
        <v>0.0206488562081571</v>
      </c>
      <c r="U150" s="230">
        <v>0.806662745181089</v>
      </c>
      <c r="V150" s="230">
        <v>0.553114444306515</v>
      </c>
      <c r="W150" s="231">
        <v>0.998518234100878</v>
      </c>
      <c r="X150" s="230">
        <v>0.875902972128056</v>
      </c>
      <c r="Z150" s="12">
        <v>509</v>
      </c>
      <c r="AA150" s="230">
        <f ca="1" t="shared" si="30"/>
        <v>0.0206488562081571</v>
      </c>
      <c r="AB150" s="230">
        <f ca="1" t="shared" si="31"/>
        <v>0.806662745181089</v>
      </c>
      <c r="AC150" s="230">
        <f ca="1" t="shared" si="32"/>
        <v>0.553114444306515</v>
      </c>
      <c r="AD150" s="230">
        <f ca="1" t="shared" si="33"/>
        <v>0.998518234100878</v>
      </c>
      <c r="AE150" s="230">
        <f ca="1" t="shared" si="34"/>
        <v>0.875902972128056</v>
      </c>
      <c r="AG150" s="12">
        <v>509</v>
      </c>
      <c r="AH150" s="231">
        <f ca="1" t="shared" si="35"/>
        <v>4.05674974619982e-5</v>
      </c>
      <c r="AI150" s="231">
        <f ca="1" t="shared" si="36"/>
        <v>0.00158479910644615</v>
      </c>
      <c r="AJ150" s="231">
        <f ca="1" t="shared" si="37"/>
        <v>0.00108666884932518</v>
      </c>
      <c r="AK150" s="231">
        <f ca="1" t="shared" si="38"/>
        <v>0.00196172541080723</v>
      </c>
      <c r="AL150" s="231">
        <f ca="1" t="shared" si="39"/>
        <v>0.00172083098649913</v>
      </c>
      <c r="AN150" s="12">
        <v>509</v>
      </c>
      <c r="AO150" s="231">
        <f ca="1" t="shared" si="40"/>
        <v>0.0178496988832792</v>
      </c>
      <c r="AP150" s="231">
        <f ca="1" t="shared" si="41"/>
        <v>0.860596316250809</v>
      </c>
      <c r="AQ150" s="231">
        <f ca="1" t="shared" si="42"/>
        <v>0.618614758010169</v>
      </c>
      <c r="AR150" s="231">
        <f ca="1" t="shared" si="43"/>
        <v>0.999958393031296</v>
      </c>
      <c r="AS150" s="231">
        <f ca="1" t="shared" si="44"/>
        <v>0.841102993961068</v>
      </c>
    </row>
    <row r="151" ht="15" hidden="1" customHeight="1" spans="3:45">
      <c r="C151" s="221"/>
      <c r="D151" s="221"/>
      <c r="E151" s="221"/>
      <c r="F151" s="221"/>
      <c r="G151" s="221"/>
      <c r="I151" s="12">
        <v>510</v>
      </c>
      <c r="J151" s="230">
        <v>0.503</v>
      </c>
      <c r="L151" s="12">
        <v>510</v>
      </c>
      <c r="M151" s="230">
        <v>0.0412337</v>
      </c>
      <c r="N151" s="230">
        <v>0.743612</v>
      </c>
      <c r="O151" s="230">
        <v>0.526538</v>
      </c>
      <c r="P151" s="231">
        <v>0.997</v>
      </c>
      <c r="Q151" s="230">
        <v>0.862888</v>
      </c>
      <c r="S151" s="12">
        <v>510</v>
      </c>
      <c r="T151" s="230">
        <v>0.0187148348924942</v>
      </c>
      <c r="U151" s="230">
        <v>0.816804271049528</v>
      </c>
      <c r="V151" s="230">
        <v>0.564060905175121</v>
      </c>
      <c r="W151" s="231">
        <v>1</v>
      </c>
      <c r="X151" s="230">
        <v>0.862887146856774</v>
      </c>
      <c r="Z151" s="12">
        <v>510</v>
      </c>
      <c r="AA151" s="230">
        <f ca="1" t="shared" si="30"/>
        <v>0.0187148348924942</v>
      </c>
      <c r="AB151" s="230">
        <f ca="1" t="shared" si="31"/>
        <v>0.816804271049528</v>
      </c>
      <c r="AC151" s="230">
        <f ca="1" t="shared" si="32"/>
        <v>0.564060905175121</v>
      </c>
      <c r="AD151" s="230">
        <f ca="1" t="shared" si="33"/>
        <v>1</v>
      </c>
      <c r="AE151" s="230">
        <f ca="1" t="shared" si="34"/>
        <v>0.862887146856774</v>
      </c>
      <c r="AG151" s="12">
        <v>510</v>
      </c>
      <c r="AH151" s="231">
        <f ca="1" t="shared" si="35"/>
        <v>3.66957546911651e-5</v>
      </c>
      <c r="AI151" s="231">
        <f ca="1" t="shared" si="36"/>
        <v>0.0016015770020579</v>
      </c>
      <c r="AJ151" s="231">
        <f ca="1" t="shared" si="37"/>
        <v>0.00110600177485318</v>
      </c>
      <c r="AK151" s="231">
        <f ca="1" t="shared" si="38"/>
        <v>0.00196078431372549</v>
      </c>
      <c r="AL151" s="231">
        <f ca="1" t="shared" si="39"/>
        <v>0.00169193558207211</v>
      </c>
      <c r="AN151" s="12">
        <v>510</v>
      </c>
      <c r="AO151" s="231">
        <f ca="1" t="shared" si="40"/>
        <v>0.0161461320641126</v>
      </c>
      <c r="AP151" s="231">
        <f ca="1" t="shared" si="41"/>
        <v>0.869707247156299</v>
      </c>
      <c r="AQ151" s="231">
        <f ca="1" t="shared" si="42"/>
        <v>0.629620533186812</v>
      </c>
      <c r="AR151" s="231">
        <f ca="1" t="shared" si="43"/>
        <v>0.999478683730313</v>
      </c>
      <c r="AS151" s="231">
        <f ca="1" t="shared" si="44"/>
        <v>0.826979578375248</v>
      </c>
    </row>
    <row r="152" ht="15" hidden="1" customHeight="1" spans="3:45">
      <c r="C152" s="221"/>
      <c r="D152" s="221"/>
      <c r="E152" s="221"/>
      <c r="F152" s="221"/>
      <c r="G152" s="221"/>
      <c r="I152" s="12">
        <v>511</v>
      </c>
      <c r="J152" s="230">
        <v>0.5235693</v>
      </c>
      <c r="L152" s="12">
        <v>511</v>
      </c>
      <c r="M152" s="230">
        <v>0.0378142</v>
      </c>
      <c r="N152" s="230">
        <v>0.758396</v>
      </c>
      <c r="O152" s="230">
        <v>0.540923</v>
      </c>
      <c r="P152" s="231">
        <v>0.994</v>
      </c>
      <c r="Q152" s="230">
        <v>0.848801</v>
      </c>
      <c r="S152" s="12">
        <v>511</v>
      </c>
      <c r="T152" s="230">
        <v>0.0169374489795103</v>
      </c>
      <c r="U152" s="230">
        <v>0.825703261409048</v>
      </c>
      <c r="V152" s="230">
        <v>0.574249994886738</v>
      </c>
      <c r="W152" s="231">
        <v>0.999652370088243</v>
      </c>
      <c r="X152" s="230">
        <v>0.848185805090357</v>
      </c>
      <c r="Z152" s="12">
        <v>511</v>
      </c>
      <c r="AA152" s="230">
        <f ca="1" t="shared" si="30"/>
        <v>0.0169374489795103</v>
      </c>
      <c r="AB152" s="230">
        <f ca="1" t="shared" si="31"/>
        <v>0.825703261409048</v>
      </c>
      <c r="AC152" s="230">
        <f ca="1" t="shared" si="32"/>
        <v>0.574249994886738</v>
      </c>
      <c r="AD152" s="230">
        <f ca="1" t="shared" si="33"/>
        <v>0.999652370088243</v>
      </c>
      <c r="AE152" s="230">
        <f ca="1" t="shared" si="34"/>
        <v>0.848185805090357</v>
      </c>
      <c r="AG152" s="12">
        <v>511</v>
      </c>
      <c r="AH152" s="231">
        <f ca="1" t="shared" si="35"/>
        <v>3.31456927191982e-5</v>
      </c>
      <c r="AI152" s="231">
        <f ca="1" t="shared" si="36"/>
        <v>0.00161585765442084</v>
      </c>
      <c r="AJ152" s="231">
        <f ca="1" t="shared" si="37"/>
        <v>0.0011237768980171</v>
      </c>
      <c r="AK152" s="231">
        <f ca="1" t="shared" si="38"/>
        <v>0.00195626686905723</v>
      </c>
      <c r="AL152" s="231">
        <f ca="1" t="shared" si="39"/>
        <v>0.00165985480448211</v>
      </c>
      <c r="AN152" s="12">
        <v>511</v>
      </c>
      <c r="AO152" s="231">
        <f ca="1" t="shared" si="40"/>
        <v>0.0145841047964472</v>
      </c>
      <c r="AP152" s="231">
        <f ca="1" t="shared" si="41"/>
        <v>0.877462095557725</v>
      </c>
      <c r="AQ152" s="231">
        <f ca="1" t="shared" si="42"/>
        <v>0.639739488489044</v>
      </c>
      <c r="AR152" s="231">
        <f ca="1" t="shared" si="43"/>
        <v>0.997175988008374</v>
      </c>
      <c r="AS152" s="231">
        <f ca="1" t="shared" si="44"/>
        <v>0.81129922493482</v>
      </c>
    </row>
    <row r="153" ht="15" hidden="1" customHeight="1" spans="3:45">
      <c r="C153" s="221"/>
      <c r="D153" s="221"/>
      <c r="E153" s="221"/>
      <c r="F153" s="221"/>
      <c r="G153" s="221"/>
      <c r="I153" s="12">
        <v>512</v>
      </c>
      <c r="J153" s="230">
        <v>0.544512</v>
      </c>
      <c r="L153" s="12">
        <v>512</v>
      </c>
      <c r="M153" s="230">
        <v>0.0347627</v>
      </c>
      <c r="N153" s="230">
        <v>0.772966</v>
      </c>
      <c r="O153" s="230">
        <v>0.555406</v>
      </c>
      <c r="P153" s="231">
        <v>0.99</v>
      </c>
      <c r="Q153" s="230">
        <v>0.833678</v>
      </c>
      <c r="S153" s="12">
        <v>512</v>
      </c>
      <c r="T153" s="230">
        <v>0.015328370883466</v>
      </c>
      <c r="U153" s="230">
        <v>0.834466679778498</v>
      </c>
      <c r="V153" s="230">
        <v>0.584441437123103</v>
      </c>
      <c r="W153" s="231">
        <v>0.998842470153328</v>
      </c>
      <c r="X153" s="230">
        <v>0.833038359252541</v>
      </c>
      <c r="Z153" s="12">
        <v>512</v>
      </c>
      <c r="AA153" s="230">
        <f ca="1" t="shared" si="30"/>
        <v>0.015328370883466</v>
      </c>
      <c r="AB153" s="230">
        <f ca="1" t="shared" si="31"/>
        <v>0.834466679778498</v>
      </c>
      <c r="AC153" s="230">
        <f ca="1" t="shared" si="32"/>
        <v>0.584441437123103</v>
      </c>
      <c r="AD153" s="230">
        <f ca="1" t="shared" si="33"/>
        <v>0.998842470153328</v>
      </c>
      <c r="AE153" s="230">
        <f ca="1" t="shared" si="34"/>
        <v>0.833038359252541</v>
      </c>
      <c r="AG153" s="12">
        <v>512</v>
      </c>
      <c r="AH153" s="231">
        <f ca="1" t="shared" si="35"/>
        <v>2.99382243817695e-5</v>
      </c>
      <c r="AI153" s="231">
        <f ca="1" t="shared" si="36"/>
        <v>0.00162981773394238</v>
      </c>
      <c r="AJ153" s="231">
        <f ca="1" t="shared" si="37"/>
        <v>0.00114148718188106</v>
      </c>
      <c r="AK153" s="231">
        <f ca="1" t="shared" si="38"/>
        <v>0.00195086419951822</v>
      </c>
      <c r="AL153" s="231">
        <f ca="1" t="shared" si="39"/>
        <v>0.00162702804541512</v>
      </c>
      <c r="AN153" s="12">
        <v>512</v>
      </c>
      <c r="AO153" s="231">
        <f ca="1" t="shared" si="40"/>
        <v>0.0131728187279786</v>
      </c>
      <c r="AP153" s="231">
        <f ca="1" t="shared" si="41"/>
        <v>0.885042862711076</v>
      </c>
      <c r="AQ153" s="231">
        <f ca="1" t="shared" si="42"/>
        <v>0.649821532318311</v>
      </c>
      <c r="AR153" s="231">
        <f ca="1" t="shared" si="43"/>
        <v>0.994422062958241</v>
      </c>
      <c r="AS153" s="231">
        <f ca="1" t="shared" si="44"/>
        <v>0.795254252738304</v>
      </c>
    </row>
    <row r="154" ht="15" hidden="1" customHeight="1" spans="3:45">
      <c r="C154" s="221"/>
      <c r="D154" s="221"/>
      <c r="E154" s="221"/>
      <c r="F154" s="221"/>
      <c r="G154" s="221"/>
      <c r="I154" s="12">
        <v>513</v>
      </c>
      <c r="J154" s="230">
        <v>0.56569</v>
      </c>
      <c r="L154" s="12">
        <v>513</v>
      </c>
      <c r="M154" s="230">
        <v>0.0320029</v>
      </c>
      <c r="N154" s="230">
        <v>0.787457</v>
      </c>
      <c r="O154" s="230">
        <v>0.570025</v>
      </c>
      <c r="P154" s="231">
        <v>0.986</v>
      </c>
      <c r="Q154" s="230">
        <v>0.817832</v>
      </c>
      <c r="S154" s="12">
        <v>513</v>
      </c>
      <c r="T154" s="230">
        <v>0.0138720932651573</v>
      </c>
      <c r="U154" s="230">
        <v>0.843090120148578</v>
      </c>
      <c r="V154" s="230">
        <v>0.594628882406063</v>
      </c>
      <c r="W154" s="231">
        <v>0.997562235985928</v>
      </c>
      <c r="X154" s="230">
        <v>0.817475978889123</v>
      </c>
      <c r="Z154" s="12">
        <v>513</v>
      </c>
      <c r="AA154" s="230">
        <f ca="1" t="shared" si="30"/>
        <v>0.0138720932651573</v>
      </c>
      <c r="AB154" s="230">
        <f ca="1" t="shared" si="31"/>
        <v>0.843090120148578</v>
      </c>
      <c r="AC154" s="230">
        <f ca="1" t="shared" si="32"/>
        <v>0.594628882406063</v>
      </c>
      <c r="AD154" s="230">
        <f ca="1" t="shared" si="33"/>
        <v>0.997562235985928</v>
      </c>
      <c r="AE154" s="230">
        <f ca="1" t="shared" si="34"/>
        <v>0.817475978889123</v>
      </c>
      <c r="AG154" s="12">
        <v>513</v>
      </c>
      <c r="AH154" s="231">
        <f ca="1" t="shared" si="35"/>
        <v>2.70411174759402e-5</v>
      </c>
      <c r="AI154" s="231">
        <f ca="1" t="shared" si="36"/>
        <v>0.00164345052660542</v>
      </c>
      <c r="AJ154" s="231">
        <f ca="1" t="shared" si="37"/>
        <v>0.00115912062847186</v>
      </c>
      <c r="AK154" s="231">
        <f ca="1" t="shared" si="38"/>
        <v>0.0019445657621558</v>
      </c>
      <c r="AL154" s="231">
        <f ca="1" t="shared" si="39"/>
        <v>0.00159352042668445</v>
      </c>
      <c r="AN154" s="12">
        <v>513</v>
      </c>
      <c r="AO154" s="231">
        <f ca="1" t="shared" si="40"/>
        <v>0.0118980916894137</v>
      </c>
      <c r="AP154" s="231">
        <f ca="1" t="shared" si="41"/>
        <v>0.892445902691537</v>
      </c>
      <c r="AQ154" s="231">
        <f ca="1" t="shared" si="42"/>
        <v>0.659859834513525</v>
      </c>
      <c r="AR154" s="231">
        <f ca="1" t="shared" si="43"/>
        <v>0.991211534477124</v>
      </c>
      <c r="AS154" s="231">
        <f ca="1" t="shared" si="44"/>
        <v>0.778876491844883</v>
      </c>
    </row>
    <row r="155" ht="15" hidden="1" customHeight="1" spans="3:45">
      <c r="C155" s="221"/>
      <c r="D155" s="221"/>
      <c r="E155" s="221"/>
      <c r="F155" s="221"/>
      <c r="G155" s="221"/>
      <c r="I155" s="12">
        <v>514</v>
      </c>
      <c r="J155" s="230">
        <v>0.5869653</v>
      </c>
      <c r="L155" s="12">
        <v>514</v>
      </c>
      <c r="M155" s="230">
        <v>0.0294746</v>
      </c>
      <c r="N155" s="230">
        <v>0.802017</v>
      </c>
      <c r="O155" s="230">
        <v>0.584828</v>
      </c>
      <c r="P155" s="231">
        <v>0.981</v>
      </c>
      <c r="Q155" s="230">
        <v>0.801579</v>
      </c>
      <c r="S155" s="12">
        <v>514</v>
      </c>
      <c r="T155" s="230">
        <v>0.0125544589213183</v>
      </c>
      <c r="U155" s="230">
        <v>0.851567346525291</v>
      </c>
      <c r="V155" s="230">
        <v>0.604810051208562</v>
      </c>
      <c r="W155" s="231">
        <v>0.995804306241103</v>
      </c>
      <c r="X155" s="230">
        <v>0.801530402431522</v>
      </c>
      <c r="Z155" s="12">
        <v>514</v>
      </c>
      <c r="AA155" s="230">
        <f ca="1" t="shared" si="30"/>
        <v>0.0125544589213183</v>
      </c>
      <c r="AB155" s="230">
        <f ca="1" t="shared" si="31"/>
        <v>0.851567346525291</v>
      </c>
      <c r="AC155" s="230">
        <f ca="1" t="shared" si="32"/>
        <v>0.604810051208562</v>
      </c>
      <c r="AD155" s="230">
        <f ca="1" t="shared" si="33"/>
        <v>0.995804306241103</v>
      </c>
      <c r="AE155" s="230">
        <f ca="1" t="shared" si="34"/>
        <v>0.801530402431522</v>
      </c>
      <c r="AG155" s="12">
        <v>514</v>
      </c>
      <c r="AH155" s="231">
        <f ca="1" t="shared" si="35"/>
        <v>2.44250173566504e-5</v>
      </c>
      <c r="AI155" s="231">
        <f ca="1" t="shared" si="36"/>
        <v>0.00165674581036049</v>
      </c>
      <c r="AJ155" s="231">
        <f ca="1" t="shared" si="37"/>
        <v>0.00117667325137853</v>
      </c>
      <c r="AK155" s="231">
        <f ca="1" t="shared" si="38"/>
        <v>0.00193736246350409</v>
      </c>
      <c r="AL155" s="231">
        <f ca="1" t="shared" si="39"/>
        <v>0.00155939767010024</v>
      </c>
      <c r="AN155" s="12">
        <v>514</v>
      </c>
      <c r="AO155" s="231">
        <f ca="1" t="shared" si="40"/>
        <v>0.0107470076369262</v>
      </c>
      <c r="AP155" s="231">
        <f ca="1" t="shared" si="41"/>
        <v>0.89966566460116</v>
      </c>
      <c r="AQ155" s="231">
        <f ca="1" t="shared" si="42"/>
        <v>0.669852125705634</v>
      </c>
      <c r="AR155" s="231">
        <f ca="1" t="shared" si="43"/>
        <v>0.987539767315109</v>
      </c>
      <c r="AS155" s="231">
        <f ca="1" t="shared" si="44"/>
        <v>0.762198065578527</v>
      </c>
    </row>
    <row r="156" ht="15" hidden="1" customHeight="1" spans="3:45">
      <c r="C156" s="221"/>
      <c r="D156" s="221"/>
      <c r="E156" s="221"/>
      <c r="F156" s="221"/>
      <c r="G156" s="221"/>
      <c r="I156" s="12">
        <v>515</v>
      </c>
      <c r="J156" s="230">
        <v>0.6082</v>
      </c>
      <c r="L156" s="12">
        <v>515</v>
      </c>
      <c r="M156" s="230">
        <v>0.02713</v>
      </c>
      <c r="N156" s="230">
        <v>0.816808</v>
      </c>
      <c r="O156" s="230">
        <v>0.599867</v>
      </c>
      <c r="P156" s="231">
        <v>0.975</v>
      </c>
      <c r="Q156" s="230">
        <v>0.785233</v>
      </c>
      <c r="S156" s="12">
        <v>515</v>
      </c>
      <c r="T156" s="230">
        <v>0.011362502714947</v>
      </c>
      <c r="U156" s="230">
        <v>0.859894161121737</v>
      </c>
      <c r="V156" s="230">
        <v>0.614977179037717</v>
      </c>
      <c r="W156" s="231">
        <v>0.993555198455164</v>
      </c>
      <c r="X156" s="230">
        <v>0.785233826540287</v>
      </c>
      <c r="Z156" s="12">
        <v>515</v>
      </c>
      <c r="AA156" s="230">
        <f ca="1" t="shared" si="30"/>
        <v>0.011362502714947</v>
      </c>
      <c r="AB156" s="230">
        <f ca="1" t="shared" si="31"/>
        <v>0.859894161121737</v>
      </c>
      <c r="AC156" s="230">
        <f ca="1" t="shared" si="32"/>
        <v>0.614977179037717</v>
      </c>
      <c r="AD156" s="230">
        <f ca="1" t="shared" si="33"/>
        <v>0.993555198455164</v>
      </c>
      <c r="AE156" s="230">
        <f ca="1" t="shared" si="34"/>
        <v>0.785233826540287</v>
      </c>
      <c r="AG156" s="12">
        <v>515</v>
      </c>
      <c r="AH156" s="231">
        <f ca="1" t="shared" si="35"/>
        <v>2.20631120678583e-5</v>
      </c>
      <c r="AI156" s="231">
        <f ca="1" t="shared" si="36"/>
        <v>0.00166969740023638</v>
      </c>
      <c r="AJ156" s="231">
        <f ca="1" t="shared" si="37"/>
        <v>0.00119413044473343</v>
      </c>
      <c r="AK156" s="231">
        <f ca="1" t="shared" si="38"/>
        <v>0.00192923339505857</v>
      </c>
      <c r="AL156" s="231">
        <f ca="1" t="shared" si="39"/>
        <v>0.00152472587677726</v>
      </c>
      <c r="AN156" s="12">
        <v>515</v>
      </c>
      <c r="AO156" s="231">
        <f ca="1" t="shared" si="40"/>
        <v>0.00970776930985763</v>
      </c>
      <c r="AP156" s="231">
        <f ca="1" t="shared" si="41"/>
        <v>0.906698789803875</v>
      </c>
      <c r="AQ156" s="231">
        <f ca="1" t="shared" si="42"/>
        <v>0.679790091121215</v>
      </c>
      <c r="AR156" s="231">
        <f ca="1" t="shared" si="43"/>
        <v>0.983396103693869</v>
      </c>
      <c r="AS156" s="231">
        <f ca="1" t="shared" si="44"/>
        <v>0.745251282658673</v>
      </c>
    </row>
    <row r="157" ht="15" hidden="1" customHeight="1" spans="3:45">
      <c r="C157" s="221"/>
      <c r="D157" s="221"/>
      <c r="E157" s="221"/>
      <c r="F157" s="221"/>
      <c r="G157" s="221"/>
      <c r="I157" s="12">
        <v>516</v>
      </c>
      <c r="J157" s="230">
        <v>0.6293456</v>
      </c>
      <c r="L157" s="12">
        <v>516</v>
      </c>
      <c r="M157" s="230">
        <v>0.0249376</v>
      </c>
      <c r="N157" s="230">
        <v>0.831919</v>
      </c>
      <c r="O157" s="230">
        <v>0.615162</v>
      </c>
      <c r="P157" s="231">
        <v>0.968</v>
      </c>
      <c r="Q157" s="230">
        <v>0.768718</v>
      </c>
      <c r="S157" s="12">
        <v>516</v>
      </c>
      <c r="T157" s="230">
        <v>0.0102844009546282</v>
      </c>
      <c r="U157" s="230">
        <v>0.868062509484719</v>
      </c>
      <c r="V157" s="230">
        <v>0.625128069455303</v>
      </c>
      <c r="W157" s="231">
        <v>0.99081141183173</v>
      </c>
      <c r="X157" s="230">
        <v>0.768617025119045</v>
      </c>
      <c r="Z157" s="12">
        <v>516</v>
      </c>
      <c r="AA157" s="230">
        <f ca="1" t="shared" si="30"/>
        <v>0.0102844009546282</v>
      </c>
      <c r="AB157" s="230">
        <f ca="1" t="shared" si="31"/>
        <v>0.868062509484719</v>
      </c>
      <c r="AC157" s="230">
        <f ca="1" t="shared" si="32"/>
        <v>0.625128069455303</v>
      </c>
      <c r="AD157" s="230">
        <f ca="1" t="shared" si="33"/>
        <v>0.99081141183173</v>
      </c>
      <c r="AE157" s="230">
        <f ca="1" t="shared" si="34"/>
        <v>0.768617025119045</v>
      </c>
      <c r="AG157" s="12">
        <v>516</v>
      </c>
      <c r="AH157" s="231">
        <f ca="1" t="shared" si="35"/>
        <v>1.99310096019926e-5</v>
      </c>
      <c r="AI157" s="231">
        <f ca="1" t="shared" si="36"/>
        <v>0.0016822916850479</v>
      </c>
      <c r="AJ157" s="231">
        <f ca="1" t="shared" si="37"/>
        <v>0.00121148850669632</v>
      </c>
      <c r="AK157" s="231">
        <f ca="1" t="shared" si="38"/>
        <v>0.00192017715471266</v>
      </c>
      <c r="AL157" s="231">
        <f ca="1" t="shared" si="39"/>
        <v>0.00148956787813768</v>
      </c>
      <c r="AN157" s="12">
        <v>516</v>
      </c>
      <c r="AO157" s="231">
        <f ca="1" t="shared" si="40"/>
        <v>0.00876964422487676</v>
      </c>
      <c r="AP157" s="231">
        <f ca="1" t="shared" si="41"/>
        <v>0.913537886993243</v>
      </c>
      <c r="AQ157" s="231">
        <f ca="1" t="shared" si="42"/>
        <v>0.689671623390561</v>
      </c>
      <c r="AR157" s="231">
        <f ca="1" t="shared" si="43"/>
        <v>0.978779828911823</v>
      </c>
      <c r="AS157" s="231">
        <f ca="1" t="shared" si="44"/>
        <v>0.728066853653484</v>
      </c>
    </row>
    <row r="158" ht="15" hidden="1" customHeight="1" spans="3:45">
      <c r="C158" s="221"/>
      <c r="D158" s="221"/>
      <c r="E158" s="221"/>
      <c r="F158" s="221"/>
      <c r="G158" s="221"/>
      <c r="I158" s="12">
        <v>517</v>
      </c>
      <c r="J158" s="230">
        <v>0.6503068</v>
      </c>
      <c r="L158" s="12">
        <v>517</v>
      </c>
      <c r="M158" s="230">
        <v>0.0228931</v>
      </c>
      <c r="N158" s="230">
        <v>0.847096</v>
      </c>
      <c r="O158" s="230">
        <v>0.630569</v>
      </c>
      <c r="P158" s="231">
        <v>0.961</v>
      </c>
      <c r="Q158" s="230">
        <v>0.751807</v>
      </c>
      <c r="S158" s="12">
        <v>517</v>
      </c>
      <c r="T158" s="230">
        <v>0.00930944949135346</v>
      </c>
      <c r="U158" s="230">
        <v>0.876068368714369</v>
      </c>
      <c r="V158" s="230">
        <v>0.635254865422014</v>
      </c>
      <c r="W158" s="231">
        <v>0.987563431360754</v>
      </c>
      <c r="X158" s="230">
        <v>0.751716356314868</v>
      </c>
      <c r="Z158" s="12">
        <v>517</v>
      </c>
      <c r="AA158" s="230">
        <f ca="1" t="shared" si="30"/>
        <v>0.00930944949135346</v>
      </c>
      <c r="AB158" s="230">
        <f ca="1" t="shared" si="31"/>
        <v>0.876068368714369</v>
      </c>
      <c r="AC158" s="230">
        <f ca="1" t="shared" si="32"/>
        <v>0.635254865422014</v>
      </c>
      <c r="AD158" s="230">
        <f ca="1" t="shared" si="33"/>
        <v>0.987563431360754</v>
      </c>
      <c r="AE158" s="230">
        <f ca="1" t="shared" si="34"/>
        <v>0.751716356314868</v>
      </c>
      <c r="AG158" s="12">
        <v>517</v>
      </c>
      <c r="AH158" s="231">
        <f ca="1" t="shared" si="35"/>
        <v>1.80066721302775e-5</v>
      </c>
      <c r="AI158" s="231">
        <f ca="1" t="shared" si="36"/>
        <v>0.00169452295689433</v>
      </c>
      <c r="AJ158" s="231">
        <f ca="1" t="shared" si="37"/>
        <v>0.00122873281512962</v>
      </c>
      <c r="AK158" s="231">
        <f ca="1" t="shared" si="38"/>
        <v>0.00191018071829933</v>
      </c>
      <c r="AL158" s="231">
        <f ca="1" t="shared" si="39"/>
        <v>0.00145399682072508</v>
      </c>
      <c r="AN158" s="12">
        <v>517</v>
      </c>
      <c r="AO158" s="231">
        <f ca="1" t="shared" si="40"/>
        <v>0.00792293573732209</v>
      </c>
      <c r="AP158" s="231">
        <f ca="1" t="shared" si="41"/>
        <v>0.920179856597644</v>
      </c>
      <c r="AQ158" s="231">
        <f ca="1" t="shared" si="42"/>
        <v>0.699488398478152</v>
      </c>
      <c r="AR158" s="231">
        <f ca="1" t="shared" si="43"/>
        <v>0.973684304106548</v>
      </c>
      <c r="AS158" s="231">
        <f ca="1" t="shared" si="44"/>
        <v>0.710680530927528</v>
      </c>
    </row>
    <row r="159" ht="15" hidden="1" customHeight="1" spans="3:45">
      <c r="C159" s="221"/>
      <c r="D159" s="221"/>
      <c r="E159" s="221"/>
      <c r="F159" s="221"/>
      <c r="G159" s="221"/>
      <c r="I159" s="12">
        <v>518</v>
      </c>
      <c r="J159" s="230">
        <v>0.6708752</v>
      </c>
      <c r="L159" s="12">
        <v>518</v>
      </c>
      <c r="M159" s="230">
        <v>0.0209956</v>
      </c>
      <c r="N159" s="230">
        <v>0.861972</v>
      </c>
      <c r="O159" s="230">
        <v>0.645883</v>
      </c>
      <c r="P159" s="231">
        <v>0.953</v>
      </c>
      <c r="Q159" s="230">
        <v>0.734593</v>
      </c>
      <c r="S159" s="12">
        <v>518</v>
      </c>
      <c r="T159" s="230">
        <v>0.00842783452630729</v>
      </c>
      <c r="U159" s="230">
        <v>0.883903797999372</v>
      </c>
      <c r="V159" s="230">
        <v>0.645355476739794</v>
      </c>
      <c r="W159" s="231">
        <v>0.983804942354522</v>
      </c>
      <c r="X159" s="230">
        <v>0.734562916934531</v>
      </c>
      <c r="Z159" s="12">
        <v>518</v>
      </c>
      <c r="AA159" s="230">
        <f ca="1" t="shared" si="30"/>
        <v>0.00842783452630729</v>
      </c>
      <c r="AB159" s="230">
        <f ca="1" t="shared" si="31"/>
        <v>0.883903797999372</v>
      </c>
      <c r="AC159" s="230">
        <f ca="1" t="shared" si="32"/>
        <v>0.645355476739794</v>
      </c>
      <c r="AD159" s="230">
        <f ca="1" t="shared" si="33"/>
        <v>0.983804942354522</v>
      </c>
      <c r="AE159" s="230">
        <f ca="1" t="shared" si="34"/>
        <v>0.734562916934531</v>
      </c>
      <c r="AG159" s="12">
        <v>518</v>
      </c>
      <c r="AH159" s="231">
        <f ca="1" t="shared" si="35"/>
        <v>1.6269950822987e-5</v>
      </c>
      <c r="AI159" s="231">
        <f ca="1" t="shared" si="36"/>
        <v>0.00170637798841578</v>
      </c>
      <c r="AJ159" s="231">
        <f ca="1" t="shared" si="37"/>
        <v>0.00124585999370617</v>
      </c>
      <c r="AK159" s="231">
        <f ca="1" t="shared" si="38"/>
        <v>0.00189923734045275</v>
      </c>
      <c r="AL159" s="231">
        <f ca="1" t="shared" si="39"/>
        <v>0.00141807512921724</v>
      </c>
      <c r="AN159" s="12">
        <v>518</v>
      </c>
      <c r="AO159" s="231">
        <f ca="1" t="shared" si="40"/>
        <v>0.0071587783621143</v>
      </c>
      <c r="AP159" s="231">
        <f ca="1" t="shared" si="41"/>
        <v>0.926617515739989</v>
      </c>
      <c r="AQ159" s="231">
        <f ca="1" t="shared" si="42"/>
        <v>0.709238494321155</v>
      </c>
      <c r="AR159" s="231">
        <f ca="1" t="shared" si="43"/>
        <v>0.968106090934857</v>
      </c>
      <c r="AS159" s="231">
        <f ca="1" t="shared" si="44"/>
        <v>0.693122826241573</v>
      </c>
    </row>
    <row r="160" ht="15" hidden="1" customHeight="1" spans="3:45">
      <c r="C160" s="221"/>
      <c r="D160" s="221"/>
      <c r="E160" s="221"/>
      <c r="F160" s="221"/>
      <c r="G160" s="221"/>
      <c r="I160" s="12">
        <v>519</v>
      </c>
      <c r="J160" s="230">
        <v>0.6908424</v>
      </c>
      <c r="L160" s="12">
        <v>519</v>
      </c>
      <c r="M160" s="230">
        <v>0.0192427</v>
      </c>
      <c r="N160" s="230">
        <v>0.876152</v>
      </c>
      <c r="O160" s="230">
        <v>0.66088</v>
      </c>
      <c r="P160" s="231">
        <v>0.944</v>
      </c>
      <c r="Q160" s="230">
        <v>0.717169</v>
      </c>
      <c r="S160" s="12">
        <v>519</v>
      </c>
      <c r="T160" s="230">
        <v>0.00763071089962946</v>
      </c>
      <c r="U160" s="230">
        <v>0.891564977159781</v>
      </c>
      <c r="V160" s="230">
        <v>0.655423486696246</v>
      </c>
      <c r="W160" s="231">
        <v>0.979530582712706</v>
      </c>
      <c r="X160" s="230">
        <v>0.717189627724905</v>
      </c>
      <c r="Z160" s="12">
        <v>519</v>
      </c>
      <c r="AA160" s="230">
        <f ca="1" t="shared" si="30"/>
        <v>0.00763071089962946</v>
      </c>
      <c r="AB160" s="230">
        <f ca="1" t="shared" si="31"/>
        <v>0.891564977159781</v>
      </c>
      <c r="AC160" s="230">
        <f ca="1" t="shared" si="32"/>
        <v>0.655423486696246</v>
      </c>
      <c r="AD160" s="230">
        <f ca="1" t="shared" si="33"/>
        <v>0.979530582712706</v>
      </c>
      <c r="AE160" s="230">
        <f ca="1" t="shared" si="34"/>
        <v>0.717189627724905</v>
      </c>
      <c r="AG160" s="12">
        <v>519</v>
      </c>
      <c r="AH160" s="231">
        <f ca="1" t="shared" si="35"/>
        <v>1.47027184963959e-5</v>
      </c>
      <c r="AI160" s="231">
        <f ca="1" t="shared" si="36"/>
        <v>0.0017178515937568</v>
      </c>
      <c r="AJ160" s="231">
        <f ca="1" t="shared" si="37"/>
        <v>0.00126285835586945</v>
      </c>
      <c r="AK160" s="231">
        <f ca="1" t="shared" si="38"/>
        <v>0.00188734216322294</v>
      </c>
      <c r="AL160" s="231">
        <f ca="1" t="shared" si="39"/>
        <v>0.00138186826151234</v>
      </c>
      <c r="AN160" s="12">
        <v>519</v>
      </c>
      <c r="AO160" s="231">
        <f ca="1" t="shared" si="40"/>
        <v>0.00646919613841419</v>
      </c>
      <c r="AP160" s="231">
        <f ca="1" t="shared" si="41"/>
        <v>0.93284804833585</v>
      </c>
      <c r="AQ160" s="231">
        <f ca="1" t="shared" si="42"/>
        <v>0.71891525804061</v>
      </c>
      <c r="AR160" s="231">
        <f ca="1" t="shared" si="43"/>
        <v>0.962042713133861</v>
      </c>
      <c r="AS160" s="231">
        <f ca="1" t="shared" si="44"/>
        <v>0.675425733925437</v>
      </c>
    </row>
    <row r="161" ht="15" hidden="1" customHeight="1" spans="3:45">
      <c r="C161" s="221"/>
      <c r="D161" s="221"/>
      <c r="E161" s="221"/>
      <c r="F161" s="221"/>
      <c r="G161" s="221"/>
      <c r="I161" s="12">
        <v>520</v>
      </c>
      <c r="J161" s="230">
        <v>0.71</v>
      </c>
      <c r="L161" s="12">
        <v>520</v>
      </c>
      <c r="M161" s="230">
        <v>0.0176298</v>
      </c>
      <c r="N161" s="230">
        <v>0.889214</v>
      </c>
      <c r="O161" s="230">
        <v>0.675313</v>
      </c>
      <c r="P161" s="231">
        <v>0.935</v>
      </c>
      <c r="Q161" s="230">
        <v>0.699628</v>
      </c>
      <c r="S161" s="12">
        <v>520</v>
      </c>
      <c r="T161" s="230">
        <v>0.00690996742458642</v>
      </c>
      <c r="U161" s="230">
        <v>0.899042039582496</v>
      </c>
      <c r="V161" s="230">
        <v>0.665453938830569</v>
      </c>
      <c r="W161" s="231">
        <v>0.97473149728669</v>
      </c>
      <c r="X161" s="230">
        <v>0.699627706531951</v>
      </c>
      <c r="Z161" s="12">
        <v>520</v>
      </c>
      <c r="AA161" s="230">
        <f ca="1" t="shared" si="30"/>
        <v>0.00690996742458642</v>
      </c>
      <c r="AB161" s="230">
        <f ca="1" t="shared" si="31"/>
        <v>0.899042039582496</v>
      </c>
      <c r="AC161" s="230">
        <f ca="1" t="shared" si="32"/>
        <v>0.665453938830569</v>
      </c>
      <c r="AD161" s="230">
        <f ca="1" t="shared" si="33"/>
        <v>0.97473149728669</v>
      </c>
      <c r="AE161" s="230">
        <f ca="1" t="shared" si="34"/>
        <v>0.699627706531951</v>
      </c>
      <c r="AG161" s="12">
        <v>520</v>
      </c>
      <c r="AH161" s="231">
        <f ca="1" t="shared" si="35"/>
        <v>1.32883988934354e-5</v>
      </c>
      <c r="AI161" s="231">
        <f ca="1" t="shared" si="36"/>
        <v>0.00172892699919711</v>
      </c>
      <c r="AJ161" s="231">
        <f ca="1" t="shared" si="37"/>
        <v>0.00127971911313571</v>
      </c>
      <c r="AK161" s="231">
        <f ca="1" t="shared" si="38"/>
        <v>0.00187448364862825</v>
      </c>
      <c r="AL161" s="231">
        <f ca="1" t="shared" si="39"/>
        <v>0.00134543789717683</v>
      </c>
      <c r="AN161" s="12">
        <v>520</v>
      </c>
      <c r="AO161" s="231">
        <f ca="1" t="shared" si="40"/>
        <v>0.00584689551311159</v>
      </c>
      <c r="AP161" s="231">
        <f ca="1" t="shared" si="41"/>
        <v>0.938862345721645</v>
      </c>
      <c r="AQ161" s="231">
        <f ca="1" t="shared" si="42"/>
        <v>0.728513686561507</v>
      </c>
      <c r="AR161" s="231">
        <f ca="1" t="shared" si="43"/>
        <v>0.955488289400528</v>
      </c>
      <c r="AS161" s="231">
        <f ca="1" t="shared" si="44"/>
        <v>0.657619401546433</v>
      </c>
    </row>
    <row r="162" ht="15" hidden="1" customHeight="1" spans="3:45">
      <c r="C162" s="221"/>
      <c r="D162" s="221"/>
      <c r="E162" s="221"/>
      <c r="F162" s="221"/>
      <c r="G162" s="221"/>
      <c r="I162" s="12">
        <v>521</v>
      </c>
      <c r="J162" s="230">
        <v>0.7281852</v>
      </c>
      <c r="L162" s="12">
        <v>521</v>
      </c>
      <c r="M162" s="230">
        <v>0.0161501</v>
      </c>
      <c r="N162" s="230">
        <v>0.900812</v>
      </c>
      <c r="O162" s="230">
        <v>0.688975</v>
      </c>
      <c r="P162" s="231">
        <v>0.925</v>
      </c>
      <c r="Q162" s="230">
        <v>0.681888</v>
      </c>
      <c r="S162" s="12">
        <v>521</v>
      </c>
      <c r="T162" s="230">
        <v>0.00625685369615746</v>
      </c>
      <c r="U162" s="230">
        <v>0.906122678306612</v>
      </c>
      <c r="V162" s="230">
        <v>0.675286394884658</v>
      </c>
      <c r="W162" s="231">
        <v>0.969185705249299</v>
      </c>
      <c r="X162" s="230">
        <v>0.68175447922459</v>
      </c>
      <c r="Z162" s="12">
        <v>521</v>
      </c>
      <c r="AA162" s="230">
        <f ca="1" t="shared" si="30"/>
        <v>0.00625685369615746</v>
      </c>
      <c r="AB162" s="230">
        <f ca="1" t="shared" si="31"/>
        <v>0.906122678306612</v>
      </c>
      <c r="AC162" s="230">
        <f ca="1" t="shared" si="32"/>
        <v>0.675286394884658</v>
      </c>
      <c r="AD162" s="230">
        <f ca="1" t="shared" si="33"/>
        <v>0.969185705249299</v>
      </c>
      <c r="AE162" s="230">
        <f ca="1" t="shared" si="34"/>
        <v>0.68175447922459</v>
      </c>
      <c r="AG162" s="12">
        <v>521</v>
      </c>
      <c r="AH162" s="231">
        <f ca="1" t="shared" si="35"/>
        <v>1.20093161154654e-5</v>
      </c>
      <c r="AI162" s="231">
        <f ca="1" t="shared" si="36"/>
        <v>0.00173919899866912</v>
      </c>
      <c r="AJ162" s="231">
        <f ca="1" t="shared" si="37"/>
        <v>0.00129613511494176</v>
      </c>
      <c r="AK162" s="231">
        <f ca="1" t="shared" si="38"/>
        <v>0.00186024127687006</v>
      </c>
      <c r="AL162" s="231">
        <f ca="1" t="shared" si="39"/>
        <v>0.00130854986415468</v>
      </c>
      <c r="AN162" s="12">
        <v>521</v>
      </c>
      <c r="AO162" s="231">
        <f ca="1" t="shared" si="40"/>
        <v>0.00528409909080477</v>
      </c>
      <c r="AP162" s="231">
        <f ca="1" t="shared" si="41"/>
        <v>0.944440368115896</v>
      </c>
      <c r="AQ162" s="231">
        <f ca="1" t="shared" si="42"/>
        <v>0.737858926365751</v>
      </c>
      <c r="AR162" s="231">
        <f ca="1" t="shared" si="43"/>
        <v>0.948228466441709</v>
      </c>
      <c r="AS162" s="231">
        <f ca="1" t="shared" si="44"/>
        <v>0.639589371136891</v>
      </c>
    </row>
    <row r="163" ht="15" hidden="1" customHeight="1" spans="3:45">
      <c r="C163" s="221"/>
      <c r="D163" s="221"/>
      <c r="E163" s="221"/>
      <c r="F163" s="221"/>
      <c r="G163" s="221"/>
      <c r="I163" s="12">
        <v>522</v>
      </c>
      <c r="J163" s="230">
        <v>0.7454636</v>
      </c>
      <c r="L163" s="12">
        <v>522</v>
      </c>
      <c r="M163" s="230">
        <v>0.0147911</v>
      </c>
      <c r="N163" s="230">
        <v>0.911006</v>
      </c>
      <c r="O163" s="230">
        <v>0.701886</v>
      </c>
      <c r="P163" s="231">
        <v>0.915</v>
      </c>
      <c r="Q163" s="230">
        <v>0.663881</v>
      </c>
      <c r="S163" s="12">
        <v>522</v>
      </c>
      <c r="T163" s="230">
        <v>0.00566647529959763</v>
      </c>
      <c r="U163" s="230">
        <v>0.91300677448649</v>
      </c>
      <c r="V163" s="230">
        <v>0.685070079371696</v>
      </c>
      <c r="W163" s="231">
        <v>0.963114674411399</v>
      </c>
      <c r="X163" s="230">
        <v>0.663767524050751</v>
      </c>
      <c r="Z163" s="12">
        <v>522</v>
      </c>
      <c r="AA163" s="230">
        <f ca="1" t="shared" si="30"/>
        <v>0.00566647529959763</v>
      </c>
      <c r="AB163" s="230">
        <f ca="1" t="shared" si="31"/>
        <v>0.91300677448649</v>
      </c>
      <c r="AC163" s="230">
        <f ca="1" t="shared" si="32"/>
        <v>0.685070079371696</v>
      </c>
      <c r="AD163" s="230">
        <f ca="1" t="shared" si="33"/>
        <v>0.963114674411399</v>
      </c>
      <c r="AE163" s="230">
        <f ca="1" t="shared" si="34"/>
        <v>0.663767524050751</v>
      </c>
      <c r="AG163" s="12">
        <v>522</v>
      </c>
      <c r="AH163" s="231">
        <f ca="1" t="shared" si="35"/>
        <v>1.08553166658958e-5</v>
      </c>
      <c r="AI163" s="231">
        <f ca="1" t="shared" si="36"/>
        <v>0.00174905512353734</v>
      </c>
      <c r="AJ163" s="231">
        <f ca="1" t="shared" si="37"/>
        <v>0.00131239478806838</v>
      </c>
      <c r="AK163" s="231">
        <f ca="1" t="shared" si="38"/>
        <v>0.00184504726898735</v>
      </c>
      <c r="AL163" s="231">
        <f ca="1" t="shared" si="39"/>
        <v>0.00127158529511638</v>
      </c>
      <c r="AN163" s="12">
        <v>522</v>
      </c>
      <c r="AO163" s="231">
        <f ca="1" t="shared" si="40"/>
        <v>0.00477633933299417</v>
      </c>
      <c r="AP163" s="231">
        <f ca="1" t="shared" si="41"/>
        <v>0.949792557374202</v>
      </c>
      <c r="AQ163" s="231">
        <f ca="1" t="shared" si="42"/>
        <v>0.747115171966971</v>
      </c>
      <c r="AR163" s="231">
        <f ca="1" t="shared" si="43"/>
        <v>0.940483562072122</v>
      </c>
      <c r="AS163" s="231">
        <f ca="1" t="shared" si="44"/>
        <v>0.621521931665774</v>
      </c>
    </row>
    <row r="164" ht="15" hidden="1" customHeight="1" spans="3:45">
      <c r="C164" s="221"/>
      <c r="D164" s="221"/>
      <c r="E164" s="221"/>
      <c r="F164" s="221"/>
      <c r="G164" s="221"/>
      <c r="I164" s="12">
        <v>523</v>
      </c>
      <c r="J164" s="230">
        <v>0.7619694</v>
      </c>
      <c r="L164" s="12">
        <v>523</v>
      </c>
      <c r="M164" s="230">
        <v>0.0135407</v>
      </c>
      <c r="N164" s="230">
        <v>0.919968</v>
      </c>
      <c r="O164" s="230">
        <v>0.71414</v>
      </c>
      <c r="P164" s="231">
        <v>0.904</v>
      </c>
      <c r="Q164" s="230">
        <v>0.645724</v>
      </c>
      <c r="S164" s="12">
        <v>523</v>
      </c>
      <c r="T164" s="230">
        <v>0.00513277231749071</v>
      </c>
      <c r="U164" s="230">
        <v>0.919684781396721</v>
      </c>
      <c r="V164" s="230">
        <v>0.694797104662516</v>
      </c>
      <c r="W164" s="231">
        <v>0.95651327109073</v>
      </c>
      <c r="X164" s="230">
        <v>0.64569585724306</v>
      </c>
      <c r="Z164" s="12">
        <v>523</v>
      </c>
      <c r="AA164" s="230">
        <f ca="1" t="shared" si="30"/>
        <v>0.00513277231749071</v>
      </c>
      <c r="AB164" s="230">
        <f ca="1" t="shared" si="31"/>
        <v>0.919684781396721</v>
      </c>
      <c r="AC164" s="230">
        <f ca="1" t="shared" si="32"/>
        <v>0.694797104662516</v>
      </c>
      <c r="AD164" s="230">
        <f ca="1" t="shared" si="33"/>
        <v>0.95651327109073</v>
      </c>
      <c r="AE164" s="230">
        <f ca="1" t="shared" si="34"/>
        <v>0.64569585724306</v>
      </c>
      <c r="AG164" s="12">
        <v>523</v>
      </c>
      <c r="AH164" s="231">
        <f ca="1" t="shared" si="35"/>
        <v>9.81409620935126e-6</v>
      </c>
      <c r="AI164" s="231">
        <f ca="1" t="shared" si="36"/>
        <v>0.00175847950553866</v>
      </c>
      <c r="AJ164" s="231">
        <f ca="1" t="shared" si="37"/>
        <v>0.00132848394772948</v>
      </c>
      <c r="AK164" s="231">
        <f ca="1" t="shared" si="38"/>
        <v>0.0018288972678599</v>
      </c>
      <c r="AL164" s="231">
        <f ca="1" t="shared" si="39"/>
        <v>0.00123460010945136</v>
      </c>
      <c r="AN164" s="12">
        <v>523</v>
      </c>
      <c r="AO164" s="231">
        <f ca="1" t="shared" si="40"/>
        <v>0.00431820233211455</v>
      </c>
      <c r="AP164" s="231">
        <f ca="1" t="shared" si="41"/>
        <v>0.954910296525046</v>
      </c>
      <c r="AQ164" s="231">
        <f ca="1" t="shared" si="42"/>
        <v>0.756274348303456</v>
      </c>
      <c r="AR164" s="231">
        <f ca="1" t="shared" si="43"/>
        <v>0.932251355318877</v>
      </c>
      <c r="AS164" s="231">
        <f ca="1" t="shared" si="44"/>
        <v>0.603444415257062</v>
      </c>
    </row>
    <row r="165" ht="15" hidden="1" customHeight="1" spans="3:45">
      <c r="C165" s="221"/>
      <c r="D165" s="221"/>
      <c r="E165" s="221"/>
      <c r="F165" s="221"/>
      <c r="G165" s="221"/>
      <c r="I165" s="12">
        <v>524</v>
      </c>
      <c r="J165" s="230">
        <v>0.7778368</v>
      </c>
      <c r="L165" s="12">
        <v>524</v>
      </c>
      <c r="M165" s="230">
        <v>0.0123884</v>
      </c>
      <c r="N165" s="230">
        <v>0.92789</v>
      </c>
      <c r="O165" s="230">
        <v>0.725841</v>
      </c>
      <c r="P165" s="231">
        <v>0.892</v>
      </c>
      <c r="Q165" s="230">
        <v>0.627533</v>
      </c>
      <c r="S165" s="12">
        <v>524</v>
      </c>
      <c r="T165" s="230">
        <v>0.00465026818765883</v>
      </c>
      <c r="U165" s="230">
        <v>0.926149293996065</v>
      </c>
      <c r="V165" s="230">
        <v>0.704464317281373</v>
      </c>
      <c r="W165" s="231">
        <v>0.949386386577189</v>
      </c>
      <c r="X165" s="230">
        <v>0.627569747633299</v>
      </c>
      <c r="Z165" s="12">
        <v>524</v>
      </c>
      <c r="AA165" s="230">
        <f ca="1" t="shared" si="30"/>
        <v>0.00465026818765883</v>
      </c>
      <c r="AB165" s="230">
        <f ca="1" t="shared" si="31"/>
        <v>0.926149293996065</v>
      </c>
      <c r="AC165" s="230">
        <f ca="1" t="shared" si="32"/>
        <v>0.704464317281373</v>
      </c>
      <c r="AD165" s="230">
        <f ca="1" t="shared" si="33"/>
        <v>0.949386386577189</v>
      </c>
      <c r="AE165" s="230">
        <f ca="1" t="shared" si="34"/>
        <v>0.627569747633299</v>
      </c>
      <c r="AG165" s="12">
        <v>524</v>
      </c>
      <c r="AH165" s="231">
        <f ca="1" t="shared" si="35"/>
        <v>8.87455761003594e-6</v>
      </c>
      <c r="AI165" s="231">
        <f ca="1" t="shared" si="36"/>
        <v>0.00176746048472532</v>
      </c>
      <c r="AJ165" s="231">
        <f ca="1" t="shared" si="37"/>
        <v>0.00134439755206369</v>
      </c>
      <c r="AK165" s="231">
        <f ca="1" t="shared" si="38"/>
        <v>0.00181180608125418</v>
      </c>
      <c r="AL165" s="231">
        <f ca="1" t="shared" si="39"/>
        <v>0.00119765219013988</v>
      </c>
      <c r="AN165" s="12">
        <v>524</v>
      </c>
      <c r="AO165" s="231">
        <f ca="1" t="shared" si="40"/>
        <v>0.00390480534841581</v>
      </c>
      <c r="AP165" s="231">
        <f ca="1" t="shared" si="41"/>
        <v>0.959787253845958</v>
      </c>
      <c r="AQ165" s="231">
        <f ca="1" t="shared" si="42"/>
        <v>0.765333585163325</v>
      </c>
      <c r="AR165" s="231">
        <f ca="1" t="shared" si="43"/>
        <v>0.923539394205916</v>
      </c>
      <c r="AS165" s="231">
        <f ca="1" t="shared" si="44"/>
        <v>0.585385113793217</v>
      </c>
    </row>
    <row r="166" ht="15" hidden="1" customHeight="1" spans="3:45">
      <c r="C166" s="221"/>
      <c r="D166" s="221"/>
      <c r="E166" s="221"/>
      <c r="F166" s="221"/>
      <c r="G166" s="221"/>
      <c r="I166" s="12">
        <v>525</v>
      </c>
      <c r="J166" s="230">
        <v>0.7932</v>
      </c>
      <c r="L166" s="12">
        <v>525</v>
      </c>
      <c r="M166" s="230">
        <v>0.0113252</v>
      </c>
      <c r="N166" s="230">
        <v>0.934977</v>
      </c>
      <c r="O166" s="230">
        <v>0.737108</v>
      </c>
      <c r="P166" s="231">
        <v>0.88</v>
      </c>
      <c r="Q166" s="230">
        <v>0.609422</v>
      </c>
      <c r="S166" s="12">
        <v>525</v>
      </c>
      <c r="T166" s="230">
        <v>0.00421401425122854</v>
      </c>
      <c r="U166" s="230">
        <v>0.932395137540633</v>
      </c>
      <c r="V166" s="230">
        <v>0.714068705057427</v>
      </c>
      <c r="W166" s="231">
        <v>0.941729120405226</v>
      </c>
      <c r="X166" s="230">
        <v>0.609421820237466</v>
      </c>
      <c r="Z166" s="12">
        <v>525</v>
      </c>
      <c r="AA166" s="230">
        <f ca="1" t="shared" si="30"/>
        <v>0.00421401425122854</v>
      </c>
      <c r="AB166" s="230">
        <f ca="1" t="shared" si="31"/>
        <v>0.932395137540633</v>
      </c>
      <c r="AC166" s="230">
        <f ca="1" t="shared" si="32"/>
        <v>0.714068705057427</v>
      </c>
      <c r="AD166" s="230">
        <f ca="1" t="shared" si="33"/>
        <v>0.941729120405226</v>
      </c>
      <c r="AE166" s="230">
        <f ca="1" t="shared" si="34"/>
        <v>0.609421820237466</v>
      </c>
      <c r="AG166" s="12">
        <v>525</v>
      </c>
      <c r="AH166" s="231">
        <f ca="1" t="shared" si="35"/>
        <v>8.02669381186388e-6</v>
      </c>
      <c r="AI166" s="231">
        <f ca="1" t="shared" si="36"/>
        <v>0.00177599073817263</v>
      </c>
      <c r="AJ166" s="231">
        <f ca="1" t="shared" si="37"/>
        <v>0.00136013086677605</v>
      </c>
      <c r="AK166" s="231">
        <f ca="1" t="shared" si="38"/>
        <v>0.00179376975315281</v>
      </c>
      <c r="AL166" s="231">
        <f ca="1" t="shared" si="39"/>
        <v>0.00116080346711898</v>
      </c>
      <c r="AN166" s="12">
        <v>525</v>
      </c>
      <c r="AO166" s="231">
        <f ca="1" t="shared" si="40"/>
        <v>0.00353174527722011</v>
      </c>
      <c r="AP166" s="231">
        <f ca="1" t="shared" si="41"/>
        <v>0.964419452755958</v>
      </c>
      <c r="AQ166" s="231">
        <f ca="1" t="shared" si="42"/>
        <v>0.774290187424934</v>
      </c>
      <c r="AR166" s="231">
        <f ca="1" t="shared" si="43"/>
        <v>0.914345662216175</v>
      </c>
      <c r="AS166" s="231">
        <f ca="1" t="shared" si="44"/>
        <v>0.567374297216992</v>
      </c>
    </row>
    <row r="167" ht="15" hidden="1" customHeight="1" spans="3:45">
      <c r="C167" s="221"/>
      <c r="D167" s="221"/>
      <c r="E167" s="221"/>
      <c r="F167" s="221"/>
      <c r="G167" s="221"/>
      <c r="I167" s="12">
        <v>526</v>
      </c>
      <c r="J167" s="230">
        <v>0.8081104</v>
      </c>
      <c r="L167" s="12">
        <v>526</v>
      </c>
      <c r="M167" s="230">
        <v>0.0103437</v>
      </c>
      <c r="N167" s="230">
        <v>0.941414</v>
      </c>
      <c r="O167" s="230">
        <v>0.748046</v>
      </c>
      <c r="P167" s="231">
        <v>0.867</v>
      </c>
      <c r="Q167" s="230">
        <v>0.591339</v>
      </c>
      <c r="S167" s="12">
        <v>526</v>
      </c>
      <c r="T167" s="230">
        <v>0.0038195394501359</v>
      </c>
      <c r="U167" s="230">
        <v>0.93841512727141</v>
      </c>
      <c r="V167" s="230">
        <v>0.723602402280251</v>
      </c>
      <c r="W167" s="231">
        <v>0.933548746185976</v>
      </c>
      <c r="X167" s="230">
        <v>0.5912797423135</v>
      </c>
      <c r="Z167" s="12">
        <v>526</v>
      </c>
      <c r="AA167" s="230">
        <f ca="1" t="shared" si="30"/>
        <v>0.0038195394501359</v>
      </c>
      <c r="AB167" s="230">
        <f ca="1" t="shared" si="31"/>
        <v>0.93841512727141</v>
      </c>
      <c r="AC167" s="230">
        <f ca="1" t="shared" si="32"/>
        <v>0.723602402280251</v>
      </c>
      <c r="AD167" s="230">
        <f ca="1" t="shared" si="33"/>
        <v>0.933548746185976</v>
      </c>
      <c r="AE167" s="230">
        <f ca="1" t="shared" si="34"/>
        <v>0.5912797423135</v>
      </c>
      <c r="AG167" s="12">
        <v>526</v>
      </c>
      <c r="AH167" s="231">
        <f ca="1" t="shared" si="35"/>
        <v>7.26148184436483e-6</v>
      </c>
      <c r="AI167" s="231">
        <f ca="1" t="shared" si="36"/>
        <v>0.00178405917732207</v>
      </c>
      <c r="AJ167" s="231">
        <f ca="1" t="shared" si="37"/>
        <v>0.00137566996631226</v>
      </c>
      <c r="AK167" s="231">
        <f ca="1" t="shared" si="38"/>
        <v>0.00177480750225471</v>
      </c>
      <c r="AL167" s="231">
        <f ca="1" t="shared" si="39"/>
        <v>0.00112410597398004</v>
      </c>
      <c r="AN167" s="12">
        <v>526</v>
      </c>
      <c r="AO167" s="231">
        <f ca="1" t="shared" si="40"/>
        <v>0.00319505201152053</v>
      </c>
      <c r="AP167" s="231">
        <f ca="1" t="shared" si="41"/>
        <v>0.968800871815104</v>
      </c>
      <c r="AQ167" s="231">
        <f ca="1" t="shared" si="42"/>
        <v>0.783136227601074</v>
      </c>
      <c r="AR167" s="231">
        <f ca="1" t="shared" si="43"/>
        <v>0.904679955776392</v>
      </c>
      <c r="AS167" s="231">
        <f ca="1" t="shared" si="44"/>
        <v>0.549437398362777</v>
      </c>
    </row>
    <row r="168" ht="15" hidden="1" customHeight="1" spans="3:45">
      <c r="C168" s="221"/>
      <c r="D168" s="221"/>
      <c r="E168" s="221"/>
      <c r="F168" s="221"/>
      <c r="G168" s="221"/>
      <c r="I168" s="12">
        <v>527</v>
      </c>
      <c r="J168" s="230">
        <v>0.8224962</v>
      </c>
      <c r="L168" s="12">
        <v>527</v>
      </c>
      <c r="M168" s="230">
        <v>0.00944092</v>
      </c>
      <c r="N168" s="230">
        <v>0.947279</v>
      </c>
      <c r="O168" s="230">
        <v>0.758684</v>
      </c>
      <c r="P168" s="231">
        <v>0.854</v>
      </c>
      <c r="Q168" s="230">
        <v>0.573207</v>
      </c>
      <c r="S168" s="12">
        <v>527</v>
      </c>
      <c r="T168" s="230">
        <v>0.00346278876674324</v>
      </c>
      <c r="U168" s="230">
        <v>0.944200008489351</v>
      </c>
      <c r="V168" s="230">
        <v>0.733064181815485</v>
      </c>
      <c r="W168" s="231">
        <v>0.924845100149539</v>
      </c>
      <c r="X168" s="230">
        <v>0.573170724379929</v>
      </c>
      <c r="Z168" s="12">
        <v>527</v>
      </c>
      <c r="AA168" s="230">
        <f ca="1" t="shared" si="30"/>
        <v>0.00346278876674324</v>
      </c>
      <c r="AB168" s="230">
        <f ca="1" t="shared" si="31"/>
        <v>0.944200008489351</v>
      </c>
      <c r="AC168" s="230">
        <f ca="1" t="shared" si="32"/>
        <v>0.733064181815485</v>
      </c>
      <c r="AD168" s="230">
        <f ca="1" t="shared" si="33"/>
        <v>0.924845100149539</v>
      </c>
      <c r="AE168" s="230">
        <f ca="1" t="shared" si="34"/>
        <v>0.573170724379929</v>
      </c>
      <c r="AG168" s="12">
        <v>527</v>
      </c>
      <c r="AH168" s="231">
        <f ca="1" t="shared" si="35"/>
        <v>6.57075667313708e-6</v>
      </c>
      <c r="AI168" s="231">
        <f ca="1" t="shared" si="36"/>
        <v>0.00179165086999877</v>
      </c>
      <c r="AJ168" s="231">
        <f ca="1" t="shared" si="37"/>
        <v>0.00139101362773337</v>
      </c>
      <c r="AK168" s="231">
        <f ca="1" t="shared" si="38"/>
        <v>0.0017549242887088</v>
      </c>
      <c r="AL168" s="231">
        <f ca="1" t="shared" si="39"/>
        <v>0.00108761048269436</v>
      </c>
      <c r="AN168" s="12">
        <v>527</v>
      </c>
      <c r="AO168" s="231">
        <f ca="1" t="shared" si="40"/>
        <v>0.00289113293618031</v>
      </c>
      <c r="AP168" s="231">
        <f ca="1" t="shared" si="41"/>
        <v>0.972923402377557</v>
      </c>
      <c r="AQ168" s="231">
        <f ca="1" t="shared" si="42"/>
        <v>0.791871009501651</v>
      </c>
      <c r="AR168" s="231">
        <f ca="1" t="shared" si="43"/>
        <v>0.894544803243765</v>
      </c>
      <c r="AS168" s="231">
        <f ca="1" t="shared" si="44"/>
        <v>0.531599233413812</v>
      </c>
    </row>
    <row r="169" ht="15" hidden="1" customHeight="1" spans="3:45">
      <c r="C169" s="221"/>
      <c r="D169" s="221"/>
      <c r="E169" s="221"/>
      <c r="F169" s="221"/>
      <c r="G169" s="221"/>
      <c r="I169" s="12">
        <v>528</v>
      </c>
      <c r="J169" s="230">
        <v>0.8363068</v>
      </c>
      <c r="L169" s="12">
        <v>528</v>
      </c>
      <c r="M169" s="230">
        <v>0.00861365</v>
      </c>
      <c r="N169" s="230">
        <v>0.952622</v>
      </c>
      <c r="O169" s="230">
        <v>0.769032</v>
      </c>
      <c r="P169" s="231">
        <v>0.84</v>
      </c>
      <c r="Q169" s="230">
        <v>0.555105</v>
      </c>
      <c r="S169" s="12">
        <v>528</v>
      </c>
      <c r="T169" s="230">
        <v>0.00314011822857271</v>
      </c>
      <c r="U169" s="230">
        <v>0.949742778453168</v>
      </c>
      <c r="V169" s="230">
        <v>0.742449638284289</v>
      </c>
      <c r="W169" s="231">
        <v>0.915625754701202</v>
      </c>
      <c r="X169" s="230">
        <v>0.555121438651106</v>
      </c>
      <c r="Z169" s="12">
        <v>528</v>
      </c>
      <c r="AA169" s="230">
        <f ca="1" t="shared" si="30"/>
        <v>0.00314011822857271</v>
      </c>
      <c r="AB169" s="230">
        <f ca="1" t="shared" si="31"/>
        <v>0.949742778453168</v>
      </c>
      <c r="AC169" s="230">
        <f ca="1" t="shared" si="32"/>
        <v>0.742449638284289</v>
      </c>
      <c r="AD169" s="230">
        <f ca="1" t="shared" si="33"/>
        <v>0.915625754701202</v>
      </c>
      <c r="AE169" s="230">
        <f ca="1" t="shared" si="34"/>
        <v>0.555121438651106</v>
      </c>
      <c r="AG169" s="12">
        <v>528</v>
      </c>
      <c r="AH169" s="231">
        <f ca="1" t="shared" si="35"/>
        <v>5.94719361472104e-6</v>
      </c>
      <c r="AI169" s="231">
        <f ca="1" t="shared" si="36"/>
        <v>0.00179875526222191</v>
      </c>
      <c r="AJ169" s="231">
        <f ca="1" t="shared" si="37"/>
        <v>0.00140615461796267</v>
      </c>
      <c r="AK169" s="231">
        <f ca="1" t="shared" si="38"/>
        <v>0.00173413968693409</v>
      </c>
      <c r="AL169" s="231">
        <f ca="1" t="shared" si="39"/>
        <v>0.00105136636108164</v>
      </c>
      <c r="AN169" s="12">
        <v>528</v>
      </c>
      <c r="AO169" s="231">
        <f ca="1" t="shared" si="40"/>
        <v>0.00261676519047726</v>
      </c>
      <c r="AP169" s="231">
        <f ca="1" t="shared" si="41"/>
        <v>0.976781313296087</v>
      </c>
      <c r="AQ169" s="231">
        <f ca="1" t="shared" si="42"/>
        <v>0.800490415507952</v>
      </c>
      <c r="AR169" s="231">
        <f ca="1" t="shared" si="43"/>
        <v>0.883950182367707</v>
      </c>
      <c r="AS169" s="231">
        <f ca="1" t="shared" si="44"/>
        <v>0.513883932235997</v>
      </c>
    </row>
    <row r="170" ht="15" hidden="1" customHeight="1" spans="3:45">
      <c r="C170" s="221"/>
      <c r="D170" s="221"/>
      <c r="E170" s="221"/>
      <c r="F170" s="221"/>
      <c r="G170" s="221"/>
      <c r="I170" s="12">
        <v>529</v>
      </c>
      <c r="J170" s="230">
        <v>0.8494916</v>
      </c>
      <c r="L170" s="12">
        <v>529</v>
      </c>
      <c r="M170" s="230">
        <v>0.00785831</v>
      </c>
      <c r="N170" s="230">
        <v>0.957498</v>
      </c>
      <c r="O170" s="230">
        <v>0.779099</v>
      </c>
      <c r="P170" s="231">
        <v>0.826</v>
      </c>
      <c r="Q170" s="230">
        <v>0.537112</v>
      </c>
      <c r="S170" s="12">
        <v>529</v>
      </c>
      <c r="T170" s="230">
        <v>0.00284822962953604</v>
      </c>
      <c r="U170" s="230">
        <v>0.955036566067956</v>
      </c>
      <c r="V170" s="230">
        <v>0.751752705902091</v>
      </c>
      <c r="W170" s="231">
        <v>0.905895286565104</v>
      </c>
      <c r="X170" s="230">
        <v>0.53715917729999</v>
      </c>
      <c r="Z170" s="12">
        <v>529</v>
      </c>
      <c r="AA170" s="230">
        <f ca="1" t="shared" si="30"/>
        <v>0.00284822962953604</v>
      </c>
      <c r="AB170" s="230">
        <f ca="1" t="shared" si="31"/>
        <v>0.955036566067956</v>
      </c>
      <c r="AC170" s="230">
        <f ca="1" t="shared" si="32"/>
        <v>0.751752705902091</v>
      </c>
      <c r="AD170" s="230">
        <f ca="1" t="shared" si="33"/>
        <v>0.905895286565104</v>
      </c>
      <c r="AE170" s="230">
        <f ca="1" t="shared" si="34"/>
        <v>0.53715917729999</v>
      </c>
      <c r="AG170" s="12">
        <v>529</v>
      </c>
      <c r="AH170" s="231">
        <f ca="1" t="shared" si="35"/>
        <v>5.38417699345187e-6</v>
      </c>
      <c r="AI170" s="231">
        <f ca="1" t="shared" si="36"/>
        <v>0.00180536212867288</v>
      </c>
      <c r="AJ170" s="231">
        <f ca="1" t="shared" si="37"/>
        <v>0.00142108261985272</v>
      </c>
      <c r="AK170" s="231">
        <f ca="1" t="shared" si="38"/>
        <v>0.00171246746042553</v>
      </c>
      <c r="AL170" s="231">
        <f ca="1" t="shared" si="39"/>
        <v>0.00101542377561435</v>
      </c>
      <c r="AN170" s="12">
        <v>529</v>
      </c>
      <c r="AO170" s="231">
        <f ca="1" t="shared" si="40"/>
        <v>0.00236903787711882</v>
      </c>
      <c r="AP170" s="231">
        <f ca="1" t="shared" si="41"/>
        <v>0.980369051897493</v>
      </c>
      <c r="AQ170" s="231">
        <f ca="1" t="shared" si="42"/>
        <v>0.80898857231306</v>
      </c>
      <c r="AR170" s="231">
        <f ca="1" t="shared" si="43"/>
        <v>0.87290310887132</v>
      </c>
      <c r="AS170" s="231">
        <f ca="1" t="shared" si="44"/>
        <v>0.496316015058526</v>
      </c>
    </row>
    <row r="171" ht="15" hidden="1" customHeight="1" spans="3:45">
      <c r="C171" s="221"/>
      <c r="D171" s="221"/>
      <c r="E171" s="221"/>
      <c r="F171" s="221"/>
      <c r="G171" s="221"/>
      <c r="I171" s="12">
        <v>530</v>
      </c>
      <c r="J171" s="230">
        <v>0.862</v>
      </c>
      <c r="L171" s="12">
        <v>530</v>
      </c>
      <c r="M171" s="230">
        <v>0.00717089</v>
      </c>
      <c r="N171" s="230">
        <v>0.961962</v>
      </c>
      <c r="O171" s="230">
        <v>0.7889</v>
      </c>
      <c r="P171" s="231">
        <v>0.811</v>
      </c>
      <c r="Q171" s="230">
        <v>0.519309</v>
      </c>
      <c r="S171" s="12">
        <v>530</v>
      </c>
      <c r="T171" s="230">
        <v>0.00258412787011016</v>
      </c>
      <c r="U171" s="230">
        <v>0.96007243349852</v>
      </c>
      <c r="V171" s="230">
        <v>0.760969061248013</v>
      </c>
      <c r="W171" s="231">
        <v>0.895659630551339</v>
      </c>
      <c r="X171" s="230">
        <v>0.51930918020328</v>
      </c>
      <c r="Z171" s="12">
        <v>530</v>
      </c>
      <c r="AA171" s="230">
        <f ca="1" t="shared" si="30"/>
        <v>0.00258412787011016</v>
      </c>
      <c r="AB171" s="230">
        <f ca="1" t="shared" si="31"/>
        <v>0.96007243349852</v>
      </c>
      <c r="AC171" s="230">
        <f ca="1" t="shared" si="32"/>
        <v>0.760969061248013</v>
      </c>
      <c r="AD171" s="230">
        <f ca="1" t="shared" si="33"/>
        <v>0.895659630551339</v>
      </c>
      <c r="AE171" s="230">
        <f ca="1" t="shared" si="34"/>
        <v>0.51930918020328</v>
      </c>
      <c r="AG171" s="12">
        <v>530</v>
      </c>
      <c r="AH171" s="231">
        <f ca="1" t="shared" si="35"/>
        <v>4.875712962472e-6</v>
      </c>
      <c r="AI171" s="231">
        <f ca="1" t="shared" si="36"/>
        <v>0.00181145742169532</v>
      </c>
      <c r="AJ171" s="231">
        <f ca="1" t="shared" si="37"/>
        <v>0.00143579068160002</v>
      </c>
      <c r="AK171" s="231">
        <f ca="1" t="shared" si="38"/>
        <v>0.00168992383122894</v>
      </c>
      <c r="AL171" s="231">
        <f ca="1" t="shared" si="39"/>
        <v>0.000979828641892981</v>
      </c>
      <c r="AN171" s="12">
        <v>530</v>
      </c>
      <c r="AO171" s="231">
        <f ca="1" t="shared" si="40"/>
        <v>0.00214531370348768</v>
      </c>
      <c r="AP171" s="231">
        <f ca="1" t="shared" si="41"/>
        <v>0.983678989857605</v>
      </c>
      <c r="AQ171" s="231">
        <f ca="1" t="shared" si="42"/>
        <v>0.817361522420404</v>
      </c>
      <c r="AR171" s="231">
        <f ca="1" t="shared" si="43"/>
        <v>0.861411851685007</v>
      </c>
      <c r="AS171" s="231">
        <f ca="1" t="shared" si="44"/>
        <v>0.478917924381188</v>
      </c>
    </row>
    <row r="172" ht="15" hidden="1" customHeight="1" spans="3:45">
      <c r="C172" s="221"/>
      <c r="D172" s="221"/>
      <c r="E172" s="221"/>
      <c r="F172" s="221"/>
      <c r="G172" s="221"/>
      <c r="I172" s="12">
        <v>531</v>
      </c>
      <c r="J172" s="230">
        <v>0.8738108</v>
      </c>
      <c r="L172" s="12">
        <v>531</v>
      </c>
      <c r="M172" s="230">
        <v>0.00654648</v>
      </c>
      <c r="N172" s="230">
        <v>0.96608</v>
      </c>
      <c r="O172" s="230">
        <v>0.798472</v>
      </c>
      <c r="P172" s="231">
        <v>0.796</v>
      </c>
      <c r="Q172" s="230">
        <v>0.501645</v>
      </c>
      <c r="S172" s="12">
        <v>531</v>
      </c>
      <c r="T172" s="230">
        <v>0.0023451358188412</v>
      </c>
      <c r="U172" s="230">
        <v>0.964841555143212</v>
      </c>
      <c r="V172" s="230">
        <v>0.770096234767972</v>
      </c>
      <c r="W172" s="231">
        <v>0.884930166345189</v>
      </c>
      <c r="X172" s="230">
        <v>0.501593615534354</v>
      </c>
      <c r="Z172" s="12">
        <v>531</v>
      </c>
      <c r="AA172" s="230">
        <f ca="1" t="shared" si="30"/>
        <v>0.0023451358188412</v>
      </c>
      <c r="AB172" s="230">
        <f ca="1" t="shared" si="31"/>
        <v>0.964841555143212</v>
      </c>
      <c r="AC172" s="230">
        <f ca="1" t="shared" si="32"/>
        <v>0.770096234767972</v>
      </c>
      <c r="AD172" s="230">
        <f ca="1" t="shared" si="33"/>
        <v>0.884930166345189</v>
      </c>
      <c r="AE172" s="230">
        <f ca="1" t="shared" si="34"/>
        <v>0.501593615534354</v>
      </c>
      <c r="AG172" s="12">
        <v>531</v>
      </c>
      <c r="AH172" s="231">
        <f ca="1" t="shared" si="35"/>
        <v>4.41645163623578e-6</v>
      </c>
      <c r="AI172" s="231">
        <f ca="1" t="shared" si="36"/>
        <v>0.00181702741081584</v>
      </c>
      <c r="AJ172" s="231">
        <f ca="1" t="shared" si="37"/>
        <v>0.00145027539504326</v>
      </c>
      <c r="AK172" s="231">
        <f ca="1" t="shared" si="38"/>
        <v>0.00166653515319245</v>
      </c>
      <c r="AL172" s="231">
        <f ca="1" t="shared" si="39"/>
        <v>0.000944620744885789</v>
      </c>
      <c r="AN172" s="12">
        <v>531</v>
      </c>
      <c r="AO172" s="231">
        <f ca="1" t="shared" si="40"/>
        <v>0.00194323871994374</v>
      </c>
      <c r="AP172" s="231">
        <f ca="1" t="shared" si="41"/>
        <v>0.98670367109271</v>
      </c>
      <c r="AQ172" s="231">
        <f ca="1" t="shared" si="42"/>
        <v>0.825607325644725</v>
      </c>
      <c r="AR172" s="231">
        <f ca="1" t="shared" si="43"/>
        <v>0.849489844264572</v>
      </c>
      <c r="AS172" s="231">
        <f ca="1" t="shared" si="44"/>
        <v>0.461709106190351</v>
      </c>
    </row>
    <row r="173" ht="15" hidden="1" customHeight="1" spans="3:45">
      <c r="C173" s="221"/>
      <c r="D173" s="221"/>
      <c r="E173" s="221"/>
      <c r="F173" s="221"/>
      <c r="G173" s="221"/>
      <c r="I173" s="12">
        <v>532</v>
      </c>
      <c r="J173" s="230">
        <v>0.8849624</v>
      </c>
      <c r="L173" s="12">
        <v>532</v>
      </c>
      <c r="M173" s="230">
        <v>0.00597777</v>
      </c>
      <c r="N173" s="230">
        <v>0.969966</v>
      </c>
      <c r="O173" s="230">
        <v>0.807945</v>
      </c>
      <c r="P173" s="231">
        <v>0.781</v>
      </c>
      <c r="Q173" s="230">
        <v>0.484067</v>
      </c>
      <c r="S173" s="12">
        <v>532</v>
      </c>
      <c r="T173" s="230">
        <v>0.00212882028574826</v>
      </c>
      <c r="U173" s="230">
        <v>0.969337468144079</v>
      </c>
      <c r="V173" s="230">
        <v>0.779128337029443</v>
      </c>
      <c r="W173" s="231">
        <v>0.873713407108658</v>
      </c>
      <c r="X173" s="230">
        <v>0.484037489757115</v>
      </c>
      <c r="Z173" s="12">
        <v>532</v>
      </c>
      <c r="AA173" s="230">
        <f ca="1" t="shared" si="30"/>
        <v>0.00212882028574826</v>
      </c>
      <c r="AB173" s="230">
        <f ca="1" t="shared" si="31"/>
        <v>0.969337468144079</v>
      </c>
      <c r="AC173" s="230">
        <f ca="1" t="shared" si="32"/>
        <v>0.779128337029443</v>
      </c>
      <c r="AD173" s="230">
        <f ca="1" t="shared" si="33"/>
        <v>0.873713407108658</v>
      </c>
      <c r="AE173" s="230">
        <f ca="1" t="shared" si="34"/>
        <v>0.484037489757115</v>
      </c>
      <c r="AG173" s="12">
        <v>532</v>
      </c>
      <c r="AH173" s="231">
        <f ca="1" t="shared" si="35"/>
        <v>4.00154189050425e-6</v>
      </c>
      <c r="AI173" s="231">
        <f ca="1" t="shared" si="36"/>
        <v>0.00182206291004526</v>
      </c>
      <c r="AJ173" s="231">
        <f ca="1" t="shared" si="37"/>
        <v>0.00146452694930346</v>
      </c>
      <c r="AK173" s="231">
        <f ca="1" t="shared" si="38"/>
        <v>0.00164231843441477</v>
      </c>
      <c r="AL173" s="231">
        <f ca="1" t="shared" si="39"/>
        <v>0.000909844905558487</v>
      </c>
      <c r="AN173" s="12">
        <v>532</v>
      </c>
      <c r="AO173" s="231">
        <f ca="1" t="shared" si="40"/>
        <v>0.00176067843182187</v>
      </c>
      <c r="AP173" s="231">
        <f ca="1" t="shared" si="41"/>
        <v>0.989438107318535</v>
      </c>
      <c r="AQ173" s="231">
        <f ca="1" t="shared" si="42"/>
        <v>0.833720396885719</v>
      </c>
      <c r="AR173" s="231">
        <f ca="1" t="shared" si="43"/>
        <v>0.837145756218401</v>
      </c>
      <c r="AS173" s="231">
        <f ca="1" t="shared" si="44"/>
        <v>0.444711467953251</v>
      </c>
    </row>
    <row r="174" ht="15" hidden="1" customHeight="1" spans="3:45">
      <c r="C174" s="221"/>
      <c r="D174" s="221"/>
      <c r="E174" s="221"/>
      <c r="F174" s="221"/>
      <c r="G174" s="221"/>
      <c r="I174" s="12">
        <v>533</v>
      </c>
      <c r="J174" s="230">
        <v>0.8954936</v>
      </c>
      <c r="L174" s="12">
        <v>533</v>
      </c>
      <c r="M174" s="230">
        <v>0.00545794</v>
      </c>
      <c r="N174" s="230">
        <v>0.973743</v>
      </c>
      <c r="O174" s="230">
        <v>0.817478</v>
      </c>
      <c r="P174" s="231">
        <v>0.765</v>
      </c>
      <c r="Q174" s="230">
        <v>0.466643</v>
      </c>
      <c r="S174" s="12">
        <v>533</v>
      </c>
      <c r="T174" s="230">
        <v>0.00193298729705466</v>
      </c>
      <c r="U174" s="230">
        <v>0.973551656353586</v>
      </c>
      <c r="V174" s="230">
        <v>0.788061298622794</v>
      </c>
      <c r="W174" s="231">
        <v>0.862025275522682</v>
      </c>
      <c r="X174" s="230">
        <v>0.466661529365102</v>
      </c>
      <c r="Z174" s="12">
        <v>533</v>
      </c>
      <c r="AA174" s="230">
        <f ca="1" t="shared" si="30"/>
        <v>0.00193298729705466</v>
      </c>
      <c r="AB174" s="230">
        <f ca="1" t="shared" si="31"/>
        <v>0.973551656353586</v>
      </c>
      <c r="AC174" s="230">
        <f ca="1" t="shared" si="32"/>
        <v>0.788061298622794</v>
      </c>
      <c r="AD174" s="230">
        <f ca="1" t="shared" si="33"/>
        <v>0.862025275522682</v>
      </c>
      <c r="AE174" s="230">
        <f ca="1" t="shared" si="34"/>
        <v>0.466661529365102</v>
      </c>
      <c r="AG174" s="12">
        <v>533</v>
      </c>
      <c r="AH174" s="231">
        <f ca="1" t="shared" si="35"/>
        <v>3.62661781811381e-6</v>
      </c>
      <c r="AI174" s="231">
        <f ca="1" t="shared" si="36"/>
        <v>0.00182655095000673</v>
      </c>
      <c r="AJ174" s="231">
        <f ca="1" t="shared" si="37"/>
        <v>0.00147853902180637</v>
      </c>
      <c r="AK174" s="231">
        <f ca="1" t="shared" si="38"/>
        <v>0.0016173082092358</v>
      </c>
      <c r="AL174" s="231">
        <f ca="1" t="shared" si="39"/>
        <v>0.000875537578546158</v>
      </c>
      <c r="AN174" s="12">
        <v>533</v>
      </c>
      <c r="AO174" s="231">
        <f ca="1" t="shared" si="40"/>
        <v>0.00159571183997008</v>
      </c>
      <c r="AP174" s="231">
        <f ca="1" t="shared" si="41"/>
        <v>0.991875255750986</v>
      </c>
      <c r="AQ174" s="231">
        <f ca="1" t="shared" si="42"/>
        <v>0.841697136852073</v>
      </c>
      <c r="AR174" s="231">
        <f ca="1" t="shared" si="43"/>
        <v>0.824397190878146</v>
      </c>
      <c r="AS174" s="231">
        <f ca="1" t="shared" si="44"/>
        <v>0.427942827865257</v>
      </c>
    </row>
    <row r="175" ht="15" hidden="1" customHeight="1" spans="3:45">
      <c r="C175" s="221"/>
      <c r="D175" s="221"/>
      <c r="E175" s="221"/>
      <c r="F175" s="221"/>
      <c r="G175" s="221"/>
      <c r="I175" s="12">
        <v>534</v>
      </c>
      <c r="J175" s="230">
        <v>0.9054432</v>
      </c>
      <c r="L175" s="12">
        <v>534</v>
      </c>
      <c r="M175" s="230">
        <v>0.00498125</v>
      </c>
      <c r="N175" s="230">
        <v>0.977539</v>
      </c>
      <c r="O175" s="230">
        <v>0.827239</v>
      </c>
      <c r="P175" s="231">
        <v>0.749</v>
      </c>
      <c r="Q175" s="230">
        <v>0.449442</v>
      </c>
      <c r="S175" s="12">
        <v>534</v>
      </c>
      <c r="T175" s="230">
        <v>0.00175565832428224</v>
      </c>
      <c r="U175" s="230">
        <v>0.97747351756456</v>
      </c>
      <c r="V175" s="230">
        <v>0.796891143162467</v>
      </c>
      <c r="W175" s="231">
        <v>0.849876850881923</v>
      </c>
      <c r="X175" s="230">
        <v>0.449486859608057</v>
      </c>
      <c r="Z175" s="12">
        <v>534</v>
      </c>
      <c r="AA175" s="230">
        <f ca="1" t="shared" si="30"/>
        <v>0.00175565832428224</v>
      </c>
      <c r="AB175" s="230">
        <f ca="1" t="shared" si="31"/>
        <v>0.97747351756456</v>
      </c>
      <c r="AC175" s="230">
        <f ca="1" t="shared" si="32"/>
        <v>0.796891143162467</v>
      </c>
      <c r="AD175" s="230">
        <f ca="1" t="shared" si="33"/>
        <v>0.849876850881923</v>
      </c>
      <c r="AE175" s="230">
        <f ca="1" t="shared" si="34"/>
        <v>0.449486859608057</v>
      </c>
      <c r="AG175" s="12">
        <v>534</v>
      </c>
      <c r="AH175" s="231">
        <f ca="1" t="shared" si="35"/>
        <v>3.28774967094052e-6</v>
      </c>
      <c r="AI175" s="231">
        <f ca="1" t="shared" si="36"/>
        <v>0.00183047475199356</v>
      </c>
      <c r="AJ175" s="231">
        <f ca="1" t="shared" si="37"/>
        <v>0.0014923055115402</v>
      </c>
      <c r="AK175" s="231">
        <f ca="1" t="shared" si="38"/>
        <v>0.00159152968329948</v>
      </c>
      <c r="AL175" s="231">
        <f ca="1" t="shared" si="39"/>
        <v>0.000841735692149919</v>
      </c>
      <c r="AN175" s="12">
        <v>534</v>
      </c>
      <c r="AO175" s="231">
        <f ca="1" t="shared" si="40"/>
        <v>0.00144660985521383</v>
      </c>
      <c r="AP175" s="231">
        <f ca="1" t="shared" si="41"/>
        <v>0.994006005018719</v>
      </c>
      <c r="AQ175" s="231">
        <f ca="1" t="shared" si="42"/>
        <v>0.849534072382739</v>
      </c>
      <c r="AR175" s="231">
        <f ca="1" t="shared" si="43"/>
        <v>0.811256996420763</v>
      </c>
      <c r="AS175" s="231">
        <f ca="1" t="shared" si="44"/>
        <v>0.411421235638906</v>
      </c>
    </row>
    <row r="176" ht="15" hidden="1" customHeight="1" spans="3:45">
      <c r="C176" s="221"/>
      <c r="D176" s="221"/>
      <c r="E176" s="221"/>
      <c r="F176" s="221"/>
      <c r="G176" s="221"/>
      <c r="I176" s="12">
        <v>535</v>
      </c>
      <c r="J176" s="230">
        <v>0.9148501</v>
      </c>
      <c r="L176" s="12">
        <v>535</v>
      </c>
      <c r="M176" s="230">
        <v>0.00454287</v>
      </c>
      <c r="N176" s="230">
        <v>0.981481</v>
      </c>
      <c r="O176" s="230">
        <v>0.837403</v>
      </c>
      <c r="P176" s="231">
        <v>0.733</v>
      </c>
      <c r="Q176" s="230">
        <v>0.432533</v>
      </c>
      <c r="S176" s="12">
        <v>535</v>
      </c>
      <c r="T176" s="230">
        <v>0.00159505623842678</v>
      </c>
      <c r="U176" s="230">
        <v>0.981094859026869</v>
      </c>
      <c r="V176" s="230">
        <v>0.805613991092018</v>
      </c>
      <c r="W176" s="231">
        <v>0.837280544835606</v>
      </c>
      <c r="X176" s="230">
        <v>0.432533749491642</v>
      </c>
      <c r="Z176" s="12">
        <v>535</v>
      </c>
      <c r="AA176" s="230">
        <f ca="1" t="shared" si="30"/>
        <v>0.00159505623842678</v>
      </c>
      <c r="AB176" s="230">
        <f ca="1" t="shared" si="31"/>
        <v>0.981094859026869</v>
      </c>
      <c r="AC176" s="230">
        <f ca="1" t="shared" si="32"/>
        <v>0.805613991092018</v>
      </c>
      <c r="AD176" s="230">
        <f ca="1" t="shared" si="33"/>
        <v>0.837280544835606</v>
      </c>
      <c r="AE176" s="230">
        <f ca="1" t="shared" si="34"/>
        <v>0.432533749491642</v>
      </c>
      <c r="AG176" s="12">
        <v>535</v>
      </c>
      <c r="AH176" s="231">
        <f ca="1" t="shared" si="35"/>
        <v>2.98141352976968e-6</v>
      </c>
      <c r="AI176" s="231">
        <f ca="1" t="shared" si="36"/>
        <v>0.00183382216640536</v>
      </c>
      <c r="AJ176" s="231">
        <f ca="1" t="shared" si="37"/>
        <v>0.00150582054409723</v>
      </c>
      <c r="AK176" s="231">
        <f ca="1" t="shared" si="38"/>
        <v>0.0015650103641787</v>
      </c>
      <c r="AL176" s="231">
        <f ca="1" t="shared" si="39"/>
        <v>0.000808474298115219</v>
      </c>
      <c r="AN176" s="12">
        <v>535</v>
      </c>
      <c r="AO176" s="231">
        <f ca="1" t="shared" si="40"/>
        <v>0.00131182195309866</v>
      </c>
      <c r="AP176" s="231">
        <f ca="1" t="shared" si="41"/>
        <v>0.995823757502328</v>
      </c>
      <c r="AQ176" s="231">
        <f ca="1" t="shared" si="42"/>
        <v>0.857227859316964</v>
      </c>
      <c r="AR176" s="231">
        <f ca="1" t="shared" si="43"/>
        <v>0.79773919439495</v>
      </c>
      <c r="AS176" s="231">
        <f ca="1" t="shared" si="44"/>
        <v>0.395163823769063</v>
      </c>
    </row>
    <row r="177" ht="15" hidden="1" customHeight="1" spans="3:45">
      <c r="C177" s="221"/>
      <c r="D177" s="221"/>
      <c r="E177" s="221"/>
      <c r="F177" s="221"/>
      <c r="G177" s="221"/>
      <c r="I177" s="12">
        <v>536</v>
      </c>
      <c r="J177" s="230">
        <v>0.9237348</v>
      </c>
      <c r="L177" s="12">
        <v>536</v>
      </c>
      <c r="M177" s="230">
        <v>0.00413908</v>
      </c>
      <c r="N177" s="230">
        <v>0.985629</v>
      </c>
      <c r="O177" s="230">
        <v>0.848078</v>
      </c>
      <c r="P177" s="231">
        <v>0.717</v>
      </c>
      <c r="Q177" s="230">
        <v>0.415862</v>
      </c>
      <c r="S177" s="12">
        <v>536</v>
      </c>
      <c r="T177" s="230">
        <v>0.00144955934472236</v>
      </c>
      <c r="U177" s="230">
        <v>0.984409961972317</v>
      </c>
      <c r="V177" s="230">
        <v>0.81422418849319</v>
      </c>
      <c r="W177" s="231">
        <v>0.824253879679261</v>
      </c>
      <c r="X177" s="230">
        <v>0.415819641834566</v>
      </c>
      <c r="Z177" s="12">
        <v>536</v>
      </c>
      <c r="AA177" s="230">
        <f ca="1" t="shared" si="30"/>
        <v>0.00144955934472236</v>
      </c>
      <c r="AB177" s="230">
        <f ca="1" t="shared" si="31"/>
        <v>0.984409961972317</v>
      </c>
      <c r="AC177" s="230">
        <f ca="1" t="shared" si="32"/>
        <v>0.81422418849319</v>
      </c>
      <c r="AD177" s="230">
        <f ca="1" t="shared" si="33"/>
        <v>0.824253879679261</v>
      </c>
      <c r="AE177" s="230">
        <f ca="1" t="shared" si="34"/>
        <v>0.415819641834566</v>
      </c>
      <c r="AG177" s="12">
        <v>536</v>
      </c>
      <c r="AH177" s="231">
        <f ca="1" t="shared" si="35"/>
        <v>2.70440176254172e-6</v>
      </c>
      <c r="AI177" s="231">
        <f ca="1" t="shared" si="36"/>
        <v>0.00183658574994835</v>
      </c>
      <c r="AJ177" s="231">
        <f ca="1" t="shared" si="37"/>
        <v>0.00151907497853207</v>
      </c>
      <c r="AK177" s="231">
        <f ca="1" t="shared" si="38"/>
        <v>0.00153778708895385</v>
      </c>
      <c r="AL177" s="231">
        <f ca="1" t="shared" si="39"/>
        <v>0.000775782913870459</v>
      </c>
      <c r="AN177" s="12">
        <v>536</v>
      </c>
      <c r="AO177" s="231">
        <f ca="1" t="shared" si="40"/>
        <v>0.00118993677551836</v>
      </c>
      <c r="AP177" s="231">
        <f ca="1" t="shared" si="41"/>
        <v>0.997324471256566</v>
      </c>
      <c r="AQ177" s="231">
        <f ca="1" t="shared" si="42"/>
        <v>0.864773293931716</v>
      </c>
      <c r="AR177" s="231">
        <f ca="1" t="shared" si="43"/>
        <v>0.78386256191778</v>
      </c>
      <c r="AS177" s="231">
        <f ca="1" t="shared" si="44"/>
        <v>0.379185019702465</v>
      </c>
    </row>
    <row r="178" ht="15" hidden="1" customHeight="1" spans="3:45">
      <c r="C178" s="221"/>
      <c r="D178" s="221"/>
      <c r="E178" s="221"/>
      <c r="F178" s="221"/>
      <c r="G178" s="221"/>
      <c r="I178" s="12">
        <v>537</v>
      </c>
      <c r="J178" s="230">
        <v>0.9320924</v>
      </c>
      <c r="L178" s="12">
        <v>537</v>
      </c>
      <c r="M178" s="230">
        <v>0.00376794</v>
      </c>
      <c r="N178" s="230">
        <v>0.989754</v>
      </c>
      <c r="O178" s="230">
        <v>0.859064</v>
      </c>
      <c r="P178" s="231">
        <v>0.7</v>
      </c>
      <c r="Q178" s="230">
        <v>0.399372</v>
      </c>
      <c r="S178" s="12">
        <v>537</v>
      </c>
      <c r="T178" s="230">
        <v>0.00131772261668806</v>
      </c>
      <c r="U178" s="230">
        <v>0.987404267769688</v>
      </c>
      <c r="V178" s="230">
        <v>0.8227180014991</v>
      </c>
      <c r="W178" s="231">
        <v>0.810811687064396</v>
      </c>
      <c r="X178" s="230">
        <v>0.399364079497541</v>
      </c>
      <c r="Z178" s="12">
        <v>537</v>
      </c>
      <c r="AA178" s="230">
        <f ca="1" t="shared" si="30"/>
        <v>0.00131772261668806</v>
      </c>
      <c r="AB178" s="230">
        <f ca="1" t="shared" si="31"/>
        <v>0.987404267769688</v>
      </c>
      <c r="AC178" s="230">
        <f ca="1" t="shared" si="32"/>
        <v>0.8227180014991</v>
      </c>
      <c r="AD178" s="230">
        <f ca="1" t="shared" si="33"/>
        <v>0.810811687064396</v>
      </c>
      <c r="AE178" s="230">
        <f ca="1" t="shared" si="34"/>
        <v>0.399364079497541</v>
      </c>
      <c r="AG178" s="12">
        <v>537</v>
      </c>
      <c r="AH178" s="231">
        <f ca="1" t="shared" si="35"/>
        <v>2.45385962139304e-6</v>
      </c>
      <c r="AI178" s="231">
        <f ca="1" t="shared" si="36"/>
        <v>0.0018387416532024</v>
      </c>
      <c r="AJ178" s="231">
        <f ca="1" t="shared" si="37"/>
        <v>0.00153206331750298</v>
      </c>
      <c r="AK178" s="231">
        <f ca="1" t="shared" si="38"/>
        <v>0.00150989140980334</v>
      </c>
      <c r="AL178" s="231">
        <f ca="1" t="shared" si="39"/>
        <v>0.000743694747667674</v>
      </c>
      <c r="AN178" s="12">
        <v>537</v>
      </c>
      <c r="AO178" s="231">
        <f ca="1" t="shared" si="40"/>
        <v>0.00107969823341294</v>
      </c>
      <c r="AP178" s="231">
        <f ca="1" t="shared" si="41"/>
        <v>0.998495195287819</v>
      </c>
      <c r="AQ178" s="231">
        <f ca="1" t="shared" si="42"/>
        <v>0.872167246720951</v>
      </c>
      <c r="AR178" s="231">
        <f ca="1" t="shared" si="43"/>
        <v>0.769643182211436</v>
      </c>
      <c r="AS178" s="231">
        <f ca="1" t="shared" si="44"/>
        <v>0.363501054876384</v>
      </c>
    </row>
    <row r="179" ht="15" hidden="1" customHeight="1" spans="3:45">
      <c r="C179" s="221"/>
      <c r="D179" s="221"/>
      <c r="E179" s="221"/>
      <c r="F179" s="221"/>
      <c r="G179" s="221"/>
      <c r="I179" s="12">
        <v>538</v>
      </c>
      <c r="J179" s="230">
        <v>0.9399226</v>
      </c>
      <c r="L179" s="12">
        <v>538</v>
      </c>
      <c r="M179" s="230">
        <v>0.00342783</v>
      </c>
      <c r="N179" s="230">
        <v>0.993551</v>
      </c>
      <c r="O179" s="230">
        <v>0.870068</v>
      </c>
      <c r="P179" s="231">
        <v>0.683</v>
      </c>
      <c r="Q179" s="230">
        <v>0.383136</v>
      </c>
      <c r="S179" s="12">
        <v>538</v>
      </c>
      <c r="T179" s="230">
        <v>0.00119822947912134</v>
      </c>
      <c r="U179" s="230">
        <v>0.990072504954008</v>
      </c>
      <c r="V179" s="230">
        <v>0.831089891417855</v>
      </c>
      <c r="W179" s="231">
        <v>0.796973718375477</v>
      </c>
      <c r="X179" s="230">
        <v>0.383182794190754</v>
      </c>
      <c r="Z179" s="12">
        <v>538</v>
      </c>
      <c r="AA179" s="230">
        <f ca="1" t="shared" si="30"/>
        <v>0.00119822947912134</v>
      </c>
      <c r="AB179" s="230">
        <f ca="1" t="shared" si="31"/>
        <v>0.990072504954008</v>
      </c>
      <c r="AC179" s="230">
        <f ca="1" t="shared" si="32"/>
        <v>0.831089891417855</v>
      </c>
      <c r="AD179" s="230">
        <f ca="1" t="shared" si="33"/>
        <v>0.796973718375477</v>
      </c>
      <c r="AE179" s="230">
        <f ca="1" t="shared" si="34"/>
        <v>0.383182794190754</v>
      </c>
      <c r="AG179" s="12">
        <v>538</v>
      </c>
      <c r="AH179" s="231">
        <f ca="1" t="shared" si="35"/>
        <v>2.22719234037424e-6</v>
      </c>
      <c r="AI179" s="231">
        <f ca="1" t="shared" si="36"/>
        <v>0.00184028346645726</v>
      </c>
      <c r="AJ179" s="231">
        <f ca="1" t="shared" si="37"/>
        <v>0.00154477674984731</v>
      </c>
      <c r="AK179" s="231">
        <f ca="1" t="shared" si="38"/>
        <v>0.001481363788802</v>
      </c>
      <c r="AL179" s="231">
        <f ca="1" t="shared" si="39"/>
        <v>0.000712235676934487</v>
      </c>
      <c r="AN179" s="12">
        <v>538</v>
      </c>
      <c r="AO179" s="231">
        <f ca="1" t="shared" si="40"/>
        <v>0.000979964629764665</v>
      </c>
      <c r="AP179" s="231">
        <f ca="1" t="shared" si="41"/>
        <v>0.99933244891958</v>
      </c>
      <c r="AQ179" s="231">
        <f ca="1" t="shared" si="42"/>
        <v>0.879404701699119</v>
      </c>
      <c r="AR179" s="231">
        <f ca="1" t="shared" si="43"/>
        <v>0.755101680176363</v>
      </c>
      <c r="AS179" s="231">
        <f ca="1" t="shared" si="44"/>
        <v>0.348124577588078</v>
      </c>
    </row>
    <row r="180" ht="15" hidden="1" customHeight="1" spans="3:45">
      <c r="C180" s="221"/>
      <c r="D180" s="221"/>
      <c r="E180" s="221"/>
      <c r="F180" s="221"/>
      <c r="G180" s="221"/>
      <c r="I180" s="12">
        <v>539</v>
      </c>
      <c r="J180" s="230">
        <v>0.9472252</v>
      </c>
      <c r="L180" s="12">
        <v>539</v>
      </c>
      <c r="M180" s="230">
        <v>0.00311696</v>
      </c>
      <c r="N180" s="230">
        <v>0.996714</v>
      </c>
      <c r="O180" s="230">
        <v>0.880779</v>
      </c>
      <c r="P180" s="231">
        <v>0.667</v>
      </c>
      <c r="Q180" s="230">
        <v>0.367224</v>
      </c>
      <c r="S180" s="12">
        <v>539</v>
      </c>
      <c r="T180" s="230">
        <v>0.00108989585270783</v>
      </c>
      <c r="U180" s="230">
        <v>0.992405128658636</v>
      </c>
      <c r="V180" s="230">
        <v>0.839338220884226</v>
      </c>
      <c r="W180" s="231">
        <v>0.782757071926594</v>
      </c>
      <c r="X180" s="230">
        <v>0.367292449023292</v>
      </c>
      <c r="Z180" s="12">
        <v>539</v>
      </c>
      <c r="AA180" s="230">
        <f ca="1" t="shared" si="30"/>
        <v>0.00108989585270783</v>
      </c>
      <c r="AB180" s="230">
        <f ca="1" t="shared" si="31"/>
        <v>0.992405128658636</v>
      </c>
      <c r="AC180" s="230">
        <f ca="1" t="shared" si="32"/>
        <v>0.839338220884226</v>
      </c>
      <c r="AD180" s="230">
        <f ca="1" t="shared" si="33"/>
        <v>0.782757071926594</v>
      </c>
      <c r="AE180" s="230">
        <f ca="1" t="shared" si="34"/>
        <v>0.367292449023292</v>
      </c>
      <c r="AG180" s="12">
        <v>539</v>
      </c>
      <c r="AH180" s="231">
        <f ca="1" t="shared" si="35"/>
        <v>2.02207022765831e-6</v>
      </c>
      <c r="AI180" s="231">
        <f ca="1" t="shared" si="36"/>
        <v>0.00184119689918114</v>
      </c>
      <c r="AJ180" s="231">
        <f ca="1" t="shared" si="37"/>
        <v>0.00155721376787426</v>
      </c>
      <c r="AK180" s="231">
        <f ca="1" t="shared" si="38"/>
        <v>0.00145223946554099</v>
      </c>
      <c r="AL180" s="231">
        <f ca="1" t="shared" si="39"/>
        <v>0.000681433115071043</v>
      </c>
      <c r="AN180" s="12">
        <v>539</v>
      </c>
      <c r="AO180" s="231">
        <f ca="1" t="shared" si="40"/>
        <v>0.000889710900169657</v>
      </c>
      <c r="AP180" s="231">
        <f ca="1" t="shared" si="41"/>
        <v>0.999828471938596</v>
      </c>
      <c r="AQ180" s="231">
        <f ca="1" t="shared" si="42"/>
        <v>0.886484800573661</v>
      </c>
      <c r="AR180" s="231">
        <f ca="1" t="shared" si="43"/>
        <v>0.740256018634863</v>
      </c>
      <c r="AS180" s="231">
        <f ca="1" t="shared" si="44"/>
        <v>0.333068986883194</v>
      </c>
    </row>
    <row r="181" ht="15" hidden="1" customHeight="1" spans="3:45">
      <c r="C181" s="221"/>
      <c r="D181" s="221"/>
      <c r="E181" s="221"/>
      <c r="F181" s="221"/>
      <c r="G181" s="221"/>
      <c r="I181" s="12">
        <v>540</v>
      </c>
      <c r="J181" s="230">
        <v>0.954</v>
      </c>
      <c r="L181" s="12">
        <v>540</v>
      </c>
      <c r="M181" s="230">
        <v>0.00283352</v>
      </c>
      <c r="N181" s="230">
        <v>0.998931</v>
      </c>
      <c r="O181" s="230">
        <v>0.890871</v>
      </c>
      <c r="P181" s="231">
        <v>0.65</v>
      </c>
      <c r="Q181" s="230">
        <v>0.351707</v>
      </c>
      <c r="S181" s="12">
        <v>540</v>
      </c>
      <c r="T181" s="230">
        <v>0.000991658183095973</v>
      </c>
      <c r="U181" s="230">
        <v>0.994392866188597</v>
      </c>
      <c r="V181" s="230">
        <v>0.847453738697725</v>
      </c>
      <c r="W181" s="231">
        <v>0.768181776099377</v>
      </c>
      <c r="X181" s="230">
        <v>0.351706990171937</v>
      </c>
      <c r="Z181" s="12">
        <v>540</v>
      </c>
      <c r="AA181" s="230">
        <f ca="1" t="shared" si="30"/>
        <v>0.000991658183095973</v>
      </c>
      <c r="AB181" s="230">
        <f ca="1" t="shared" si="31"/>
        <v>0.994392866188597</v>
      </c>
      <c r="AC181" s="230">
        <f ca="1" t="shared" si="32"/>
        <v>0.847453738697725</v>
      </c>
      <c r="AD181" s="230">
        <f ca="1" t="shared" si="33"/>
        <v>0.768181776099377</v>
      </c>
      <c r="AE181" s="230">
        <f ca="1" t="shared" si="34"/>
        <v>0.351706990171937</v>
      </c>
      <c r="AG181" s="12">
        <v>540</v>
      </c>
      <c r="AH181" s="231">
        <f ca="1" t="shared" si="35"/>
        <v>1.83640404277032e-6</v>
      </c>
      <c r="AI181" s="231">
        <f ca="1" t="shared" si="36"/>
        <v>0.00184146827071962</v>
      </c>
      <c r="AJ181" s="231">
        <f ca="1" t="shared" si="37"/>
        <v>0.00156935877536616</v>
      </c>
      <c r="AK181" s="231">
        <f ca="1" t="shared" si="38"/>
        <v>0.00142255884462848</v>
      </c>
      <c r="AL181" s="231">
        <f ca="1" t="shared" si="39"/>
        <v>0.000651309241059143</v>
      </c>
      <c r="AN181" s="12">
        <v>540</v>
      </c>
      <c r="AO181" s="231">
        <f ca="1" t="shared" si="40"/>
        <v>0.000808017778818941</v>
      </c>
      <c r="AP181" s="231">
        <f ca="1" t="shared" si="41"/>
        <v>0.999975835314435</v>
      </c>
      <c r="AQ181" s="231">
        <f ca="1" t="shared" si="42"/>
        <v>0.89339866478841</v>
      </c>
      <c r="AR181" s="231">
        <f ca="1" t="shared" si="43"/>
        <v>0.725126793194674</v>
      </c>
      <c r="AS181" s="231">
        <f ca="1" t="shared" si="44"/>
        <v>0.318345123342904</v>
      </c>
    </row>
    <row r="182" ht="15" hidden="1" customHeight="1" spans="3:45">
      <c r="C182" s="221"/>
      <c r="D182" s="221"/>
      <c r="E182" s="221"/>
      <c r="F182" s="221"/>
      <c r="G182" s="221"/>
      <c r="I182" s="12">
        <v>541</v>
      </c>
      <c r="J182" s="230">
        <v>0.9602561</v>
      </c>
      <c r="L182" s="12">
        <v>541</v>
      </c>
      <c r="M182" s="230">
        <v>0.00257556</v>
      </c>
      <c r="N182" s="230">
        <v>0.999942</v>
      </c>
      <c r="O182" s="230">
        <v>0.900057</v>
      </c>
      <c r="P182" s="231">
        <v>0.633</v>
      </c>
      <c r="Q182" s="230">
        <v>0.336537</v>
      </c>
      <c r="S182" s="12">
        <v>541</v>
      </c>
      <c r="T182" s="230">
        <v>0.00090275728136526</v>
      </c>
      <c r="U182" s="230">
        <v>0.996258408730505</v>
      </c>
      <c r="V182" s="230">
        <v>0.8556319635645</v>
      </c>
      <c r="W182" s="231">
        <v>0.753442301991216</v>
      </c>
      <c r="X182" s="230">
        <v>0.336518543066459</v>
      </c>
      <c r="Z182" s="12">
        <v>541</v>
      </c>
      <c r="AA182" s="230">
        <f ca="1" t="shared" si="30"/>
        <v>0.00090275728136526</v>
      </c>
      <c r="AB182" s="230">
        <f ca="1" t="shared" si="31"/>
        <v>0.996258408730505</v>
      </c>
      <c r="AC182" s="230">
        <f ca="1" t="shared" si="32"/>
        <v>0.8556319635645</v>
      </c>
      <c r="AD182" s="230">
        <f ca="1" t="shared" si="33"/>
        <v>0.753442301991216</v>
      </c>
      <c r="AE182" s="230">
        <f ca="1" t="shared" si="34"/>
        <v>0.336518543066459</v>
      </c>
      <c r="AG182" s="12">
        <v>541</v>
      </c>
      <c r="AH182" s="231">
        <f ca="1" t="shared" si="35"/>
        <v>1.66868259032396e-6</v>
      </c>
      <c r="AI182" s="231">
        <f ca="1" t="shared" si="36"/>
        <v>0.00184151277029668</v>
      </c>
      <c r="AJ182" s="231">
        <f ca="1" t="shared" si="37"/>
        <v>0.00158157479401941</v>
      </c>
      <c r="AK182" s="231">
        <f ca="1" t="shared" si="38"/>
        <v>0.0013926844768784</v>
      </c>
      <c r="AL182" s="231">
        <f ca="1" t="shared" si="39"/>
        <v>0.00062203057868107</v>
      </c>
      <c r="AN182" s="12">
        <v>541</v>
      </c>
      <c r="AO182" s="231">
        <f ca="1" t="shared" si="40"/>
        <v>0.00073422033974254</v>
      </c>
      <c r="AP182" s="231">
        <f ca="1" t="shared" si="41"/>
        <v>1</v>
      </c>
      <c r="AQ182" s="231">
        <f ca="1" t="shared" si="42"/>
        <v>0.90035295397018</v>
      </c>
      <c r="AR182" s="231">
        <f ca="1" t="shared" si="43"/>
        <v>0.709898808379054</v>
      </c>
      <c r="AS182" s="231">
        <f ca="1" t="shared" si="44"/>
        <v>0.30403437999938</v>
      </c>
    </row>
    <row r="183" ht="15" hidden="1" customHeight="1" spans="3:45">
      <c r="C183" s="221"/>
      <c r="D183" s="221"/>
      <c r="E183" s="221"/>
      <c r="F183" s="221"/>
      <c r="G183" s="221"/>
      <c r="I183" s="12">
        <v>542</v>
      </c>
      <c r="J183" s="230">
        <v>0.9660074</v>
      </c>
      <c r="L183" s="12">
        <v>542</v>
      </c>
      <c r="M183" s="230">
        <v>0.00234084</v>
      </c>
      <c r="N183" s="230">
        <v>0.999692</v>
      </c>
      <c r="O183" s="230">
        <v>0.908253</v>
      </c>
      <c r="P183" s="231">
        <v>0.616</v>
      </c>
      <c r="Q183" s="230">
        <v>0.321647</v>
      </c>
      <c r="S183" s="12">
        <v>542</v>
      </c>
      <c r="T183" s="230">
        <v>0.000822076057862873</v>
      </c>
      <c r="U183" s="230">
        <v>0.997759795132159</v>
      </c>
      <c r="V183" s="230">
        <v>0.863672317944597</v>
      </c>
      <c r="W183" s="231">
        <v>0.738381828147484</v>
      </c>
      <c r="X183" s="230">
        <v>0.321655513466122</v>
      </c>
      <c r="Z183" s="12">
        <v>542</v>
      </c>
      <c r="AA183" s="230">
        <f ca="1" t="shared" si="30"/>
        <v>0.000822076057862873</v>
      </c>
      <c r="AB183" s="230">
        <f ca="1" t="shared" si="31"/>
        <v>0.997759795132159</v>
      </c>
      <c r="AC183" s="230">
        <f ca="1" t="shared" si="32"/>
        <v>0.863672317944597</v>
      </c>
      <c r="AD183" s="230">
        <f ca="1" t="shared" si="33"/>
        <v>0.738381828147484</v>
      </c>
      <c r="AE183" s="230">
        <f ca="1" t="shared" si="34"/>
        <v>0.321655513466122</v>
      </c>
      <c r="AG183" s="12">
        <v>542</v>
      </c>
      <c r="AH183" s="231">
        <f ca="1" t="shared" si="35"/>
        <v>1.51674549421194e-6</v>
      </c>
      <c r="AI183" s="231">
        <f ca="1" t="shared" si="36"/>
        <v>0.00184088523087114</v>
      </c>
      <c r="AJ183" s="231">
        <f ca="1" t="shared" si="37"/>
        <v>0.0015934913615214</v>
      </c>
      <c r="AK183" s="231">
        <f ca="1" t="shared" si="38"/>
        <v>0.00136232809621307</v>
      </c>
      <c r="AL183" s="231">
        <f ca="1" t="shared" si="39"/>
        <v>0.000593460356948565</v>
      </c>
      <c r="AN183" s="12">
        <v>542</v>
      </c>
      <c r="AO183" s="231">
        <f ca="1" t="shared" si="40"/>
        <v>0.000667368017453255</v>
      </c>
      <c r="AP183" s="231">
        <f ca="1" t="shared" si="41"/>
        <v>0.999659226134262</v>
      </c>
      <c r="AQ183" s="231">
        <f ca="1" t="shared" si="42"/>
        <v>0.907136772726126</v>
      </c>
      <c r="AR183" s="231">
        <f ca="1" t="shared" si="43"/>
        <v>0.69442512513005</v>
      </c>
      <c r="AS183" s="231">
        <f ca="1" t="shared" si="44"/>
        <v>0.290069906308544</v>
      </c>
    </row>
    <row r="184" ht="15" hidden="1" customHeight="1" spans="3:45">
      <c r="C184" s="221"/>
      <c r="D184" s="221"/>
      <c r="E184" s="221"/>
      <c r="F184" s="221"/>
      <c r="G184" s="221"/>
      <c r="I184" s="12">
        <v>543</v>
      </c>
      <c r="J184" s="230">
        <v>0.9712606</v>
      </c>
      <c r="L184" s="12">
        <v>543</v>
      </c>
      <c r="M184" s="230">
        <v>0.00212722</v>
      </c>
      <c r="N184" s="230">
        <v>0.998178</v>
      </c>
      <c r="O184" s="230">
        <v>0.915433</v>
      </c>
      <c r="P184" s="231">
        <v>0.599</v>
      </c>
      <c r="Q184" s="230">
        <v>0.307085</v>
      </c>
      <c r="S184" s="12">
        <v>543</v>
      </c>
      <c r="T184" s="230">
        <v>0.000748836491809493</v>
      </c>
      <c r="U184" s="230">
        <v>0.998888469608137</v>
      </c>
      <c r="V184" s="230">
        <v>0.871573465588087</v>
      </c>
      <c r="W184" s="231">
        <v>0.723019482564033</v>
      </c>
      <c r="X184" s="230">
        <v>0.307129830449247</v>
      </c>
      <c r="Z184" s="12">
        <v>543</v>
      </c>
      <c r="AA184" s="230">
        <f ca="1" t="shared" si="30"/>
        <v>0.000748836491809493</v>
      </c>
      <c r="AB184" s="230">
        <f ca="1" t="shared" si="31"/>
        <v>0.998888469608137</v>
      </c>
      <c r="AC184" s="230">
        <f ca="1" t="shared" si="32"/>
        <v>0.871573465588087</v>
      </c>
      <c r="AD184" s="230">
        <f ca="1" t="shared" si="33"/>
        <v>0.723019482564033</v>
      </c>
      <c r="AE184" s="230">
        <f ca="1" t="shared" si="34"/>
        <v>0.307129830449247</v>
      </c>
      <c r="AG184" s="12">
        <v>543</v>
      </c>
      <c r="AH184" s="231">
        <f ca="1" t="shared" si="35"/>
        <v>1.37907272893093e-6</v>
      </c>
      <c r="AI184" s="231">
        <f ca="1" t="shared" si="36"/>
        <v>0.00183957360885476</v>
      </c>
      <c r="AJ184" s="231">
        <f ca="1" t="shared" si="37"/>
        <v>0.00160510767143294</v>
      </c>
      <c r="AK184" s="231">
        <f ca="1" t="shared" si="38"/>
        <v>0.00133152759219896</v>
      </c>
      <c r="AL184" s="231">
        <f ca="1" t="shared" si="39"/>
        <v>0.000565616630661597</v>
      </c>
      <c r="AN184" s="12">
        <v>543</v>
      </c>
      <c r="AO184" s="231">
        <f ca="1" t="shared" si="40"/>
        <v>0.000606792000729608</v>
      </c>
      <c r="AP184" s="231">
        <f ca="1" t="shared" si="41"/>
        <v>0.998946973665784</v>
      </c>
      <c r="AQ184" s="231">
        <f ca="1" t="shared" si="42"/>
        <v>0.913749661969582</v>
      </c>
      <c r="AR184" s="231">
        <f ca="1" t="shared" si="43"/>
        <v>0.678725057052819</v>
      </c>
      <c r="AS184" s="231">
        <f ca="1" t="shared" si="44"/>
        <v>0.276460527045421</v>
      </c>
    </row>
    <row r="185" ht="15" hidden="1" customHeight="1" spans="3:45">
      <c r="C185" s="221"/>
      <c r="D185" s="221"/>
      <c r="E185" s="221"/>
      <c r="F185" s="221"/>
      <c r="G185" s="221"/>
      <c r="I185" s="12">
        <v>544</v>
      </c>
      <c r="J185" s="230">
        <v>0.9760225</v>
      </c>
      <c r="L185" s="12">
        <v>544</v>
      </c>
      <c r="M185" s="230">
        <v>0.00193276</v>
      </c>
      <c r="N185" s="230">
        <v>0.995405</v>
      </c>
      <c r="O185" s="230">
        <v>0.921575</v>
      </c>
      <c r="P185" s="231">
        <v>0.581</v>
      </c>
      <c r="Q185" s="230">
        <v>0.292899</v>
      </c>
      <c r="S185" s="12">
        <v>544</v>
      </c>
      <c r="T185" s="230">
        <v>0.000682333980729232</v>
      </c>
      <c r="U185" s="230">
        <v>0.99963855947577</v>
      </c>
      <c r="V185" s="230">
        <v>0.879326172888958</v>
      </c>
      <c r="W185" s="231">
        <v>0.707380363721742</v>
      </c>
      <c r="X185" s="230">
        <v>0.292953033875259</v>
      </c>
      <c r="Z185" s="12">
        <v>544</v>
      </c>
      <c r="AA185" s="230">
        <f ca="1" t="shared" si="30"/>
        <v>0.000682333980729232</v>
      </c>
      <c r="AB185" s="230">
        <f ca="1" t="shared" si="31"/>
        <v>0.99963855947577</v>
      </c>
      <c r="AC185" s="230">
        <f ca="1" t="shared" si="32"/>
        <v>0.879326172888958</v>
      </c>
      <c r="AD185" s="230">
        <f ca="1" t="shared" si="33"/>
        <v>0.707380363721742</v>
      </c>
      <c r="AE185" s="230">
        <f ca="1" t="shared" si="34"/>
        <v>0.292953033875259</v>
      </c>
      <c r="AG185" s="12">
        <v>544</v>
      </c>
      <c r="AH185" s="231">
        <f ca="1" t="shared" si="35"/>
        <v>1.25429040575226e-6</v>
      </c>
      <c r="AI185" s="231">
        <f ca="1" t="shared" si="36"/>
        <v>0.00183757088138928</v>
      </c>
      <c r="AJ185" s="231">
        <f ca="1" t="shared" si="37"/>
        <v>0.00161640840604588</v>
      </c>
      <c r="AK185" s="231">
        <f ca="1" t="shared" si="38"/>
        <v>0.00130033155095908</v>
      </c>
      <c r="AL185" s="231">
        <f ca="1" t="shared" si="39"/>
        <v>0.000538516606388344</v>
      </c>
      <c r="AN185" s="12">
        <v>544</v>
      </c>
      <c r="AO185" s="231">
        <f ca="1" t="shared" si="40"/>
        <v>0.000551887778530997</v>
      </c>
      <c r="AP185" s="231">
        <f ca="1" t="shared" si="41"/>
        <v>0.997859428959179</v>
      </c>
      <c r="AQ185" s="231">
        <f ca="1" t="shared" si="42"/>
        <v>0.920182901693221</v>
      </c>
      <c r="AR185" s="231">
        <f ca="1" t="shared" si="43"/>
        <v>0.662823370152447</v>
      </c>
      <c r="AS185" s="231">
        <f ca="1" t="shared" si="44"/>
        <v>0.263214652388653</v>
      </c>
    </row>
    <row r="186" ht="15" hidden="1" customHeight="1" spans="3:45">
      <c r="C186" s="221"/>
      <c r="D186" s="221"/>
      <c r="E186" s="221"/>
      <c r="F186" s="221"/>
      <c r="G186" s="221"/>
      <c r="I186" s="12">
        <v>545</v>
      </c>
      <c r="J186" s="230">
        <v>0.9803</v>
      </c>
      <c r="L186" s="12">
        <v>545</v>
      </c>
      <c r="M186" s="230">
        <v>0.00175573</v>
      </c>
      <c r="N186" s="230">
        <v>0.991383</v>
      </c>
      <c r="O186" s="230">
        <v>0.92666</v>
      </c>
      <c r="P186" s="231">
        <v>0.564</v>
      </c>
      <c r="Q186" s="230">
        <v>0.279135</v>
      </c>
      <c r="S186" s="12">
        <v>545</v>
      </c>
      <c r="T186" s="230">
        <v>0.000621929274875535</v>
      </c>
      <c r="U186" s="230">
        <v>1</v>
      </c>
      <c r="V186" s="230">
        <v>0.886927253289122</v>
      </c>
      <c r="W186" s="231">
        <v>0.69148696854127</v>
      </c>
      <c r="X186" s="230">
        <v>0.279135453164856</v>
      </c>
      <c r="Z186" s="12">
        <v>545</v>
      </c>
      <c r="AA186" s="230">
        <f ca="1" t="shared" si="30"/>
        <v>0.000621929274875535</v>
      </c>
      <c r="AB186" s="230">
        <f ca="1" t="shared" si="31"/>
        <v>1</v>
      </c>
      <c r="AC186" s="230">
        <f ca="1" t="shared" si="32"/>
        <v>0.886927253289122</v>
      </c>
      <c r="AD186" s="230">
        <f ca="1" t="shared" si="33"/>
        <v>0.69148696854127</v>
      </c>
      <c r="AE186" s="230">
        <f ca="1" t="shared" si="34"/>
        <v>0.279135453164856</v>
      </c>
      <c r="AG186" s="12">
        <v>545</v>
      </c>
      <c r="AH186" s="231">
        <f ca="1" t="shared" si="35"/>
        <v>1.14115463279915e-6</v>
      </c>
      <c r="AI186" s="231">
        <f ca="1" t="shared" si="36"/>
        <v>0.0018348623853211</v>
      </c>
      <c r="AJ186" s="231">
        <f ca="1" t="shared" si="37"/>
        <v>0.00162738945557637</v>
      </c>
      <c r="AK186" s="231">
        <f ca="1" t="shared" si="38"/>
        <v>0.00126878342851609</v>
      </c>
      <c r="AL186" s="231">
        <f ca="1" t="shared" si="39"/>
        <v>0.000512175143421754</v>
      </c>
      <c r="AN186" s="12">
        <v>545</v>
      </c>
      <c r="AO186" s="231">
        <f ca="1" t="shared" si="40"/>
        <v>0.000502108038431625</v>
      </c>
      <c r="AP186" s="231">
        <f ca="1" t="shared" si="41"/>
        <v>0.996388629455711</v>
      </c>
      <c r="AQ186" s="231">
        <f ca="1" t="shared" si="42"/>
        <v>0.926434152294746</v>
      </c>
      <c r="AR186" s="231">
        <f ca="1" t="shared" si="43"/>
        <v>0.64674221544677</v>
      </c>
      <c r="AS186" s="231">
        <f ca="1" t="shared" si="44"/>
        <v>0.250339545222209</v>
      </c>
    </row>
    <row r="187" ht="15" hidden="1" customHeight="1" spans="3:45">
      <c r="C187" s="221"/>
      <c r="D187" s="221"/>
      <c r="E187" s="221"/>
      <c r="F187" s="221"/>
      <c r="G187" s="221"/>
      <c r="I187" s="12">
        <v>546</v>
      </c>
      <c r="J187" s="230">
        <v>0.9840924</v>
      </c>
      <c r="L187" s="12">
        <v>546</v>
      </c>
      <c r="M187" s="230">
        <v>0.00159455</v>
      </c>
      <c r="N187" s="230">
        <v>0.986199</v>
      </c>
      <c r="O187" s="230">
        <v>0.930744</v>
      </c>
      <c r="P187" s="231">
        <v>0.548</v>
      </c>
      <c r="Q187" s="230">
        <v>0.265737</v>
      </c>
      <c r="S187" s="12">
        <v>546</v>
      </c>
      <c r="T187" s="230">
        <v>0.000567049536773651</v>
      </c>
      <c r="U187" s="230">
        <v>0.999963159317147</v>
      </c>
      <c r="V187" s="230">
        <v>0.894371599765224</v>
      </c>
      <c r="W187" s="231">
        <v>0.675364144579523</v>
      </c>
      <c r="X187" s="230">
        <v>0.265685589876549</v>
      </c>
      <c r="Z187" s="12">
        <v>546</v>
      </c>
      <c r="AA187" s="230">
        <f ca="1" t="shared" si="30"/>
        <v>0.000567049536773651</v>
      </c>
      <c r="AB187" s="230">
        <f ca="1" t="shared" si="31"/>
        <v>0.999963159317147</v>
      </c>
      <c r="AC187" s="230">
        <f ca="1" t="shared" si="32"/>
        <v>0.894371599765224</v>
      </c>
      <c r="AD187" s="230">
        <f ca="1" t="shared" si="33"/>
        <v>0.675364144579523</v>
      </c>
      <c r="AE187" s="230">
        <f ca="1" t="shared" si="34"/>
        <v>0.265685589876549</v>
      </c>
      <c r="AG187" s="12">
        <v>546</v>
      </c>
      <c r="AH187" s="231">
        <f ca="1" t="shared" si="35"/>
        <v>1.03855226515321e-6</v>
      </c>
      <c r="AI187" s="231">
        <f ca="1" t="shared" si="36"/>
        <v>0.00183143435772371</v>
      </c>
      <c r="AJ187" s="231">
        <f ca="1" t="shared" si="37"/>
        <v>0.00163804322301323</v>
      </c>
      <c r="AK187" s="231">
        <f ca="1" t="shared" si="38"/>
        <v>0.00123693066772806</v>
      </c>
      <c r="AL187" s="231">
        <f ca="1" t="shared" si="39"/>
        <v>0.000486603644462544</v>
      </c>
      <c r="AN187" s="12">
        <v>546</v>
      </c>
      <c r="AO187" s="231">
        <f ca="1" t="shared" si="40"/>
        <v>0.000456962996667411</v>
      </c>
      <c r="AP187" s="231">
        <f ca="1" t="shared" si="41"/>
        <v>0.994527101448585</v>
      </c>
      <c r="AQ187" s="231">
        <f ca="1" t="shared" si="42"/>
        <v>0.932499088976186</v>
      </c>
      <c r="AR187" s="231">
        <f ca="1" t="shared" si="43"/>
        <v>0.630505776179716</v>
      </c>
      <c r="AS187" s="231">
        <f ca="1" t="shared" si="44"/>
        <v>0.237840778926502</v>
      </c>
    </row>
    <row r="188" ht="15" hidden="1" customHeight="1" spans="3:45">
      <c r="C188" s="221"/>
      <c r="D188" s="221"/>
      <c r="E188" s="221"/>
      <c r="F188" s="221"/>
      <c r="G188" s="221"/>
      <c r="I188" s="12">
        <v>547</v>
      </c>
      <c r="J188" s="230">
        <v>0.9874182</v>
      </c>
      <c r="L188" s="12">
        <v>547</v>
      </c>
      <c r="M188" s="230">
        <v>0.00144783</v>
      </c>
      <c r="N188" s="230">
        <v>0.980229</v>
      </c>
      <c r="O188" s="230">
        <v>0.93416</v>
      </c>
      <c r="P188" s="231">
        <v>0.531</v>
      </c>
      <c r="Q188" s="230">
        <v>0.252648</v>
      </c>
      <c r="S188" s="12">
        <v>547</v>
      </c>
      <c r="T188" s="230">
        <v>0.000517173186209883</v>
      </c>
      <c r="U188" s="230">
        <v>0.99952117697301</v>
      </c>
      <c r="V188" s="230">
        <v>0.901652103067492</v>
      </c>
      <c r="W188" s="231">
        <v>0.659037307038939</v>
      </c>
      <c r="X188" s="230">
        <v>0.252613176529954</v>
      </c>
      <c r="Z188" s="12">
        <v>547</v>
      </c>
      <c r="AA188" s="230">
        <f ca="1" t="shared" si="30"/>
        <v>0.000517173186209883</v>
      </c>
      <c r="AB188" s="230">
        <f ca="1" t="shared" si="31"/>
        <v>0.99952117697301</v>
      </c>
      <c r="AC188" s="230">
        <f ca="1" t="shared" si="32"/>
        <v>0.901652103067492</v>
      </c>
      <c r="AD188" s="230">
        <f ca="1" t="shared" si="33"/>
        <v>0.659037307038939</v>
      </c>
      <c r="AE188" s="230">
        <f ca="1" t="shared" si="34"/>
        <v>0.252613176529954</v>
      </c>
      <c r="AG188" s="12">
        <v>547</v>
      </c>
      <c r="AH188" s="231">
        <f ca="1" t="shared" si="35"/>
        <v>9.45472004040006e-7</v>
      </c>
      <c r="AI188" s="231">
        <f ca="1" t="shared" si="36"/>
        <v>0.0018272782028757</v>
      </c>
      <c r="AJ188" s="231">
        <f ca="1" t="shared" si="37"/>
        <v>0.00164835850652192</v>
      </c>
      <c r="AK188" s="231">
        <f ca="1" t="shared" si="38"/>
        <v>0.00120482140226497</v>
      </c>
      <c r="AL188" s="231">
        <f ca="1" t="shared" si="39"/>
        <v>0.00046181567921381</v>
      </c>
      <c r="AN188" s="12">
        <v>547</v>
      </c>
      <c r="AO188" s="231">
        <f ca="1" t="shared" si="40"/>
        <v>0.000416007681777602</v>
      </c>
      <c r="AP188" s="231">
        <f ca="1" t="shared" si="41"/>
        <v>0.992270177187702</v>
      </c>
      <c r="AQ188" s="231">
        <f ca="1" t="shared" si="42"/>
        <v>0.93837133479928</v>
      </c>
      <c r="AR188" s="231">
        <f ca="1" t="shared" si="43"/>
        <v>0.614138587725611</v>
      </c>
      <c r="AS188" s="231">
        <f ca="1" t="shared" si="44"/>
        <v>0.225724986063352</v>
      </c>
    </row>
    <row r="189" ht="15" hidden="1" customHeight="1" spans="3:45">
      <c r="C189" s="221"/>
      <c r="D189" s="221"/>
      <c r="E189" s="221"/>
      <c r="F189" s="221"/>
      <c r="G189" s="221"/>
      <c r="I189" s="12">
        <v>548</v>
      </c>
      <c r="J189" s="230">
        <v>0.9903128</v>
      </c>
      <c r="L189" s="12">
        <v>548</v>
      </c>
      <c r="M189" s="230">
        <v>0.0013143</v>
      </c>
      <c r="N189" s="230">
        <v>0.973906</v>
      </c>
      <c r="O189" s="230">
        <v>0.937318</v>
      </c>
      <c r="P189" s="231">
        <v>0.514</v>
      </c>
      <c r="Q189" s="230">
        <v>0.239917</v>
      </c>
      <c r="S189" s="12">
        <v>548</v>
      </c>
      <c r="T189" s="230">
        <v>0.000471832660849824</v>
      </c>
      <c r="U189" s="230">
        <v>0.998663092519071</v>
      </c>
      <c r="V189" s="230">
        <v>0.908763760492644</v>
      </c>
      <c r="W189" s="231">
        <v>0.642530873083921</v>
      </c>
      <c r="X189" s="230">
        <v>0.239924169409643</v>
      </c>
      <c r="Z189" s="12">
        <v>548</v>
      </c>
      <c r="AA189" s="230">
        <f ca="1" t="shared" si="30"/>
        <v>0.000471832660849824</v>
      </c>
      <c r="AB189" s="230">
        <f ca="1" t="shared" si="31"/>
        <v>0.998663092519071</v>
      </c>
      <c r="AC189" s="230">
        <f ca="1" t="shared" si="32"/>
        <v>0.908763760492644</v>
      </c>
      <c r="AD189" s="230">
        <f ca="1" t="shared" si="33"/>
        <v>0.642530873083921</v>
      </c>
      <c r="AE189" s="230">
        <f ca="1" t="shared" si="34"/>
        <v>0.239924169409643</v>
      </c>
      <c r="AG189" s="12">
        <v>548</v>
      </c>
      <c r="AH189" s="231">
        <f ca="1" t="shared" si="35"/>
        <v>8.61008505200409e-7</v>
      </c>
      <c r="AI189" s="231">
        <f ca="1" t="shared" si="36"/>
        <v>0.0018223779060567</v>
      </c>
      <c r="AJ189" s="231">
        <f ca="1" t="shared" si="37"/>
        <v>0.00165832803009607</v>
      </c>
      <c r="AK189" s="231">
        <f ca="1" t="shared" si="38"/>
        <v>0.00117250159321883</v>
      </c>
      <c r="AL189" s="231">
        <f ca="1" t="shared" si="39"/>
        <v>0.000437817827389859</v>
      </c>
      <c r="AN189" s="12">
        <v>548</v>
      </c>
      <c r="AO189" s="231">
        <f ca="1" t="shared" si="40"/>
        <v>0.00037884374228818</v>
      </c>
      <c r="AP189" s="231">
        <f ca="1" t="shared" si="41"/>
        <v>0.989609160170581</v>
      </c>
      <c r="AQ189" s="231">
        <f ca="1" t="shared" si="42"/>
        <v>0.944046747706464</v>
      </c>
      <c r="AR189" s="231">
        <f ca="1" t="shared" si="43"/>
        <v>0.597664078021648</v>
      </c>
      <c r="AS189" s="231">
        <f ca="1" t="shared" si="44"/>
        <v>0.213995382647259</v>
      </c>
    </row>
    <row r="190" ht="15" hidden="1" customHeight="1" spans="3:45">
      <c r="C190" s="221"/>
      <c r="D190" s="221"/>
      <c r="E190" s="221"/>
      <c r="F190" s="221"/>
      <c r="G190" s="221"/>
      <c r="I190" s="12">
        <v>549</v>
      </c>
      <c r="J190" s="230">
        <v>0.9928116</v>
      </c>
      <c r="L190" s="12">
        <v>549</v>
      </c>
      <c r="M190" s="230">
        <v>0.00119281</v>
      </c>
      <c r="N190" s="230">
        <v>0.967653</v>
      </c>
      <c r="O190" s="230">
        <v>0.940634</v>
      </c>
      <c r="P190" s="231">
        <v>0.497</v>
      </c>
      <c r="Q190" s="230">
        <v>0.227592</v>
      </c>
      <c r="S190" s="12">
        <v>549</v>
      </c>
      <c r="T190" s="230">
        <v>0.000430601957720082</v>
      </c>
      <c r="U190" s="230">
        <v>0.997385384825251</v>
      </c>
      <c r="V190" s="230">
        <v>0.915701656870727</v>
      </c>
      <c r="W190" s="231">
        <v>0.625869805600941</v>
      </c>
      <c r="X190" s="230">
        <v>0.227625545719014</v>
      </c>
      <c r="Z190" s="12">
        <v>549</v>
      </c>
      <c r="AA190" s="230">
        <f ca="1" t="shared" si="30"/>
        <v>0.000430601957720082</v>
      </c>
      <c r="AB190" s="230">
        <f ca="1" t="shared" si="31"/>
        <v>0.997385384825251</v>
      </c>
      <c r="AC190" s="230">
        <f ca="1" t="shared" si="32"/>
        <v>0.915701656870727</v>
      </c>
      <c r="AD190" s="230">
        <f ca="1" t="shared" si="33"/>
        <v>0.625869805600941</v>
      </c>
      <c r="AE190" s="230">
        <f ca="1" t="shared" si="34"/>
        <v>0.227625545719014</v>
      </c>
      <c r="AG190" s="12">
        <v>549</v>
      </c>
      <c r="AH190" s="231">
        <f ca="1" t="shared" si="35"/>
        <v>7.84338720801607e-7</v>
      </c>
      <c r="AI190" s="231">
        <f ca="1" t="shared" si="36"/>
        <v>0.00181673111990028</v>
      </c>
      <c r="AJ190" s="231">
        <f ca="1" t="shared" si="37"/>
        <v>0.00166794473018347</v>
      </c>
      <c r="AK190" s="231">
        <f ca="1" t="shared" si="38"/>
        <v>0.0011400178608396</v>
      </c>
      <c r="AL190" s="231">
        <f ca="1" t="shared" si="39"/>
        <v>0.000414618480362503</v>
      </c>
      <c r="AN190" s="12">
        <v>549</v>
      </c>
      <c r="AO190" s="231">
        <f ca="1" t="shared" si="40"/>
        <v>0.000345109037152707</v>
      </c>
      <c r="AP190" s="231">
        <f ca="1" t="shared" si="41"/>
        <v>0.986542775702601</v>
      </c>
      <c r="AQ190" s="231">
        <f ca="1" t="shared" si="42"/>
        <v>0.9495213065853</v>
      </c>
      <c r="AR190" s="231">
        <f ca="1" t="shared" si="43"/>
        <v>0.581106011000316</v>
      </c>
      <c r="AS190" s="231">
        <f ca="1" t="shared" si="44"/>
        <v>0.202656070189649</v>
      </c>
    </row>
    <row r="191" ht="15" hidden="1" customHeight="1" spans="3:45">
      <c r="C191" s="221"/>
      <c r="D191" s="221"/>
      <c r="E191" s="221"/>
      <c r="F191" s="221"/>
      <c r="G191" s="221"/>
      <c r="I191" s="12">
        <v>550</v>
      </c>
      <c r="J191" s="230">
        <v>0.9949501</v>
      </c>
      <c r="L191" s="12">
        <v>550</v>
      </c>
      <c r="M191" s="230">
        <v>0.0010823</v>
      </c>
      <c r="N191" s="230">
        <v>0.961876</v>
      </c>
      <c r="O191" s="230">
        <v>0.944527</v>
      </c>
      <c r="P191" s="231">
        <v>0.481</v>
      </c>
      <c r="Q191" s="230">
        <v>0.215722</v>
      </c>
      <c r="S191" s="12">
        <v>550</v>
      </c>
      <c r="T191" s="230">
        <v>0.000393098150048366</v>
      </c>
      <c r="U191" s="230">
        <v>0.995678203397931</v>
      </c>
      <c r="V191" s="230">
        <v>0.922458846166011</v>
      </c>
      <c r="W191" s="231">
        <v>0.609080926935598</v>
      </c>
      <c r="X191" s="230">
        <v>0.215722279124971</v>
      </c>
      <c r="Z191" s="12">
        <v>550</v>
      </c>
      <c r="AA191" s="230">
        <f ca="1" t="shared" si="30"/>
        <v>0.000393098150048366</v>
      </c>
      <c r="AB191" s="230">
        <f ca="1" t="shared" si="31"/>
        <v>0.995678203397931</v>
      </c>
      <c r="AC191" s="230">
        <f ca="1" t="shared" si="32"/>
        <v>0.922458846166011</v>
      </c>
      <c r="AD191" s="230">
        <f ca="1" t="shared" si="33"/>
        <v>0.609080926935598</v>
      </c>
      <c r="AE191" s="230">
        <f ca="1" t="shared" si="34"/>
        <v>0.215722279124971</v>
      </c>
      <c r="AG191" s="12">
        <v>550</v>
      </c>
      <c r="AH191" s="231">
        <f ca="1" t="shared" si="35"/>
        <v>7.14723909178847e-7</v>
      </c>
      <c r="AI191" s="231">
        <f ca="1" t="shared" si="36"/>
        <v>0.00181032400617806</v>
      </c>
      <c r="AJ191" s="231">
        <f ca="1" t="shared" si="37"/>
        <v>0.00167719790212002</v>
      </c>
      <c r="AK191" s="231">
        <f ca="1" t="shared" si="38"/>
        <v>0.00110741986715563</v>
      </c>
      <c r="AL191" s="231">
        <f ca="1" t="shared" si="39"/>
        <v>0.000392222325681765</v>
      </c>
      <c r="AN191" s="12">
        <v>550</v>
      </c>
      <c r="AO191" s="231">
        <f ca="1" t="shared" si="40"/>
        <v>0.000314478520038693</v>
      </c>
      <c r="AP191" s="231">
        <f ca="1" t="shared" si="41"/>
        <v>0.983063509185657</v>
      </c>
      <c r="AQ191" s="231">
        <f ca="1" t="shared" si="42"/>
        <v>0.954788917524832</v>
      </c>
      <c r="AR191" s="231">
        <f ca="1" t="shared" si="43"/>
        <v>0.56448970109237</v>
      </c>
      <c r="AS191" s="231">
        <f ca="1" t="shared" si="44"/>
        <v>0.191709339858213</v>
      </c>
    </row>
    <row r="192" ht="15" hidden="1" customHeight="1" spans="3:45">
      <c r="C192" s="221"/>
      <c r="D192" s="221"/>
      <c r="E192" s="221"/>
      <c r="F192" s="221"/>
      <c r="G192" s="221"/>
      <c r="I192" s="12">
        <v>551</v>
      </c>
      <c r="J192" s="230">
        <v>0.9967108</v>
      </c>
      <c r="L192" s="12">
        <v>551</v>
      </c>
      <c r="M192" s="230">
        <v>0.000981819</v>
      </c>
      <c r="N192" s="230">
        <v>0.95682</v>
      </c>
      <c r="O192" s="230">
        <v>0.949291</v>
      </c>
      <c r="P192" s="231">
        <v>0.465</v>
      </c>
      <c r="Q192" s="230">
        <v>0.204238</v>
      </c>
      <c r="S192" s="12">
        <v>551</v>
      </c>
      <c r="T192" s="230">
        <v>0.000358891357360587</v>
      </c>
      <c r="U192" s="230">
        <v>0.993305865498083</v>
      </c>
      <c r="V192" s="230">
        <v>0.928814528478501</v>
      </c>
      <c r="W192" s="231">
        <v>0.592054927537912</v>
      </c>
      <c r="X192" s="230">
        <v>0.204171443842807</v>
      </c>
      <c r="Z192" s="12">
        <v>551</v>
      </c>
      <c r="AA192" s="230">
        <f ca="1" t="shared" si="30"/>
        <v>0.000358891357360587</v>
      </c>
      <c r="AB192" s="230">
        <f ca="1" t="shared" si="31"/>
        <v>0.993305865498083</v>
      </c>
      <c r="AC192" s="230">
        <f ca="1" t="shared" si="32"/>
        <v>0.928814528478501</v>
      </c>
      <c r="AD192" s="230">
        <f ca="1" t="shared" si="33"/>
        <v>0.592054927537912</v>
      </c>
      <c r="AE192" s="230">
        <f ca="1" t="shared" si="34"/>
        <v>0.204171443842807</v>
      </c>
      <c r="AG192" s="12">
        <v>551</v>
      </c>
      <c r="AH192" s="231">
        <f ca="1" t="shared" si="35"/>
        <v>6.51345476153515e-7</v>
      </c>
      <c r="AI192" s="231">
        <f ca="1" t="shared" si="36"/>
        <v>0.00180273296823609</v>
      </c>
      <c r="AJ192" s="231">
        <f ca="1" t="shared" si="37"/>
        <v>0.00168568879941652</v>
      </c>
      <c r="AK192" s="231">
        <f ca="1" t="shared" si="38"/>
        <v>0.00107450985034104</v>
      </c>
      <c r="AL192" s="231">
        <f ca="1" t="shared" si="39"/>
        <v>0.000370547085014169</v>
      </c>
      <c r="AN192" s="12">
        <v>551</v>
      </c>
      <c r="AO192" s="231">
        <f ca="1" t="shared" si="40"/>
        <v>0.000286592009507547</v>
      </c>
      <c r="AP192" s="231">
        <f ca="1" t="shared" si="41"/>
        <v>0.978941334164982</v>
      </c>
      <c r="AQ192" s="231">
        <f ca="1" t="shared" si="42"/>
        <v>0.959622583622487</v>
      </c>
      <c r="AR192" s="231">
        <f ca="1" t="shared" si="43"/>
        <v>0.547714342345799</v>
      </c>
      <c r="AS192" s="231">
        <f ca="1" t="shared" si="44"/>
        <v>0.181114975877453</v>
      </c>
    </row>
    <row r="193" ht="15" hidden="1" customHeight="1" spans="3:45">
      <c r="C193" s="221"/>
      <c r="D193" s="221"/>
      <c r="E193" s="221"/>
      <c r="F193" s="221"/>
      <c r="G193" s="221"/>
      <c r="I193" s="12">
        <v>552</v>
      </c>
      <c r="J193" s="230">
        <v>0.9980983</v>
      </c>
      <c r="L193" s="12">
        <v>552</v>
      </c>
      <c r="M193" s="230">
        <v>0.000890533</v>
      </c>
      <c r="N193" s="230">
        <v>0.952151</v>
      </c>
      <c r="O193" s="230">
        <v>0.95468</v>
      </c>
      <c r="P193" s="231">
        <v>0.448</v>
      </c>
      <c r="Q193" s="230">
        <v>0.193075</v>
      </c>
      <c r="S193" s="12">
        <v>552</v>
      </c>
      <c r="T193" s="230">
        <v>0.000327763810520113</v>
      </c>
      <c r="U193" s="230">
        <v>0.990494344140101</v>
      </c>
      <c r="V193" s="230">
        <v>0.9349750030886</v>
      </c>
      <c r="W193" s="231">
        <v>0.574960487393635</v>
      </c>
      <c r="X193" s="230">
        <v>0.19302830628391</v>
      </c>
      <c r="Z193" s="12">
        <v>552</v>
      </c>
      <c r="AA193" s="230">
        <f ca="1" t="shared" si="30"/>
        <v>0.000327763810520113</v>
      </c>
      <c r="AB193" s="230">
        <f ca="1" t="shared" si="31"/>
        <v>0.990494344140101</v>
      </c>
      <c r="AC193" s="230">
        <f ca="1" t="shared" si="32"/>
        <v>0.9349750030886</v>
      </c>
      <c r="AD193" s="230">
        <f ca="1" t="shared" si="33"/>
        <v>0.574960487393635</v>
      </c>
      <c r="AE193" s="230">
        <f ca="1" t="shared" si="34"/>
        <v>0.19302830628391</v>
      </c>
      <c r="AG193" s="12">
        <v>552</v>
      </c>
      <c r="AH193" s="231">
        <f ca="1" t="shared" si="35"/>
        <v>5.93775019058176e-7</v>
      </c>
      <c r="AI193" s="231">
        <f ca="1" t="shared" si="36"/>
        <v>0.00179437381184801</v>
      </c>
      <c r="AJ193" s="231">
        <f ca="1" t="shared" si="37"/>
        <v>0.00169379529545036</v>
      </c>
      <c r="AK193" s="231">
        <f ca="1" t="shared" si="38"/>
        <v>0.00104159508585803</v>
      </c>
      <c r="AL193" s="231">
        <f ca="1" t="shared" si="39"/>
        <v>0.000349688960659257</v>
      </c>
      <c r="AN193" s="12">
        <v>552</v>
      </c>
      <c r="AO193" s="231">
        <f ca="1" t="shared" si="40"/>
        <v>0.000261261008385597</v>
      </c>
      <c r="AP193" s="231">
        <f ca="1" t="shared" si="41"/>
        <v>0.97440204639956</v>
      </c>
      <c r="AQ193" s="231">
        <f ca="1" t="shared" si="42"/>
        <v>0.964237419214215</v>
      </c>
      <c r="AR193" s="231">
        <f ca="1" t="shared" si="43"/>
        <v>0.530936563550609</v>
      </c>
      <c r="AS193" s="231">
        <f ca="1" t="shared" si="44"/>
        <v>0.170919999740361</v>
      </c>
    </row>
    <row r="194" ht="15" hidden="1" customHeight="1" spans="3:45">
      <c r="C194" s="221"/>
      <c r="D194" s="221"/>
      <c r="E194" s="221"/>
      <c r="F194" s="221"/>
      <c r="G194" s="221"/>
      <c r="I194" s="12">
        <v>553</v>
      </c>
      <c r="J194" s="230">
        <v>0.999112</v>
      </c>
      <c r="L194" s="12">
        <v>553</v>
      </c>
      <c r="M194" s="230">
        <v>0.000807687</v>
      </c>
      <c r="N194" s="230">
        <v>0.947398</v>
      </c>
      <c r="O194" s="230">
        <v>0.960309</v>
      </c>
      <c r="P194" s="231">
        <v>0.433</v>
      </c>
      <c r="Q194" s="230">
        <v>0.182288</v>
      </c>
      <c r="S194" s="12">
        <v>553</v>
      </c>
      <c r="T194" s="230">
        <v>0.000299430475517429</v>
      </c>
      <c r="U194" s="230">
        <v>0.987236037008892</v>
      </c>
      <c r="V194" s="230">
        <v>0.940933649561994</v>
      </c>
      <c r="W194" s="231">
        <v>0.557825033256074</v>
      </c>
      <c r="X194" s="230">
        <v>0.182294682266955</v>
      </c>
      <c r="Z194" s="12">
        <v>553</v>
      </c>
      <c r="AA194" s="230">
        <f ca="1" t="shared" si="30"/>
        <v>0.000299430475517429</v>
      </c>
      <c r="AB194" s="230">
        <f ca="1" t="shared" si="31"/>
        <v>0.987236037008892</v>
      </c>
      <c r="AC194" s="230">
        <f ca="1" t="shared" si="32"/>
        <v>0.940933649561994</v>
      </c>
      <c r="AD194" s="230">
        <f ca="1" t="shared" si="33"/>
        <v>0.557825033256074</v>
      </c>
      <c r="AE194" s="230">
        <f ca="1" t="shared" si="34"/>
        <v>0.182294682266955</v>
      </c>
      <c r="AG194" s="12">
        <v>553</v>
      </c>
      <c r="AH194" s="231">
        <f ca="1" t="shared" si="35"/>
        <v>5.41465597680703e-7</v>
      </c>
      <c r="AI194" s="231">
        <f ca="1" t="shared" si="36"/>
        <v>0.00178523695661644</v>
      </c>
      <c r="AJ194" s="231">
        <f ca="1" t="shared" si="37"/>
        <v>0.00170150750372874</v>
      </c>
      <c r="AK194" s="231">
        <f ca="1" t="shared" si="38"/>
        <v>0.00100872519576144</v>
      </c>
      <c r="AL194" s="231">
        <f ca="1" t="shared" si="39"/>
        <v>0.000329646803376049</v>
      </c>
      <c r="AN194" s="12">
        <v>553</v>
      </c>
      <c r="AO194" s="231">
        <f ca="1" t="shared" si="40"/>
        <v>0.000238244862979509</v>
      </c>
      <c r="AP194" s="231">
        <f ca="1" t="shared" si="41"/>
        <v>0.969440443428924</v>
      </c>
      <c r="AQ194" s="231">
        <f ca="1" t="shared" si="42"/>
        <v>0.968627796154546</v>
      </c>
      <c r="AR194" s="231">
        <f ca="1" t="shared" si="43"/>
        <v>0.514181658761673</v>
      </c>
      <c r="AS194" s="231">
        <f ca="1" t="shared" si="44"/>
        <v>0.161123849724117</v>
      </c>
    </row>
    <row r="195" ht="15" hidden="1" customHeight="1" spans="3:45">
      <c r="C195" s="221"/>
      <c r="D195" s="221"/>
      <c r="E195" s="221"/>
      <c r="F195" s="221"/>
      <c r="G195" s="221"/>
      <c r="I195" s="12">
        <v>554</v>
      </c>
      <c r="J195" s="230">
        <v>0.9997482</v>
      </c>
      <c r="L195" s="12">
        <v>554</v>
      </c>
      <c r="M195" s="230">
        <v>0.000732568</v>
      </c>
      <c r="N195" s="230">
        <v>0.942105</v>
      </c>
      <c r="O195" s="230">
        <v>0.965785</v>
      </c>
      <c r="P195" s="231">
        <v>0.417</v>
      </c>
      <c r="Q195" s="230">
        <v>0.17193</v>
      </c>
      <c r="S195" s="12">
        <v>554</v>
      </c>
      <c r="T195" s="230">
        <v>0.000273633332737112</v>
      </c>
      <c r="U195" s="230">
        <v>0.983526350572338</v>
      </c>
      <c r="V195" s="230">
        <v>0.946681739255586</v>
      </c>
      <c r="W195" s="231">
        <v>0.540673395367073</v>
      </c>
      <c r="X195" s="230">
        <v>0.171970518228559</v>
      </c>
      <c r="Z195" s="12">
        <v>554</v>
      </c>
      <c r="AA195" s="230">
        <f ca="1" t="shared" si="30"/>
        <v>0.000273633332737112</v>
      </c>
      <c r="AB195" s="230">
        <f ca="1" t="shared" si="31"/>
        <v>0.983526350572338</v>
      </c>
      <c r="AC195" s="230">
        <f ca="1" t="shared" si="32"/>
        <v>0.946681739255586</v>
      </c>
      <c r="AD195" s="230">
        <f ca="1" t="shared" si="33"/>
        <v>0.540673395367073</v>
      </c>
      <c r="AE195" s="230">
        <f ca="1" t="shared" si="34"/>
        <v>0.171970518228559</v>
      </c>
      <c r="AG195" s="12">
        <v>554</v>
      </c>
      <c r="AH195" s="231">
        <f ca="1" t="shared" si="35"/>
        <v>4.93922983279986e-7</v>
      </c>
      <c r="AI195" s="231">
        <f ca="1" t="shared" si="36"/>
        <v>0.00177531832233274</v>
      </c>
      <c r="AJ195" s="231">
        <f ca="1" t="shared" si="37"/>
        <v>0.00170881180371044</v>
      </c>
      <c r="AK195" s="231">
        <f ca="1" t="shared" si="38"/>
        <v>0.000975944756980276</v>
      </c>
      <c r="AL195" s="231">
        <f ca="1" t="shared" si="39"/>
        <v>0.000310416097885486</v>
      </c>
      <c r="AN195" s="12">
        <v>554</v>
      </c>
      <c r="AO195" s="231">
        <f ca="1" t="shared" si="40"/>
        <v>0.000217326112643194</v>
      </c>
      <c r="AP195" s="231">
        <f ca="1" t="shared" si="41"/>
        <v>0.964054309570019</v>
      </c>
      <c r="AQ195" s="231">
        <f ca="1" t="shared" si="42"/>
        <v>0.972785960592977</v>
      </c>
      <c r="AR195" s="231">
        <f ca="1" t="shared" si="43"/>
        <v>0.497472350361075</v>
      </c>
      <c r="AS195" s="231">
        <f ca="1" t="shared" si="44"/>
        <v>0.151724318863157</v>
      </c>
    </row>
    <row r="196" ht="15" hidden="1" customHeight="1" spans="3:45">
      <c r="C196" s="221"/>
      <c r="D196" s="221"/>
      <c r="E196" s="221"/>
      <c r="F196" s="221"/>
      <c r="G196" s="221"/>
      <c r="I196" s="12">
        <v>555</v>
      </c>
      <c r="J196" s="230">
        <v>1</v>
      </c>
      <c r="L196" s="12">
        <v>555</v>
      </c>
      <c r="M196" s="230">
        <v>0.000664512</v>
      </c>
      <c r="N196" s="230">
        <v>0.935829</v>
      </c>
      <c r="O196" s="230">
        <v>0.970703</v>
      </c>
      <c r="P196" s="231">
        <v>0.402</v>
      </c>
      <c r="Q196" s="230">
        <v>0.162056</v>
      </c>
      <c r="S196" s="12">
        <v>555</v>
      </c>
      <c r="T196" s="230">
        <v>0.00025013646040407</v>
      </c>
      <c r="U196" s="230">
        <v>0.979361438379381</v>
      </c>
      <c r="V196" s="230">
        <v>0.952217151946725</v>
      </c>
      <c r="W196" s="231">
        <v>0.523532925403092</v>
      </c>
      <c r="X196" s="230">
        <v>0.162055957055033</v>
      </c>
      <c r="Z196" s="12">
        <v>555</v>
      </c>
      <c r="AA196" s="230">
        <f ca="1" t="shared" si="30"/>
        <v>0.00025013646040407</v>
      </c>
      <c r="AB196" s="230">
        <f ca="1" t="shared" si="31"/>
        <v>0.979361438379381</v>
      </c>
      <c r="AC196" s="230">
        <f ca="1" t="shared" si="32"/>
        <v>0.952217151946725</v>
      </c>
      <c r="AD196" s="230">
        <f ca="1" t="shared" si="33"/>
        <v>0.523532925403092</v>
      </c>
      <c r="AE196" s="230">
        <f ca="1" t="shared" si="34"/>
        <v>0.162055957055033</v>
      </c>
      <c r="AG196" s="12">
        <v>555</v>
      </c>
      <c r="AH196" s="231">
        <f ca="1" t="shared" si="35"/>
        <v>4.50696325052378e-7</v>
      </c>
      <c r="AI196" s="231">
        <f ca="1" t="shared" si="36"/>
        <v>0.00176461520428717</v>
      </c>
      <c r="AJ196" s="231">
        <f ca="1" t="shared" si="37"/>
        <v>0.00171570658008419</v>
      </c>
      <c r="AK196" s="231">
        <f ca="1" t="shared" si="38"/>
        <v>0.000943302568293859</v>
      </c>
      <c r="AL196" s="231">
        <f ca="1" t="shared" si="39"/>
        <v>0.000291992715414474</v>
      </c>
      <c r="AN196" s="12">
        <v>555</v>
      </c>
      <c r="AO196" s="231">
        <f ca="1" t="shared" si="40"/>
        <v>0.000198306383023046</v>
      </c>
      <c r="AP196" s="231">
        <f ca="1" t="shared" si="41"/>
        <v>0.958242176079441</v>
      </c>
      <c r="AQ196" s="231">
        <f ca="1" t="shared" si="42"/>
        <v>0.976710992971173</v>
      </c>
      <c r="AR196" s="231">
        <f ca="1" t="shared" si="43"/>
        <v>0.480833512752063</v>
      </c>
      <c r="AS196" s="231">
        <f ca="1" t="shared" si="44"/>
        <v>0.142719389107223</v>
      </c>
    </row>
    <row r="197" ht="15" hidden="1" customHeight="1" spans="3:45">
      <c r="C197" s="221"/>
      <c r="D197" s="221"/>
      <c r="E197" s="221"/>
      <c r="F197" s="221"/>
      <c r="G197" s="221"/>
      <c r="I197" s="12">
        <v>556</v>
      </c>
      <c r="J197" s="230">
        <v>0.9998567</v>
      </c>
      <c r="L197" s="12">
        <v>556</v>
      </c>
      <c r="M197" s="230">
        <v>0.000602887</v>
      </c>
      <c r="N197" s="230">
        <v>0.928274</v>
      </c>
      <c r="O197" s="230">
        <v>0.974756</v>
      </c>
      <c r="P197" s="232">
        <v>0.3864</v>
      </c>
      <c r="Q197" s="230">
        <v>0.152601</v>
      </c>
      <c r="S197" s="12">
        <v>556</v>
      </c>
      <c r="T197" s="230">
        <v>0.000228729931545404</v>
      </c>
      <c r="U197" s="230">
        <v>0.974738230516592</v>
      </c>
      <c r="V197" s="230">
        <v>0.957529141089003</v>
      </c>
      <c r="W197" s="232">
        <v>0.506429504882752</v>
      </c>
      <c r="X197" s="230">
        <v>0.152548871766699</v>
      </c>
      <c r="Z197" s="12">
        <v>556</v>
      </c>
      <c r="AA197" s="230">
        <f ca="1" t="shared" si="30"/>
        <v>0.000228729931545404</v>
      </c>
      <c r="AB197" s="230">
        <f ca="1" t="shared" si="31"/>
        <v>0.974738230516592</v>
      </c>
      <c r="AC197" s="230">
        <f ca="1" t="shared" si="32"/>
        <v>0.957529141089003</v>
      </c>
      <c r="AD197" s="230">
        <f ca="1" t="shared" si="33"/>
        <v>0.506429504882752</v>
      </c>
      <c r="AE197" s="230">
        <f ca="1" t="shared" si="34"/>
        <v>0.152548871766699</v>
      </c>
      <c r="AG197" s="12">
        <v>556</v>
      </c>
      <c r="AH197" s="231">
        <f ca="1" t="shared" si="35"/>
        <v>4.11384768966554e-7</v>
      </c>
      <c r="AI197" s="231">
        <f ca="1" t="shared" si="36"/>
        <v>0.00175312631387876</v>
      </c>
      <c r="AJ197" s="231">
        <f ca="1" t="shared" si="37"/>
        <v>0.00172217471418885</v>
      </c>
      <c r="AK197" s="231">
        <f ca="1" t="shared" si="38"/>
        <v>0.00091084443324236</v>
      </c>
      <c r="AL197" s="231">
        <f ca="1" t="shared" si="39"/>
        <v>0.000274368474400538</v>
      </c>
      <c r="AN197" s="12">
        <v>556</v>
      </c>
      <c r="AO197" s="231">
        <f ca="1" t="shared" si="40"/>
        <v>0.000181009298345284</v>
      </c>
      <c r="AP197" s="231">
        <f ca="1" t="shared" si="41"/>
        <v>0.95200334320588</v>
      </c>
      <c r="AQ197" s="231">
        <f ca="1" t="shared" si="42"/>
        <v>0.980393148042076</v>
      </c>
      <c r="AR197" s="231">
        <f ca="1" t="shared" si="43"/>
        <v>0.46428849356228</v>
      </c>
      <c r="AS197" s="231">
        <f ca="1" t="shared" si="44"/>
        <v>0.134105061494916</v>
      </c>
    </row>
    <row r="198" ht="15" hidden="1" customHeight="1" spans="3:45">
      <c r="C198" s="221"/>
      <c r="D198" s="221"/>
      <c r="E198" s="221"/>
      <c r="F198" s="221"/>
      <c r="G198" s="221"/>
      <c r="I198" s="12">
        <v>557</v>
      </c>
      <c r="J198" s="230">
        <v>0.9993046</v>
      </c>
      <c r="L198" s="12">
        <v>557</v>
      </c>
      <c r="M198" s="230">
        <v>0.000547062</v>
      </c>
      <c r="N198" s="230">
        <v>0.919667</v>
      </c>
      <c r="O198" s="230">
        <v>0.978055</v>
      </c>
      <c r="P198" s="232">
        <v>0.3715</v>
      </c>
      <c r="Q198" s="230">
        <v>0.143487</v>
      </c>
      <c r="S198" s="12">
        <v>557</v>
      </c>
      <c r="T198" s="230">
        <v>0.000209220868225433</v>
      </c>
      <c r="U198" s="230">
        <v>0.969654461409037</v>
      </c>
      <c r="V198" s="230">
        <v>0.962611398607954</v>
      </c>
      <c r="W198" s="232">
        <v>0.489388770700594</v>
      </c>
      <c r="X198" s="230">
        <v>0.143446514462968</v>
      </c>
      <c r="Z198" s="12">
        <v>557</v>
      </c>
      <c r="AA198" s="230">
        <f ca="1" t="shared" si="30"/>
        <v>0.000209220868225433</v>
      </c>
      <c r="AB198" s="230">
        <f ca="1" t="shared" si="31"/>
        <v>0.969654461409037</v>
      </c>
      <c r="AC198" s="230">
        <f ca="1" t="shared" si="32"/>
        <v>0.962611398607954</v>
      </c>
      <c r="AD198" s="230">
        <f ca="1" t="shared" si="33"/>
        <v>0.489388770700594</v>
      </c>
      <c r="AE198" s="230">
        <f ca="1" t="shared" si="34"/>
        <v>0.143446514462968</v>
      </c>
      <c r="AG198" s="12">
        <v>557</v>
      </c>
      <c r="AH198" s="231">
        <f ca="1" t="shared" si="35"/>
        <v>3.75620948340095e-7</v>
      </c>
      <c r="AI198" s="231">
        <f ca="1" t="shared" si="36"/>
        <v>0.00174085181581515</v>
      </c>
      <c r="AJ198" s="231">
        <f ca="1" t="shared" si="37"/>
        <v>0.00172820717882936</v>
      </c>
      <c r="AK198" s="231">
        <f ca="1" t="shared" si="38"/>
        <v>0.000878615387254208</v>
      </c>
      <c r="AL198" s="231">
        <f ca="1" t="shared" si="39"/>
        <v>0.000257534137276424</v>
      </c>
      <c r="AN198" s="12">
        <v>557</v>
      </c>
      <c r="AO198" s="231">
        <f ca="1" t="shared" si="40"/>
        <v>0.000165273217269642</v>
      </c>
      <c r="AP198" s="231">
        <f ca="1" t="shared" si="41"/>
        <v>0.94533790039082</v>
      </c>
      <c r="AQ198" s="231">
        <f ca="1" t="shared" si="42"/>
        <v>0.983827286838002</v>
      </c>
      <c r="AR198" s="231">
        <f ca="1" t="shared" si="43"/>
        <v>0.447860248886598</v>
      </c>
      <c r="AS198" s="231">
        <f ca="1" t="shared" si="44"/>
        <v>0.125876820913749</v>
      </c>
    </row>
    <row r="199" ht="15" hidden="1" customHeight="1" spans="3:45">
      <c r="C199" s="221"/>
      <c r="D199" s="221"/>
      <c r="E199" s="221"/>
      <c r="F199" s="221"/>
      <c r="G199" s="221"/>
      <c r="I199" s="12">
        <v>558</v>
      </c>
      <c r="J199" s="230">
        <v>0.9983255</v>
      </c>
      <c r="L199" s="12">
        <v>558</v>
      </c>
      <c r="M199" s="230">
        <v>0.000496461</v>
      </c>
      <c r="N199" s="230">
        <v>0.910356</v>
      </c>
      <c r="O199" s="230">
        <v>0.980819</v>
      </c>
      <c r="P199" s="232">
        <v>0.3569</v>
      </c>
      <c r="Q199" s="230">
        <v>0.134748</v>
      </c>
      <c r="S199" s="12">
        <v>558</v>
      </c>
      <c r="T199" s="230">
        <v>0.000191435730566021</v>
      </c>
      <c r="U199" s="230">
        <v>0.964108695783143</v>
      </c>
      <c r="V199" s="230">
        <v>0.967457732262859</v>
      </c>
      <c r="W199" s="232">
        <v>0.47243710546084</v>
      </c>
      <c r="X199" s="230">
        <v>0.134745416143441</v>
      </c>
      <c r="Z199" s="12">
        <v>558</v>
      </c>
      <c r="AA199" s="230">
        <f ca="1" t="shared" si="30"/>
        <v>0.000191435730566021</v>
      </c>
      <c r="AB199" s="230">
        <f ca="1" t="shared" si="31"/>
        <v>0.964108695783143</v>
      </c>
      <c r="AC199" s="230">
        <f ca="1" t="shared" si="32"/>
        <v>0.967457732262859</v>
      </c>
      <c r="AD199" s="230">
        <f ca="1" t="shared" si="33"/>
        <v>0.47243710546084</v>
      </c>
      <c r="AE199" s="230">
        <f ca="1" t="shared" si="34"/>
        <v>0.134745416143441</v>
      </c>
      <c r="AG199" s="12">
        <v>558</v>
      </c>
      <c r="AH199" s="231">
        <f ca="1" t="shared" si="35"/>
        <v>3.43074785960611e-7</v>
      </c>
      <c r="AI199" s="231">
        <f ca="1" t="shared" si="36"/>
        <v>0.00172779336161854</v>
      </c>
      <c r="AJ199" s="231">
        <f ca="1" t="shared" si="37"/>
        <v>0.00173379521910907</v>
      </c>
      <c r="AK199" s="231">
        <f ca="1" t="shared" si="38"/>
        <v>0.000846661479320502</v>
      </c>
      <c r="AL199" s="231">
        <f ca="1" t="shared" si="39"/>
        <v>0.000241479240400432</v>
      </c>
      <c r="AN199" s="12">
        <v>558</v>
      </c>
      <c r="AO199" s="231">
        <f ca="1" t="shared" si="40"/>
        <v>0.000150952905822669</v>
      </c>
      <c r="AP199" s="231">
        <f ca="1" t="shared" si="41"/>
        <v>0.938246744463344</v>
      </c>
      <c r="AQ199" s="231">
        <f ca="1" t="shared" si="42"/>
        <v>0.987008425404298</v>
      </c>
      <c r="AR199" s="231">
        <f ca="1" t="shared" si="43"/>
        <v>0.431572251467371</v>
      </c>
      <c r="AS199" s="231">
        <f ca="1" t="shared" si="44"/>
        <v>0.11802955297397</v>
      </c>
    </row>
    <row r="200" ht="15" hidden="1" customHeight="1" spans="3:45">
      <c r="C200" s="221"/>
      <c r="D200" s="221"/>
      <c r="E200" s="221"/>
      <c r="F200" s="221"/>
      <c r="G200" s="221"/>
      <c r="I200" s="12">
        <v>559</v>
      </c>
      <c r="J200" s="230">
        <v>0.9968987</v>
      </c>
      <c r="L200" s="12">
        <v>559</v>
      </c>
      <c r="M200" s="230">
        <v>0.000450571</v>
      </c>
      <c r="N200" s="230">
        <v>0.900677</v>
      </c>
      <c r="O200" s="230">
        <v>0.983271</v>
      </c>
      <c r="P200" s="232">
        <v>0.3427</v>
      </c>
      <c r="Q200" s="230">
        <v>0.126416</v>
      </c>
      <c r="S200" s="12">
        <v>559</v>
      </c>
      <c r="T200" s="230">
        <v>0.000175217306529415</v>
      </c>
      <c r="U200" s="230">
        <v>0.958098146506132</v>
      </c>
      <c r="V200" s="230">
        <v>0.972059837950105</v>
      </c>
      <c r="W200" s="232">
        <v>0.455598200442449</v>
      </c>
      <c r="X200" s="230">
        <v>0.126440440445083</v>
      </c>
      <c r="Z200" s="12">
        <v>559</v>
      </c>
      <c r="AA200" s="230">
        <f ca="1" t="shared" si="30"/>
        <v>0.000175217306529415</v>
      </c>
      <c r="AB200" s="230">
        <f ca="1" t="shared" si="31"/>
        <v>0.958098146506132</v>
      </c>
      <c r="AC200" s="230">
        <f ca="1" t="shared" si="32"/>
        <v>0.972059837950105</v>
      </c>
      <c r="AD200" s="230">
        <f ca="1" t="shared" si="33"/>
        <v>0.455598200442449</v>
      </c>
      <c r="AE200" s="230">
        <f ca="1" t="shared" si="34"/>
        <v>0.126440440445083</v>
      </c>
      <c r="AG200" s="12">
        <v>559</v>
      </c>
      <c r="AH200" s="231">
        <f ca="1" t="shared" si="35"/>
        <v>3.13447775544571e-7</v>
      </c>
      <c r="AI200" s="231">
        <f ca="1" t="shared" si="36"/>
        <v>0.00171395017264067</v>
      </c>
      <c r="AJ200" s="231">
        <f ca="1" t="shared" si="37"/>
        <v>0.00173892636484813</v>
      </c>
      <c r="AK200" s="231">
        <f ca="1" t="shared" si="38"/>
        <v>0.000815023614387207</v>
      </c>
      <c r="AL200" s="231">
        <f ca="1" t="shared" si="39"/>
        <v>0.000226190412245229</v>
      </c>
      <c r="AN200" s="12">
        <v>559</v>
      </c>
      <c r="AO200" s="231">
        <f ca="1" t="shared" si="40"/>
        <v>0.000137917021239611</v>
      </c>
      <c r="AP200" s="231">
        <f ca="1" t="shared" si="41"/>
        <v>0.930729452592683</v>
      </c>
      <c r="AQ200" s="231">
        <f ca="1" t="shared" si="42"/>
        <v>0.989929464763858</v>
      </c>
      <c r="AR200" s="231">
        <f ca="1" t="shared" si="43"/>
        <v>0.415445351951593</v>
      </c>
      <c r="AS200" s="231">
        <f ca="1" t="shared" si="44"/>
        <v>0.110556721977558</v>
      </c>
    </row>
    <row r="201" ht="15" hidden="1" customHeight="1" spans="3:45">
      <c r="C201" s="221"/>
      <c r="D201" s="221"/>
      <c r="E201" s="221"/>
      <c r="F201" s="221"/>
      <c r="G201" s="221"/>
      <c r="I201" s="12">
        <v>560</v>
      </c>
      <c r="J201" s="230">
        <v>0.995</v>
      </c>
      <c r="L201" s="12">
        <v>560</v>
      </c>
      <c r="M201" s="230">
        <v>0.000408931</v>
      </c>
      <c r="N201" s="230">
        <v>0.890949</v>
      </c>
      <c r="O201" s="230">
        <v>0.985636</v>
      </c>
      <c r="P201" s="232">
        <v>0.3288</v>
      </c>
      <c r="Q201" s="230">
        <v>0.118526</v>
      </c>
      <c r="S201" s="12">
        <v>560</v>
      </c>
      <c r="T201" s="230">
        <v>0.000160423135332526</v>
      </c>
      <c r="U201" s="230">
        <v>0.951625344453318</v>
      </c>
      <c r="V201" s="230">
        <v>0.976411756712062</v>
      </c>
      <c r="W201" s="232">
        <v>0.438897391793955</v>
      </c>
      <c r="X201" s="230">
        <v>0.118525555656457</v>
      </c>
      <c r="Z201" s="12">
        <v>560</v>
      </c>
      <c r="AA201" s="230">
        <f ca="1" t="shared" si="30"/>
        <v>0.000160423135332526</v>
      </c>
      <c r="AB201" s="230">
        <f ca="1" t="shared" si="31"/>
        <v>0.951625344453318</v>
      </c>
      <c r="AC201" s="230">
        <f ca="1" t="shared" si="32"/>
        <v>0.976411756712062</v>
      </c>
      <c r="AD201" s="230">
        <f ca="1" t="shared" si="33"/>
        <v>0.438897391793955</v>
      </c>
      <c r="AE201" s="230">
        <f ca="1" t="shared" si="34"/>
        <v>0.118525555656457</v>
      </c>
      <c r="AG201" s="12">
        <v>560</v>
      </c>
      <c r="AH201" s="231">
        <f ca="1" t="shared" si="35"/>
        <v>2.86469884522368e-7</v>
      </c>
      <c r="AI201" s="231">
        <f ca="1" t="shared" si="36"/>
        <v>0.00169933097223807</v>
      </c>
      <c r="AJ201" s="231">
        <f ca="1" t="shared" si="37"/>
        <v>0.00174359242270011</v>
      </c>
      <c r="AK201" s="231">
        <f ca="1" t="shared" si="38"/>
        <v>0.000783745342489205</v>
      </c>
      <c r="AL201" s="231">
        <f ca="1" t="shared" si="39"/>
        <v>0.000211652777957959</v>
      </c>
      <c r="AN201" s="12">
        <v>560</v>
      </c>
      <c r="AO201" s="231">
        <f ca="1" t="shared" si="40"/>
        <v>0.000126046749189842</v>
      </c>
      <c r="AP201" s="231">
        <f ca="1" t="shared" si="41"/>
        <v>0.922790761838862</v>
      </c>
      <c r="AQ201" s="231">
        <f ca="1" t="shared" si="42"/>
        <v>0.992585740639215</v>
      </c>
      <c r="AR201" s="231">
        <f ca="1" t="shared" si="43"/>
        <v>0.399501749278346</v>
      </c>
      <c r="AS201" s="231">
        <f ca="1" t="shared" si="44"/>
        <v>0.103451057435214</v>
      </c>
    </row>
    <row r="202" ht="15" hidden="1" customHeight="1" spans="3:45">
      <c r="C202" s="221"/>
      <c r="D202" s="221"/>
      <c r="E202" s="221"/>
      <c r="F202" s="221"/>
      <c r="G202" s="221"/>
      <c r="I202" s="12">
        <v>561</v>
      </c>
      <c r="J202" s="230">
        <v>0.9926005</v>
      </c>
      <c r="L202" s="12">
        <v>561</v>
      </c>
      <c r="M202" s="230">
        <v>0.000371136</v>
      </c>
      <c r="N202" s="230">
        <v>0.881386</v>
      </c>
      <c r="O202" s="230">
        <v>0.988085</v>
      </c>
      <c r="P202" s="232">
        <v>0.3151</v>
      </c>
      <c r="Q202" s="230">
        <v>0.111007</v>
      </c>
      <c r="S202" s="12">
        <v>561</v>
      </c>
      <c r="T202" s="230">
        <v>0.000146856441315396</v>
      </c>
      <c r="U202" s="230">
        <v>0.944252188351865</v>
      </c>
      <c r="V202" s="230">
        <v>0.980056244146056</v>
      </c>
      <c r="W202" s="232">
        <v>0.422164781422543</v>
      </c>
      <c r="X202" s="230">
        <v>0.110943279616831</v>
      </c>
      <c r="Z202" s="12">
        <v>561</v>
      </c>
      <c r="AA202" s="230">
        <f ca="1" t="shared" si="30"/>
        <v>0.000146856441315396</v>
      </c>
      <c r="AB202" s="230">
        <f ca="1" t="shared" si="31"/>
        <v>0.944252188351865</v>
      </c>
      <c r="AC202" s="230">
        <f ca="1" t="shared" si="32"/>
        <v>0.980056244146056</v>
      </c>
      <c r="AD202" s="230">
        <f ca="1" t="shared" si="33"/>
        <v>0.422164781422543</v>
      </c>
      <c r="AE202" s="230">
        <f ca="1" t="shared" si="34"/>
        <v>0.110943279616831</v>
      </c>
      <c r="AG202" s="12">
        <v>561</v>
      </c>
      <c r="AH202" s="231">
        <f ca="1" t="shared" si="35"/>
        <v>2.61776187727979e-7</v>
      </c>
      <c r="AI202" s="231">
        <f ca="1" t="shared" si="36"/>
        <v>0.00168315898101937</v>
      </c>
      <c r="AJ202" s="231">
        <f ca="1" t="shared" si="37"/>
        <v>0.00174698082735482</v>
      </c>
      <c r="AK202" s="231">
        <f ca="1" t="shared" si="38"/>
        <v>0.000752521892018793</v>
      </c>
      <c r="AL202" s="231">
        <f ca="1" t="shared" si="39"/>
        <v>0.000197759856714494</v>
      </c>
      <c r="AN202" s="12">
        <v>561</v>
      </c>
      <c r="AO202" s="231">
        <f ca="1" t="shared" si="40"/>
        <v>0.000115181522600311</v>
      </c>
      <c r="AP202" s="231">
        <f ca="1" t="shared" si="41"/>
        <v>0.914008856288408</v>
      </c>
      <c r="AQ202" s="231">
        <f ca="1" t="shared" si="42"/>
        <v>0.99451467890483</v>
      </c>
      <c r="AR202" s="231">
        <f ca="1" t="shared" si="43"/>
        <v>0.383586090957726</v>
      </c>
      <c r="AS202" s="231">
        <f ca="1" t="shared" si="44"/>
        <v>0.096660513945224</v>
      </c>
    </row>
    <row r="203" ht="15" hidden="1" customHeight="1" spans="3:45">
      <c r="C203" s="221"/>
      <c r="D203" s="221"/>
      <c r="E203" s="221"/>
      <c r="F203" s="221"/>
      <c r="G203" s="221"/>
      <c r="I203" s="12">
        <v>562</v>
      </c>
      <c r="J203" s="230">
        <v>0.9897426</v>
      </c>
      <c r="L203" s="12">
        <v>562</v>
      </c>
      <c r="M203" s="230">
        <v>0.000336838</v>
      </c>
      <c r="N203" s="230">
        <v>0.871834</v>
      </c>
      <c r="O203" s="230">
        <v>0.99056</v>
      </c>
      <c r="P203" s="232">
        <v>0.3018</v>
      </c>
      <c r="Q203" s="230">
        <v>0.103793</v>
      </c>
      <c r="S203" s="12">
        <v>562</v>
      </c>
      <c r="T203" s="230">
        <v>0.000134478854160213</v>
      </c>
      <c r="U203" s="230">
        <v>0.936427156932653</v>
      </c>
      <c r="V203" s="230">
        <v>0.983428975309161</v>
      </c>
      <c r="W203" s="232">
        <v>0.405632738947561</v>
      </c>
      <c r="X203" s="230">
        <v>0.103743524910021</v>
      </c>
      <c r="Z203" s="12">
        <v>562</v>
      </c>
      <c r="AA203" s="230">
        <f ca="1" t="shared" si="30"/>
        <v>0.000134478854160213</v>
      </c>
      <c r="AB203" s="230">
        <f ca="1" t="shared" si="31"/>
        <v>0.936427156932653</v>
      </c>
      <c r="AC203" s="230">
        <f ca="1" t="shared" si="32"/>
        <v>0.983428975309161</v>
      </c>
      <c r="AD203" s="230">
        <f ca="1" t="shared" si="33"/>
        <v>0.405632738947561</v>
      </c>
      <c r="AE203" s="230">
        <f ca="1" t="shared" si="34"/>
        <v>0.103743524910021</v>
      </c>
      <c r="AG203" s="12">
        <v>562</v>
      </c>
      <c r="AH203" s="231">
        <f ca="1" t="shared" si="35"/>
        <v>2.39286217366927e-7</v>
      </c>
      <c r="AI203" s="231">
        <f ca="1" t="shared" si="36"/>
        <v>0.00166624049276273</v>
      </c>
      <c r="AJ203" s="231">
        <f ca="1" t="shared" si="37"/>
        <v>0.00174987362154655</v>
      </c>
      <c r="AK203" s="231">
        <f ca="1" t="shared" si="38"/>
        <v>0.000721766439408472</v>
      </c>
      <c r="AL203" s="231">
        <f ca="1" t="shared" si="39"/>
        <v>0.000184597019412849</v>
      </c>
      <c r="AN203" s="12">
        <v>562</v>
      </c>
      <c r="AO203" s="231">
        <f ca="1" t="shared" si="40"/>
        <v>0.000105285935641448</v>
      </c>
      <c r="AP203" s="231">
        <f ca="1" t="shared" si="41"/>
        <v>0.904821579105467</v>
      </c>
      <c r="AQ203" s="231">
        <f ca="1" t="shared" si="42"/>
        <v>0.99616147790896</v>
      </c>
      <c r="AR203" s="231">
        <f ca="1" t="shared" si="43"/>
        <v>0.367908987118554</v>
      </c>
      <c r="AS203" s="231">
        <f ca="1" t="shared" si="44"/>
        <v>0.0902268188582012</v>
      </c>
    </row>
    <row r="204" ht="15" hidden="1" customHeight="1" spans="3:45">
      <c r="C204" s="221"/>
      <c r="D204" s="221"/>
      <c r="E204" s="221"/>
      <c r="F204" s="221"/>
      <c r="G204" s="221"/>
      <c r="I204" s="12">
        <v>563</v>
      </c>
      <c r="J204" s="230">
        <v>0.9864444</v>
      </c>
      <c r="L204" s="12">
        <v>563</v>
      </c>
      <c r="M204" s="230">
        <v>0.000305723</v>
      </c>
      <c r="N204" s="230">
        <v>0.862059</v>
      </c>
      <c r="O204" s="230">
        <v>0.992945</v>
      </c>
      <c r="P204" s="232">
        <v>0.2888</v>
      </c>
      <c r="Q204" s="230">
        <v>0.0969206</v>
      </c>
      <c r="S204" s="12">
        <v>563</v>
      </c>
      <c r="T204" s="230">
        <v>0.000123182779698901</v>
      </c>
      <c r="U204" s="230">
        <v>0.928151775952371</v>
      </c>
      <c r="V204" s="230">
        <v>0.986527054873679</v>
      </c>
      <c r="W204" s="232">
        <v>0.389325634447372</v>
      </c>
      <c r="X204" s="230">
        <v>0.0969174547150743</v>
      </c>
      <c r="Z204" s="12">
        <v>563</v>
      </c>
      <c r="AA204" s="230">
        <f ca="1" t="shared" si="30"/>
        <v>0.000123182779698901</v>
      </c>
      <c r="AB204" s="230">
        <f ca="1" t="shared" si="31"/>
        <v>0.928151775952371</v>
      </c>
      <c r="AC204" s="230">
        <f ca="1" t="shared" si="32"/>
        <v>0.986527054873679</v>
      </c>
      <c r="AD204" s="230">
        <f ca="1" t="shared" si="33"/>
        <v>0.389325634447372</v>
      </c>
      <c r="AE204" s="230">
        <f ca="1" t="shared" si="34"/>
        <v>0.0969174547150743</v>
      </c>
      <c r="AG204" s="12">
        <v>563</v>
      </c>
      <c r="AH204" s="231">
        <f ca="1" t="shared" si="35"/>
        <v>2.18797122022915e-7</v>
      </c>
      <c r="AI204" s="231">
        <f ca="1" t="shared" si="36"/>
        <v>0.00164858219529728</v>
      </c>
      <c r="AJ204" s="231">
        <f ca="1" t="shared" si="37"/>
        <v>0.00175226830350565</v>
      </c>
      <c r="AK204" s="231">
        <f ca="1" t="shared" si="38"/>
        <v>0.000691519776993556</v>
      </c>
      <c r="AL204" s="231">
        <f ca="1" t="shared" si="39"/>
        <v>0.000172144679778107</v>
      </c>
      <c r="AN204" s="12">
        <v>563</v>
      </c>
      <c r="AO204" s="231">
        <f ca="1" t="shared" si="40"/>
        <v>9.62707336900825e-5</v>
      </c>
      <c r="AP204" s="231">
        <f ca="1" t="shared" si="41"/>
        <v>0.895232561993955</v>
      </c>
      <c r="AQ204" s="231">
        <f ca="1" t="shared" si="42"/>
        <v>0.997524713453587</v>
      </c>
      <c r="AR204" s="231">
        <f ca="1" t="shared" si="43"/>
        <v>0.352491231006329</v>
      </c>
      <c r="AS204" s="231">
        <f ca="1" t="shared" si="44"/>
        <v>0.0841403988490468</v>
      </c>
    </row>
    <row r="205" ht="15" hidden="1" customHeight="1" spans="3:45">
      <c r="C205" s="221"/>
      <c r="D205" s="221"/>
      <c r="E205" s="221"/>
      <c r="F205" s="221"/>
      <c r="G205" s="221"/>
      <c r="I205" s="12">
        <v>564</v>
      </c>
      <c r="J205" s="230">
        <v>0.9827241</v>
      </c>
      <c r="L205" s="12">
        <v>564</v>
      </c>
      <c r="M205" s="230">
        <v>0.000277504</v>
      </c>
      <c r="N205" s="230">
        <v>0.85184</v>
      </c>
      <c r="O205" s="230">
        <v>0.995124</v>
      </c>
      <c r="P205" s="232">
        <v>0.2762</v>
      </c>
      <c r="Q205" s="230">
        <v>0.0904259</v>
      </c>
      <c r="S205" s="12">
        <v>564</v>
      </c>
      <c r="T205" s="230">
        <v>0.000112870383330894</v>
      </c>
      <c r="U205" s="230">
        <v>0.919432815274938</v>
      </c>
      <c r="V205" s="230">
        <v>0.989338705185618</v>
      </c>
      <c r="W205" s="232">
        <v>0.373263049622093</v>
      </c>
      <c r="X205" s="230">
        <v>0.0904548796210557</v>
      </c>
      <c r="Z205" s="12">
        <v>564</v>
      </c>
      <c r="AA205" s="230">
        <f ca="1" t="shared" si="30"/>
        <v>0.000112870383330894</v>
      </c>
      <c r="AB205" s="230">
        <f ca="1" t="shared" si="31"/>
        <v>0.919432815274938</v>
      </c>
      <c r="AC205" s="230">
        <f ca="1" t="shared" si="32"/>
        <v>0.989338705185618</v>
      </c>
      <c r="AD205" s="230">
        <f ca="1" t="shared" si="33"/>
        <v>0.373263049622093</v>
      </c>
      <c r="AE205" s="230">
        <f ca="1" t="shared" si="34"/>
        <v>0.0904548796210557</v>
      </c>
      <c r="AG205" s="12">
        <v>564</v>
      </c>
      <c r="AH205" s="231">
        <f ca="1" t="shared" si="35"/>
        <v>2.00124793139883e-7</v>
      </c>
      <c r="AI205" s="231">
        <f ca="1" t="shared" si="36"/>
        <v>0.00163020002708322</v>
      </c>
      <c r="AJ205" s="231">
        <f ca="1" t="shared" si="37"/>
        <v>0.00175414664040003</v>
      </c>
      <c r="AK205" s="231">
        <f ca="1" t="shared" si="38"/>
        <v>0.000661813917769668</v>
      </c>
      <c r="AL205" s="231">
        <f ca="1" t="shared" si="39"/>
        <v>0.000160380992235914</v>
      </c>
      <c r="AN205" s="12">
        <v>564</v>
      </c>
      <c r="AO205" s="231">
        <f ca="1" t="shared" si="40"/>
        <v>8.80549089815485e-5</v>
      </c>
      <c r="AP205" s="231">
        <f ca="1" t="shared" si="41"/>
        <v>0.885250460044643</v>
      </c>
      <c r="AQ205" s="231">
        <f ca="1" t="shared" si="42"/>
        <v>0.998594006020594</v>
      </c>
      <c r="AR205" s="231">
        <f ca="1" t="shared" si="43"/>
        <v>0.337349140737483</v>
      </c>
      <c r="AS205" s="231">
        <f ca="1" t="shared" si="44"/>
        <v>0.0783905762985532</v>
      </c>
    </row>
    <row r="206" ht="15" hidden="1" customHeight="1" spans="3:45">
      <c r="C206" s="221"/>
      <c r="D206" s="221"/>
      <c r="E206" s="221"/>
      <c r="F206" s="221"/>
      <c r="G206" s="221"/>
      <c r="I206" s="12">
        <v>565</v>
      </c>
      <c r="J206" s="230">
        <v>0.9786</v>
      </c>
      <c r="L206" s="12">
        <v>565</v>
      </c>
      <c r="M206" s="230">
        <v>0.000251918</v>
      </c>
      <c r="N206" s="230">
        <v>0.840969</v>
      </c>
      <c r="O206" s="230">
        <v>0.996979</v>
      </c>
      <c r="P206" s="232">
        <v>0.2639</v>
      </c>
      <c r="Q206" s="230">
        <v>0.0843457</v>
      </c>
      <c r="S206" s="12">
        <v>565</v>
      </c>
      <c r="T206" s="230">
        <v>0.000103453216973388</v>
      </c>
      <c r="U206" s="230">
        <v>0.910271614292821</v>
      </c>
      <c r="V206" s="230">
        <v>0.991861424504528</v>
      </c>
      <c r="W206" s="232">
        <v>0.357467036574098</v>
      </c>
      <c r="X206" s="230">
        <v>0.0843457103190572</v>
      </c>
      <c r="Z206" s="12">
        <v>565</v>
      </c>
      <c r="AA206" s="230">
        <f ca="1" t="shared" si="30"/>
        <v>0.000103453216973388</v>
      </c>
      <c r="AB206" s="230">
        <f ca="1" t="shared" si="31"/>
        <v>0.910271614292821</v>
      </c>
      <c r="AC206" s="230">
        <f ca="1" t="shared" si="32"/>
        <v>0.991861424504528</v>
      </c>
      <c r="AD206" s="230">
        <f ca="1" t="shared" si="33"/>
        <v>0.357467036574098</v>
      </c>
      <c r="AE206" s="230">
        <f ca="1" t="shared" si="34"/>
        <v>0.0843457103190572</v>
      </c>
      <c r="AG206" s="12">
        <v>565</v>
      </c>
      <c r="AH206" s="231">
        <f ca="1" t="shared" si="35"/>
        <v>1.83103038890952e-7</v>
      </c>
      <c r="AI206" s="231">
        <f ca="1" t="shared" si="36"/>
        <v>0.00161110020228818</v>
      </c>
      <c r="AJ206" s="231">
        <f ca="1" t="shared" si="37"/>
        <v>0.00175550694602571</v>
      </c>
      <c r="AK206" s="231">
        <f ca="1" t="shared" si="38"/>
        <v>0.000632685020485129</v>
      </c>
      <c r="AL206" s="231">
        <f ca="1" t="shared" si="39"/>
        <v>0.000149284443042579</v>
      </c>
      <c r="AN206" s="12">
        <v>565</v>
      </c>
      <c r="AO206" s="231">
        <f ca="1" t="shared" si="40"/>
        <v>8.0565337112019e-5</v>
      </c>
      <c r="AP206" s="231">
        <f ca="1" t="shared" si="41"/>
        <v>0.874878647748187</v>
      </c>
      <c r="AQ206" s="231">
        <f ca="1" t="shared" si="42"/>
        <v>0.999368395694111</v>
      </c>
      <c r="AR206" s="231">
        <f ca="1" t="shared" si="43"/>
        <v>0.322501147660085</v>
      </c>
      <c r="AS206" s="231">
        <f ca="1" t="shared" si="44"/>
        <v>0.0729668357787835</v>
      </c>
    </row>
    <row r="207" ht="15" hidden="1" customHeight="1" spans="3:45">
      <c r="C207" s="221"/>
      <c r="D207" s="221"/>
      <c r="E207" s="221"/>
      <c r="F207" s="221"/>
      <c r="G207" s="221"/>
      <c r="I207" s="12">
        <v>566</v>
      </c>
      <c r="J207" s="230">
        <v>0.9740837</v>
      </c>
      <c r="L207" s="12">
        <v>566</v>
      </c>
      <c r="M207" s="230">
        <v>0.000228725</v>
      </c>
      <c r="N207" s="230">
        <v>0.829303</v>
      </c>
      <c r="O207" s="230">
        <v>0.998411</v>
      </c>
      <c r="P207" s="232">
        <v>0.2519</v>
      </c>
      <c r="Q207" s="230">
        <v>0.0786198</v>
      </c>
      <c r="S207" s="12">
        <v>566</v>
      </c>
      <c r="T207" s="230">
        <v>9.4851237196109e-5</v>
      </c>
      <c r="U207" s="230">
        <v>0.90067684945467</v>
      </c>
      <c r="V207" s="230">
        <v>0.99408380821058</v>
      </c>
      <c r="W207" s="232">
        <v>0.341957394994984</v>
      </c>
      <c r="X207" s="230">
        <v>0.0785789099561619</v>
      </c>
      <c r="Z207" s="12">
        <v>566</v>
      </c>
      <c r="AA207" s="230">
        <f ca="1" t="shared" si="30"/>
        <v>9.4851237196109e-5</v>
      </c>
      <c r="AB207" s="230">
        <f ca="1" t="shared" si="31"/>
        <v>0.90067684945467</v>
      </c>
      <c r="AC207" s="230">
        <f ca="1" t="shared" si="32"/>
        <v>0.99408380821058</v>
      </c>
      <c r="AD207" s="230">
        <f ca="1" t="shared" si="33"/>
        <v>0.341957394994984</v>
      </c>
      <c r="AE207" s="230">
        <f ca="1" t="shared" si="34"/>
        <v>0.0785789099561619</v>
      </c>
      <c r="AG207" s="12">
        <v>566</v>
      </c>
      <c r="AH207" s="231">
        <f ca="1" t="shared" si="35"/>
        <v>1.67581691159203e-7</v>
      </c>
      <c r="AI207" s="231">
        <f ca="1" t="shared" si="36"/>
        <v>0.00159130185416019</v>
      </c>
      <c r="AJ207" s="231">
        <f ca="1" t="shared" si="37"/>
        <v>0.00175633181662647</v>
      </c>
      <c r="AK207" s="231">
        <f ca="1" t="shared" si="38"/>
        <v>0.00060416500882506</v>
      </c>
      <c r="AL207" s="231">
        <f ca="1" t="shared" si="39"/>
        <v>0.000138831996388979</v>
      </c>
      <c r="AN207" s="12">
        <v>566</v>
      </c>
      <c r="AO207" s="231">
        <f ca="1" t="shared" si="40"/>
        <v>7.37359441100494e-5</v>
      </c>
      <c r="AP207" s="231">
        <f ca="1" t="shared" si="41"/>
        <v>0.864127515066769</v>
      </c>
      <c r="AQ207" s="231">
        <f ca="1" t="shared" si="42"/>
        <v>0.999837974929213</v>
      </c>
      <c r="AR207" s="231">
        <f ca="1" t="shared" si="43"/>
        <v>0.307963524365956</v>
      </c>
      <c r="AS207" s="231">
        <f ca="1" t="shared" si="44"/>
        <v>0.0678579179108833</v>
      </c>
    </row>
    <row r="208" ht="15" hidden="1" customHeight="1" spans="3:45">
      <c r="C208" s="221"/>
      <c r="D208" s="221"/>
      <c r="E208" s="221"/>
      <c r="F208" s="221"/>
      <c r="G208" s="221"/>
      <c r="I208" s="12">
        <v>567</v>
      </c>
      <c r="J208" s="230">
        <v>0.9691712</v>
      </c>
      <c r="L208" s="12">
        <v>567</v>
      </c>
      <c r="M208" s="230">
        <v>0.000207699</v>
      </c>
      <c r="N208" s="230">
        <v>0.816911</v>
      </c>
      <c r="O208" s="230">
        <v>0.999391</v>
      </c>
      <c r="P208" s="232">
        <v>0.2403</v>
      </c>
      <c r="Q208" s="230">
        <v>0.073175</v>
      </c>
      <c r="S208" s="12">
        <v>567</v>
      </c>
      <c r="T208" s="230">
        <v>8.69909352458333e-5</v>
      </c>
      <c r="U208" s="230">
        <v>0.890658055076865</v>
      </c>
      <c r="V208" s="230">
        <v>0.996001517243542</v>
      </c>
      <c r="W208" s="232">
        <v>0.326754065641005</v>
      </c>
      <c r="X208" s="230">
        <v>0.0731432072904664</v>
      </c>
      <c r="Z208" s="12">
        <v>567</v>
      </c>
      <c r="AA208" s="230">
        <f ca="1" t="shared" si="30"/>
        <v>8.69909352458333e-5</v>
      </c>
      <c r="AB208" s="230">
        <f ca="1" t="shared" si="31"/>
        <v>0.890658055076865</v>
      </c>
      <c r="AC208" s="230">
        <f ca="1" t="shared" si="32"/>
        <v>0.996001517243542</v>
      </c>
      <c r="AD208" s="230">
        <f ca="1" t="shared" si="33"/>
        <v>0.326754065641005</v>
      </c>
      <c r="AE208" s="230">
        <f ca="1" t="shared" si="34"/>
        <v>0.0731432072904664</v>
      </c>
      <c r="AG208" s="12">
        <v>567</v>
      </c>
      <c r="AH208" s="231">
        <f ca="1" t="shared" si="35"/>
        <v>1.53423166218401e-7</v>
      </c>
      <c r="AI208" s="231">
        <f ca="1" t="shared" si="36"/>
        <v>0.00157082549396272</v>
      </c>
      <c r="AJ208" s="231">
        <f ca="1" t="shared" si="37"/>
        <v>0.00175661643252829</v>
      </c>
      <c r="AK208" s="231">
        <f ca="1" t="shared" si="38"/>
        <v>0.000576285830054683</v>
      </c>
      <c r="AL208" s="231">
        <f ca="1" t="shared" si="39"/>
        <v>0.000129000365591652</v>
      </c>
      <c r="AN208" s="12">
        <v>567</v>
      </c>
      <c r="AO208" s="231">
        <f ca="1" t="shared" si="40"/>
        <v>6.75061931360964e-5</v>
      </c>
      <c r="AP208" s="231">
        <f ca="1" t="shared" si="41"/>
        <v>0.853008200268768</v>
      </c>
      <c r="AQ208" s="231">
        <f ca="1" t="shared" si="42"/>
        <v>1</v>
      </c>
      <c r="AR208" s="231">
        <f ca="1" t="shared" si="43"/>
        <v>0.293752555466497</v>
      </c>
      <c r="AS208" s="231">
        <f ca="1" t="shared" si="44"/>
        <v>0.0630524406943351</v>
      </c>
    </row>
    <row r="209" ht="15" hidden="1" customHeight="1" spans="3:45">
      <c r="C209" s="221"/>
      <c r="D209" s="221"/>
      <c r="E209" s="221"/>
      <c r="F209" s="221"/>
      <c r="G209" s="221"/>
      <c r="I209" s="12">
        <v>568</v>
      </c>
      <c r="J209" s="230">
        <v>0.9638568</v>
      </c>
      <c r="L209" s="12">
        <v>568</v>
      </c>
      <c r="M209" s="230">
        <v>0.000188638</v>
      </c>
      <c r="N209" s="230">
        <v>0.80391</v>
      </c>
      <c r="O209" s="230">
        <v>0.999912</v>
      </c>
      <c r="P209" s="232">
        <v>0.2291</v>
      </c>
      <c r="Q209" s="230">
        <v>0.0680288</v>
      </c>
      <c r="S209" s="12">
        <v>568</v>
      </c>
      <c r="T209" s="230">
        <v>7.98066351061838e-5</v>
      </c>
      <c r="U209" s="230">
        <v>0.880221556161734</v>
      </c>
      <c r="V209" s="230">
        <v>0.997605879407346</v>
      </c>
      <c r="W209" s="232">
        <v>0.311873877605815</v>
      </c>
      <c r="X209" s="230">
        <v>0.0680264801305028</v>
      </c>
      <c r="Z209" s="12">
        <v>568</v>
      </c>
      <c r="AA209" s="230">
        <f ca="1" t="shared" si="30"/>
        <v>7.98066351061838e-5</v>
      </c>
      <c r="AB209" s="230">
        <f ca="1" t="shared" si="31"/>
        <v>0.880221556161734</v>
      </c>
      <c r="AC209" s="230">
        <f ca="1" t="shared" si="32"/>
        <v>0.997605879407346</v>
      </c>
      <c r="AD209" s="230">
        <f ca="1" t="shared" si="33"/>
        <v>0.311873877605815</v>
      </c>
      <c r="AE209" s="230">
        <f ca="1" t="shared" si="34"/>
        <v>0.0680264801305028</v>
      </c>
      <c r="AG209" s="12">
        <v>568</v>
      </c>
      <c r="AH209" s="231">
        <f ca="1" t="shared" si="35"/>
        <v>1.4050463927145e-7</v>
      </c>
      <c r="AI209" s="231">
        <f ca="1" t="shared" si="36"/>
        <v>0.00154968583831291</v>
      </c>
      <c r="AJ209" s="231">
        <f ca="1" t="shared" si="37"/>
        <v>0.00175634837923829</v>
      </c>
      <c r="AK209" s="231">
        <f ca="1" t="shared" si="38"/>
        <v>0.000549073728179252</v>
      </c>
      <c r="AL209" s="231">
        <f ca="1" t="shared" si="39"/>
        <v>0.000119764929807223</v>
      </c>
      <c r="AN209" s="12">
        <v>568</v>
      </c>
      <c r="AO209" s="231">
        <f ca="1" t="shared" si="40"/>
        <v>6.18220412794382e-5</v>
      </c>
      <c r="AP209" s="231">
        <f ca="1" t="shared" si="41"/>
        <v>0.841528694945322</v>
      </c>
      <c r="AQ209" s="231">
        <f ca="1" t="shared" si="42"/>
        <v>0.999847403630614</v>
      </c>
      <c r="AR209" s="231">
        <f ca="1" t="shared" si="43"/>
        <v>0.279881618426862</v>
      </c>
      <c r="AS209" s="231">
        <f ca="1" t="shared" si="44"/>
        <v>0.0585383700216417</v>
      </c>
    </row>
    <row r="210" ht="15" hidden="1" customHeight="1" spans="3:45">
      <c r="C210" s="221"/>
      <c r="D210" s="221"/>
      <c r="E210" s="221"/>
      <c r="F210" s="221"/>
      <c r="G210" s="221"/>
      <c r="I210" s="12">
        <v>569</v>
      </c>
      <c r="J210" s="230">
        <v>0.9581349</v>
      </c>
      <c r="L210" s="12">
        <v>569</v>
      </c>
      <c r="M210" s="230">
        <v>0.000171357</v>
      </c>
      <c r="N210" s="230">
        <v>0.790413</v>
      </c>
      <c r="O210" s="230">
        <v>0.999965</v>
      </c>
      <c r="P210" s="232">
        <v>0.2182</v>
      </c>
      <c r="Q210" s="230">
        <v>0.0631984</v>
      </c>
      <c r="S210" s="12">
        <v>569</v>
      </c>
      <c r="T210" s="230">
        <v>7.32379197325245e-5</v>
      </c>
      <c r="U210" s="230">
        <v>0.869376706872682</v>
      </c>
      <c r="V210" s="230">
        <v>0.998888469608137</v>
      </c>
      <c r="W210" s="232">
        <v>0.297333607422779</v>
      </c>
      <c r="X210" s="230">
        <v>0.0632165804477113</v>
      </c>
      <c r="Z210" s="12">
        <v>569</v>
      </c>
      <c r="AA210" s="230">
        <f ca="1" t="shared" si="30"/>
        <v>7.32379197325245e-5</v>
      </c>
      <c r="AB210" s="230">
        <f ca="1" t="shared" si="31"/>
        <v>0.869376706872682</v>
      </c>
      <c r="AC210" s="230">
        <f ca="1" t="shared" si="32"/>
        <v>0.998888469608137</v>
      </c>
      <c r="AD210" s="230">
        <f ca="1" t="shared" si="33"/>
        <v>0.297333607422779</v>
      </c>
      <c r="AE210" s="230">
        <f ca="1" t="shared" si="34"/>
        <v>0.0632165804477113</v>
      </c>
      <c r="AG210" s="12">
        <v>569</v>
      </c>
      <c r="AH210" s="231">
        <f ca="1" t="shared" si="35"/>
        <v>1.28713391445562e-7</v>
      </c>
      <c r="AI210" s="231">
        <f ca="1" t="shared" si="36"/>
        <v>0.00152790282402932</v>
      </c>
      <c r="AJ210" s="231">
        <f ca="1" t="shared" si="37"/>
        <v>0.00175551576381043</v>
      </c>
      <c r="AK210" s="231">
        <f ca="1" t="shared" si="38"/>
        <v>0.000522554670338803</v>
      </c>
      <c r="AL210" s="231">
        <f ca="1" t="shared" si="39"/>
        <v>0.000111101195865925</v>
      </c>
      <c r="AN210" s="12">
        <v>569</v>
      </c>
      <c r="AO210" s="231">
        <f ca="1" t="shared" si="40"/>
        <v>5.66338922360471e-5</v>
      </c>
      <c r="AP210" s="231">
        <f ca="1" t="shared" si="41"/>
        <v>0.829699825422965</v>
      </c>
      <c r="AQ210" s="231">
        <f ca="1" t="shared" si="42"/>
        <v>0.999373415449453</v>
      </c>
      <c r="AR210" s="231">
        <f ca="1" t="shared" si="43"/>
        <v>0.266363949584551</v>
      </c>
      <c r="AS210" s="231">
        <f ca="1" t="shared" si="44"/>
        <v>0.0543037341892564</v>
      </c>
    </row>
    <row r="211" ht="15" hidden="1" customHeight="1" spans="3:45">
      <c r="C211" s="221"/>
      <c r="D211" s="221"/>
      <c r="E211" s="221"/>
      <c r="F211" s="221"/>
      <c r="G211" s="221"/>
      <c r="I211" s="12">
        <v>570</v>
      </c>
      <c r="J211" s="230">
        <v>0.952</v>
      </c>
      <c r="L211" s="12">
        <v>570</v>
      </c>
      <c r="M211" s="230">
        <v>0.000155688</v>
      </c>
      <c r="N211" s="230">
        <v>0.776526</v>
      </c>
      <c r="O211" s="230">
        <v>0.999543</v>
      </c>
      <c r="P211" s="232">
        <v>0.2076</v>
      </c>
      <c r="Q211" s="230">
        <v>0.0587013</v>
      </c>
      <c r="S211" s="12">
        <v>570</v>
      </c>
      <c r="T211" s="230">
        <v>6.7230292383685e-5</v>
      </c>
      <c r="U211" s="230">
        <v>0.858137735635838</v>
      </c>
      <c r="V211" s="230">
        <v>0.999843436471025</v>
      </c>
      <c r="W211" s="232">
        <v>0.283149631005694</v>
      </c>
      <c r="X211" s="230">
        <v>0.058701337947893</v>
      </c>
      <c r="Z211" s="12">
        <v>570</v>
      </c>
      <c r="AA211" s="230">
        <f ca="1" t="shared" si="30"/>
        <v>6.7230292383685e-5</v>
      </c>
      <c r="AB211" s="230">
        <f ca="1" t="shared" si="31"/>
        <v>0.858137735635838</v>
      </c>
      <c r="AC211" s="230">
        <f ca="1" t="shared" si="32"/>
        <v>0.999843436471025</v>
      </c>
      <c r="AD211" s="230">
        <f ca="1" t="shared" si="33"/>
        <v>0.283149631005694</v>
      </c>
      <c r="AE211" s="230">
        <f ca="1" t="shared" si="34"/>
        <v>0.058701337947893</v>
      </c>
      <c r="AG211" s="12">
        <v>570</v>
      </c>
      <c r="AH211" s="231">
        <f ca="1" t="shared" si="35"/>
        <v>1.17947881374886e-7</v>
      </c>
      <c r="AI211" s="231">
        <f ca="1" t="shared" si="36"/>
        <v>0.00150550479936112</v>
      </c>
      <c r="AJ211" s="231">
        <f ca="1" t="shared" si="37"/>
        <v>0.00175411129205443</v>
      </c>
      <c r="AK211" s="231">
        <f ca="1" t="shared" si="38"/>
        <v>0.000496753738606481</v>
      </c>
      <c r="AL211" s="231">
        <f ca="1" t="shared" si="39"/>
        <v>0.000102984803417356</v>
      </c>
      <c r="AN211" s="12">
        <v>570</v>
      </c>
      <c r="AO211" s="231">
        <f ca="1" t="shared" si="40"/>
        <v>5.18970678049498e-5</v>
      </c>
      <c r="AP211" s="231">
        <f ca="1" t="shared" si="41"/>
        <v>0.81753698570256</v>
      </c>
      <c r="AQ211" s="231">
        <f ca="1" t="shared" si="42"/>
        <v>0.998573883047276</v>
      </c>
      <c r="AR211" s="231">
        <f ca="1" t="shared" si="43"/>
        <v>0.253212334128264</v>
      </c>
      <c r="AS211" s="231">
        <f ca="1" t="shared" si="44"/>
        <v>0.0503366264127149</v>
      </c>
    </row>
    <row r="212" ht="15" hidden="1" customHeight="1" spans="3:45">
      <c r="C212" s="221"/>
      <c r="D212" s="221"/>
      <c r="E212" s="221"/>
      <c r="F212" s="221"/>
      <c r="G212" s="221"/>
      <c r="I212" s="12">
        <v>571</v>
      </c>
      <c r="J212" s="230">
        <v>0.9454504</v>
      </c>
      <c r="L212" s="12">
        <v>571</v>
      </c>
      <c r="M212" s="230">
        <v>0.00014148</v>
      </c>
      <c r="N212" s="230">
        <v>0.762311</v>
      </c>
      <c r="O212" s="230">
        <v>0.998615</v>
      </c>
      <c r="P212" s="232">
        <v>0.1974</v>
      </c>
      <c r="Q212" s="230">
        <v>0.0544832</v>
      </c>
      <c r="S212" s="12">
        <v>571</v>
      </c>
      <c r="T212" s="230">
        <v>6.17058018181523e-5</v>
      </c>
      <c r="U212" s="230">
        <v>0.846122024784411</v>
      </c>
      <c r="V212" s="230">
        <v>1</v>
      </c>
      <c r="W212" s="232">
        <v>0.26921050332112</v>
      </c>
      <c r="X212" s="230">
        <v>0.0544427432217106</v>
      </c>
      <c r="Z212" s="12">
        <v>571</v>
      </c>
      <c r="AA212" s="230">
        <f ca="1" t="shared" si="30"/>
        <v>6.17058018181523e-5</v>
      </c>
      <c r="AB212" s="230">
        <f ca="1" t="shared" si="31"/>
        <v>0.846122024784411</v>
      </c>
      <c r="AC212" s="230">
        <f ca="1" t="shared" si="32"/>
        <v>1</v>
      </c>
      <c r="AD212" s="230">
        <f ca="1" t="shared" si="33"/>
        <v>0.26921050332112</v>
      </c>
      <c r="AE212" s="230">
        <f ca="1" t="shared" si="34"/>
        <v>0.0544427432217106</v>
      </c>
      <c r="AG212" s="12">
        <v>571</v>
      </c>
      <c r="AH212" s="231">
        <f ca="1" t="shared" si="35"/>
        <v>1.08066202833892e-7</v>
      </c>
      <c r="AI212" s="231">
        <f ca="1" t="shared" si="36"/>
        <v>0.00148182491205676</v>
      </c>
      <c r="AJ212" s="231">
        <f ca="1" t="shared" si="37"/>
        <v>0.00175131348511384</v>
      </c>
      <c r="AK212" s="231">
        <f ca="1" t="shared" si="38"/>
        <v>0.00047147198480056</v>
      </c>
      <c r="AL212" s="231">
        <f ca="1" t="shared" si="39"/>
        <v>9.53463103707716e-5</v>
      </c>
      <c r="AN212" s="12">
        <v>571</v>
      </c>
      <c r="AO212" s="231">
        <f ca="1" t="shared" si="40"/>
        <v>4.75491292469125e-5</v>
      </c>
      <c r="AP212" s="231">
        <f ca="1" t="shared" si="41"/>
        <v>0.804678053803574</v>
      </c>
      <c r="AQ212" s="231">
        <f ca="1" t="shared" si="42"/>
        <v>0.996981158028435</v>
      </c>
      <c r="AR212" s="231">
        <f ca="1" t="shared" si="43"/>
        <v>0.240325361379933</v>
      </c>
      <c r="AS212" s="231">
        <f ca="1" t="shared" si="44"/>
        <v>0.0466031049796173</v>
      </c>
    </row>
    <row r="213" ht="15" hidden="1" customHeight="1" spans="3:45">
      <c r="C213" s="221"/>
      <c r="D213" s="221"/>
      <c r="E213" s="221"/>
      <c r="F213" s="221"/>
      <c r="G213" s="221"/>
      <c r="I213" s="12">
        <v>572</v>
      </c>
      <c r="J213" s="230">
        <v>0.9384992</v>
      </c>
      <c r="L213" s="12">
        <v>572</v>
      </c>
      <c r="M213" s="230">
        <v>0.000128596</v>
      </c>
      <c r="N213" s="230">
        <v>0.747669</v>
      </c>
      <c r="O213" s="230">
        <v>0.997051</v>
      </c>
      <c r="P213" s="232">
        <v>0.1876</v>
      </c>
      <c r="Q213" s="230">
        <v>0.0504889</v>
      </c>
      <c r="S213" s="12">
        <v>572</v>
      </c>
      <c r="T213" s="230">
        <v>5.66522287403667e-5</v>
      </c>
      <c r="U213" s="230">
        <v>0.833746454318027</v>
      </c>
      <c r="V213" s="230">
        <v>0.999813507999263</v>
      </c>
      <c r="W213" s="232">
        <v>0.255667191058787</v>
      </c>
      <c r="X213" s="230">
        <v>0.0504571829525342</v>
      </c>
      <c r="Z213" s="12">
        <v>572</v>
      </c>
      <c r="AA213" s="230">
        <f ca="1" t="shared" ref="AA213:AA276" si="45">OFFSET(M213,0,$AA$8)</f>
        <v>5.66522287403667e-5</v>
      </c>
      <c r="AB213" s="230">
        <f ca="1" t="shared" ref="AB213:AB276" si="46">OFFSET(N213,0,$AA$8)</f>
        <v>0.833746454318027</v>
      </c>
      <c r="AC213" s="230">
        <f ca="1" t="shared" ref="AC213:AC276" si="47">OFFSET(O213,0,$AA$8)</f>
        <v>0.999813507999263</v>
      </c>
      <c r="AD213" s="230">
        <f ca="1" t="shared" ref="AD213:AD276" si="48">OFFSET(P213,0,$AA$8)</f>
        <v>0.255667191058787</v>
      </c>
      <c r="AE213" s="230">
        <f ca="1" t="shared" ref="AE213:AE276" si="49">OFFSET(Q213,0,$AA$8)</f>
        <v>0.0504571829525342</v>
      </c>
      <c r="AG213" s="12">
        <v>572</v>
      </c>
      <c r="AH213" s="231">
        <f ca="1" t="shared" ref="AH213:AH276" si="50">AA213/$Z213</f>
        <v>9.9042357937704e-8</v>
      </c>
      <c r="AI213" s="231">
        <f ca="1" t="shared" ref="AI213:AI276" si="51">AB213/$Z213</f>
        <v>0.00145759869636019</v>
      </c>
      <c r="AJ213" s="231">
        <f ca="1" t="shared" ref="AJ213:AJ276" si="52">AC213/$Z213</f>
        <v>0.00174792571328542</v>
      </c>
      <c r="AK213" s="231">
        <f ca="1" t="shared" ref="AK213:AK276" si="53">AD213/$Z213</f>
        <v>0.000446970613739138</v>
      </c>
      <c r="AL213" s="231">
        <f ca="1" t="shared" ref="AL213:AL276" si="54">AE213/$Z213</f>
        <v>8.82118583086262e-5</v>
      </c>
      <c r="AN213" s="12">
        <v>572</v>
      </c>
      <c r="AO213" s="231">
        <f ca="1" t="shared" ref="AO213:AO276" si="55">IF(AH213=0,"",AH213/AH$11)</f>
        <v>4.35786374925898e-5</v>
      </c>
      <c r="AP213" s="231">
        <f ca="1" t="shared" ref="AP213:AP276" si="56">IF(AI213=0,"",AI213/AI$11)</f>
        <v>0.791522448212703</v>
      </c>
      <c r="AQ213" s="231">
        <f ca="1" t="shared" ref="AQ213:AQ276" si="57">IF(AJ213=0,"",AJ213/AJ$11)</f>
        <v>0.995052580015798</v>
      </c>
      <c r="AR213" s="231">
        <f ca="1" t="shared" ref="AR213:AR276" si="58">IF(AK213=0,"",AK213/AK$11)</f>
        <v>0.227836176349923</v>
      </c>
      <c r="AS213" s="231">
        <f ca="1" t="shared" ref="AS213:AS276" si="59">IF(AL213=0,"",AL213/AL$11)</f>
        <v>0.0431159473000881</v>
      </c>
    </row>
    <row r="214" ht="15" hidden="1" customHeight="1" spans="3:45">
      <c r="C214" s="221"/>
      <c r="D214" s="221"/>
      <c r="E214" s="221"/>
      <c r="F214" s="221"/>
      <c r="G214" s="221"/>
      <c r="I214" s="12">
        <v>573</v>
      </c>
      <c r="J214" s="230">
        <v>0.9311628</v>
      </c>
      <c r="L214" s="12">
        <v>573</v>
      </c>
      <c r="M214" s="230">
        <v>0.000116912</v>
      </c>
      <c r="N214" s="230">
        <v>0.732476</v>
      </c>
      <c r="O214" s="230">
        <v>0.994701</v>
      </c>
      <c r="P214" s="232">
        <v>0.1782</v>
      </c>
      <c r="Q214" s="230">
        <v>0.0467344</v>
      </c>
      <c r="S214" s="12">
        <v>573</v>
      </c>
      <c r="T214" s="230">
        <v>5.20283436355967e-5</v>
      </c>
      <c r="U214" s="230">
        <v>0.821024278827576</v>
      </c>
      <c r="V214" s="230">
        <v>0.99927955051434</v>
      </c>
      <c r="W214" s="232">
        <v>0.24252862244749</v>
      </c>
      <c r="X214" s="230">
        <v>0.0467316375874541</v>
      </c>
      <c r="Z214" s="12">
        <v>573</v>
      </c>
      <c r="AA214" s="230">
        <f ca="1" t="shared" si="45"/>
        <v>5.20283436355967e-5</v>
      </c>
      <c r="AB214" s="230">
        <f ca="1" t="shared" si="46"/>
        <v>0.821024278827576</v>
      </c>
      <c r="AC214" s="230">
        <f ca="1" t="shared" si="47"/>
        <v>0.99927955051434</v>
      </c>
      <c r="AD214" s="230">
        <f ca="1" t="shared" si="48"/>
        <v>0.24252862244749</v>
      </c>
      <c r="AE214" s="230">
        <f ca="1" t="shared" si="49"/>
        <v>0.0467316375874541</v>
      </c>
      <c r="AG214" s="12">
        <v>573</v>
      </c>
      <c r="AH214" s="231">
        <f ca="1" t="shared" si="50"/>
        <v>9.0799901632804e-8</v>
      </c>
      <c r="AI214" s="231">
        <f ca="1" t="shared" si="51"/>
        <v>0.00143285214455074</v>
      </c>
      <c r="AJ214" s="231">
        <f ca="1" t="shared" si="52"/>
        <v>0.00174394336913497</v>
      </c>
      <c r="AK214" s="231">
        <f ca="1" t="shared" si="53"/>
        <v>0.000423261121199808</v>
      </c>
      <c r="AL214" s="231">
        <f ca="1" t="shared" si="54"/>
        <v>8.15560865400595e-5</v>
      </c>
      <c r="AN214" s="12">
        <v>573</v>
      </c>
      <c r="AO214" s="231">
        <f ca="1" t="shared" si="55"/>
        <v>3.99519567184338e-5</v>
      </c>
      <c r="AP214" s="231">
        <f ca="1" t="shared" si="56"/>
        <v>0.778084283564268</v>
      </c>
      <c r="AQ214" s="231">
        <f ca="1" t="shared" si="57"/>
        <v>0.992785526106528</v>
      </c>
      <c r="AR214" s="231">
        <f ca="1" t="shared" si="58"/>
        <v>0.21575063882841</v>
      </c>
      <c r="AS214" s="231">
        <f ca="1" t="shared" si="59"/>
        <v>0.0398627576460292</v>
      </c>
    </row>
    <row r="215" ht="15" hidden="1" customHeight="1" spans="3:45">
      <c r="C215" s="221"/>
      <c r="D215" s="221"/>
      <c r="E215" s="221"/>
      <c r="F215" s="221"/>
      <c r="G215" s="221"/>
      <c r="I215" s="12">
        <v>574</v>
      </c>
      <c r="J215" s="230">
        <v>0.9234576</v>
      </c>
      <c r="L215" s="12">
        <v>574</v>
      </c>
      <c r="M215" s="230">
        <v>0.000106316</v>
      </c>
      <c r="N215" s="230">
        <v>0.716622</v>
      </c>
      <c r="O215" s="230">
        <v>0.991416</v>
      </c>
      <c r="P215" s="232">
        <v>0.169</v>
      </c>
      <c r="Q215" s="230">
        <v>0.0432357</v>
      </c>
      <c r="S215" s="12">
        <v>574</v>
      </c>
      <c r="T215" s="230">
        <v>4.77960492540877e-5</v>
      </c>
      <c r="U215" s="230">
        <v>0.807969561536201</v>
      </c>
      <c r="V215" s="230">
        <v>0.998389488702328</v>
      </c>
      <c r="W215" s="232">
        <v>0.229805278515553</v>
      </c>
      <c r="X215" s="230">
        <v>0.043253076166467</v>
      </c>
      <c r="Z215" s="12">
        <v>574</v>
      </c>
      <c r="AA215" s="230">
        <f ca="1" t="shared" si="45"/>
        <v>4.77960492540877e-5</v>
      </c>
      <c r="AB215" s="230">
        <f ca="1" t="shared" si="46"/>
        <v>0.807969561536201</v>
      </c>
      <c r="AC215" s="230">
        <f ca="1" t="shared" si="47"/>
        <v>0.998389488702328</v>
      </c>
      <c r="AD215" s="230">
        <f ca="1" t="shared" si="48"/>
        <v>0.229805278515553</v>
      </c>
      <c r="AE215" s="230">
        <f ca="1" t="shared" si="49"/>
        <v>0.043253076166467</v>
      </c>
      <c r="AG215" s="12">
        <v>574</v>
      </c>
      <c r="AH215" s="231">
        <f ca="1" t="shared" si="50"/>
        <v>8.3268378491442e-8</v>
      </c>
      <c r="AI215" s="231">
        <f ca="1" t="shared" si="51"/>
        <v>0.0014076124765439</v>
      </c>
      <c r="AJ215" s="231">
        <f ca="1" t="shared" si="52"/>
        <v>0.00173935450993437</v>
      </c>
      <c r="AK215" s="231">
        <f ca="1" t="shared" si="53"/>
        <v>0.000400357628075876</v>
      </c>
      <c r="AL215" s="231">
        <f ca="1" t="shared" si="54"/>
        <v>7.53537912307788e-5</v>
      </c>
      <c r="AN215" s="12">
        <v>574</v>
      </c>
      <c r="AO215" s="231">
        <f ca="1" t="shared" si="55"/>
        <v>3.66380865362345e-5</v>
      </c>
      <c r="AP215" s="231">
        <f ca="1" t="shared" si="56"/>
        <v>0.764378341138045</v>
      </c>
      <c r="AQ215" s="231">
        <f ca="1" t="shared" si="57"/>
        <v>0.990173197589255</v>
      </c>
      <c r="AR215" s="231">
        <f ca="1" t="shared" si="58"/>
        <v>0.20407594671664</v>
      </c>
      <c r="AS215" s="231">
        <f ca="1" t="shared" si="59"/>
        <v>0.0368312169572601</v>
      </c>
    </row>
    <row r="216" ht="15" hidden="1" customHeight="1" spans="3:45">
      <c r="C216" s="221"/>
      <c r="D216" s="221"/>
      <c r="E216" s="221"/>
      <c r="F216" s="221"/>
      <c r="G216" s="221"/>
      <c r="I216" s="12">
        <v>575</v>
      </c>
      <c r="J216" s="230">
        <v>0.9154</v>
      </c>
      <c r="L216" s="12">
        <v>575</v>
      </c>
      <c r="M216" s="230">
        <v>9.67045e-5</v>
      </c>
      <c r="N216" s="230">
        <v>0.700013</v>
      </c>
      <c r="O216" s="230">
        <v>0.987057</v>
      </c>
      <c r="P216" s="232">
        <v>0.1602</v>
      </c>
      <c r="Q216" s="230">
        <v>0.0400089</v>
      </c>
      <c r="S216" s="12">
        <v>575</v>
      </c>
      <c r="T216" s="230">
        <v>4.39211800517203e-5</v>
      </c>
      <c r="U216" s="230">
        <v>0.794597144459775</v>
      </c>
      <c r="V216" s="230">
        <v>0.997135090681821</v>
      </c>
      <c r="W216" s="232">
        <v>0.217503875675029</v>
      </c>
      <c r="X216" s="230">
        <v>0.0400089358268489</v>
      </c>
      <c r="Z216" s="12">
        <v>575</v>
      </c>
      <c r="AA216" s="230">
        <f ca="1" t="shared" si="45"/>
        <v>4.39211800517203e-5</v>
      </c>
      <c r="AB216" s="230">
        <f ca="1" t="shared" si="46"/>
        <v>0.794597144459775</v>
      </c>
      <c r="AC216" s="230">
        <f ca="1" t="shared" si="47"/>
        <v>0.997135090681821</v>
      </c>
      <c r="AD216" s="230">
        <f ca="1" t="shared" si="48"/>
        <v>0.217503875675029</v>
      </c>
      <c r="AE216" s="230">
        <f ca="1" t="shared" si="49"/>
        <v>0.0400089358268489</v>
      </c>
      <c r="AG216" s="12">
        <v>575</v>
      </c>
      <c r="AH216" s="231">
        <f ca="1" t="shared" si="50"/>
        <v>7.63846609595136e-8</v>
      </c>
      <c r="AI216" s="231">
        <f ca="1" t="shared" si="51"/>
        <v>0.00138190807732135</v>
      </c>
      <c r="AJ216" s="231">
        <f ca="1" t="shared" si="52"/>
        <v>0.00173414798379447</v>
      </c>
      <c r="AK216" s="231">
        <f ca="1" t="shared" si="53"/>
        <v>0.000378267609869616</v>
      </c>
      <c r="AL216" s="231">
        <f ca="1" t="shared" si="54"/>
        <v>6.95807579597372e-5</v>
      </c>
      <c r="AN216" s="12">
        <v>575</v>
      </c>
      <c r="AO216" s="231">
        <f ca="1" t="shared" si="55"/>
        <v>3.3609250822186e-5</v>
      </c>
      <c r="AP216" s="231">
        <f ca="1" t="shared" si="56"/>
        <v>0.750420034881817</v>
      </c>
      <c r="AQ216" s="231">
        <f ca="1" t="shared" si="57"/>
        <v>0.987209245958446</v>
      </c>
      <c r="AR216" s="231">
        <f ca="1" t="shared" si="58"/>
        <v>0.19281591053325</v>
      </c>
      <c r="AS216" s="231">
        <f ca="1" t="shared" si="59"/>
        <v>0.0340094897762611</v>
      </c>
    </row>
    <row r="217" ht="15" hidden="1" customHeight="1" spans="3:45">
      <c r="C217" s="221"/>
      <c r="D217" s="221"/>
      <c r="E217" s="221"/>
      <c r="F217" s="221"/>
      <c r="G217" s="221"/>
      <c r="I217" s="12">
        <v>576</v>
      </c>
      <c r="J217" s="230">
        <v>0.9070064</v>
      </c>
      <c r="L217" s="12">
        <v>576</v>
      </c>
      <c r="M217" s="230">
        <v>8.79858e-5</v>
      </c>
      <c r="N217" s="230">
        <v>0.682647</v>
      </c>
      <c r="O217" s="230">
        <v>0.981599</v>
      </c>
      <c r="P217" s="232">
        <v>0.1517</v>
      </c>
      <c r="Q217" s="230">
        <v>0.0370102</v>
      </c>
      <c r="S217" s="12">
        <v>576</v>
      </c>
      <c r="T217" s="230">
        <v>4.03725331678533e-5</v>
      </c>
      <c r="U217" s="230">
        <v>0.780924413339534</v>
      </c>
      <c r="V217" s="230">
        <v>0.995515439703898</v>
      </c>
      <c r="W217" s="232">
        <v>0.205630721813971</v>
      </c>
      <c r="X217" s="230">
        <v>0.0369864798709788</v>
      </c>
      <c r="Z217" s="12">
        <v>576</v>
      </c>
      <c r="AA217" s="230">
        <f ca="1" t="shared" si="45"/>
        <v>4.03725331678533e-5</v>
      </c>
      <c r="AB217" s="230">
        <f ca="1" t="shared" si="46"/>
        <v>0.780924413339534</v>
      </c>
      <c r="AC217" s="230">
        <f ca="1" t="shared" si="47"/>
        <v>0.995515439703898</v>
      </c>
      <c r="AD217" s="230">
        <f ca="1" t="shared" si="48"/>
        <v>0.205630721813971</v>
      </c>
      <c r="AE217" s="230">
        <f ca="1" t="shared" si="49"/>
        <v>0.0369864798709788</v>
      </c>
      <c r="AG217" s="12">
        <v>576</v>
      </c>
      <c r="AH217" s="231">
        <f ca="1" t="shared" si="50"/>
        <v>7.0091203416412e-8</v>
      </c>
      <c r="AI217" s="231">
        <f ca="1" t="shared" si="51"/>
        <v>0.00135577155093669</v>
      </c>
      <c r="AJ217" s="231">
        <f ca="1" t="shared" si="52"/>
        <v>0.0017283254161526</v>
      </c>
      <c r="AK217" s="231">
        <f ca="1" t="shared" si="53"/>
        <v>0.000356997780927033</v>
      </c>
      <c r="AL217" s="231">
        <f ca="1" t="shared" si="54"/>
        <v>6.42126386648937e-5</v>
      </c>
      <c r="AN217" s="12">
        <v>576</v>
      </c>
      <c r="AO217" s="231">
        <f ca="1" t="shared" si="55"/>
        <v>3.08401295032213e-5</v>
      </c>
      <c r="AP217" s="231">
        <f ca="1" t="shared" si="56"/>
        <v>0.736227069833605</v>
      </c>
      <c r="AQ217" s="231">
        <f ca="1" t="shared" si="57"/>
        <v>0.98389459653695</v>
      </c>
      <c r="AR217" s="231">
        <f ca="1" t="shared" si="58"/>
        <v>0.181973952809553</v>
      </c>
      <c r="AS217" s="231">
        <f ca="1" t="shared" si="59"/>
        <v>0.031385675324838</v>
      </c>
    </row>
    <row r="218" ht="15" hidden="1" customHeight="1" spans="3:45">
      <c r="C218" s="221"/>
      <c r="D218" s="221"/>
      <c r="E218" s="221"/>
      <c r="F218" s="221"/>
      <c r="G218" s="221"/>
      <c r="I218" s="12">
        <v>577</v>
      </c>
      <c r="J218" s="230">
        <v>0.8982772</v>
      </c>
      <c r="L218" s="12">
        <v>577</v>
      </c>
      <c r="M218" s="230">
        <v>8.00756e-5</v>
      </c>
      <c r="N218" s="230">
        <v>0.664817</v>
      </c>
      <c r="O218" s="230">
        <v>0.975451</v>
      </c>
      <c r="P218" s="232">
        <v>0.1436</v>
      </c>
      <c r="Q218" s="230">
        <v>0.0341903</v>
      </c>
      <c r="S218" s="12">
        <v>577</v>
      </c>
      <c r="T218" s="230">
        <v>3.71215413010903e-5</v>
      </c>
      <c r="U218" s="230">
        <v>0.766969334441988</v>
      </c>
      <c r="V218" s="230">
        <v>0.993520882866941</v>
      </c>
      <c r="W218" s="232">
        <v>0.194190508962181</v>
      </c>
      <c r="X218" s="230">
        <v>0.034173621109257</v>
      </c>
      <c r="Z218" s="12">
        <v>577</v>
      </c>
      <c r="AA218" s="230">
        <f ca="1" t="shared" si="45"/>
        <v>3.71215413010903e-5</v>
      </c>
      <c r="AB218" s="230">
        <f ca="1" t="shared" si="46"/>
        <v>0.766969334441988</v>
      </c>
      <c r="AC218" s="230">
        <f ca="1" t="shared" si="47"/>
        <v>0.993520882866941</v>
      </c>
      <c r="AD218" s="230">
        <f ca="1" t="shared" si="48"/>
        <v>0.194190508962181</v>
      </c>
      <c r="AE218" s="230">
        <f ca="1" t="shared" si="49"/>
        <v>0.034173621109257</v>
      </c>
      <c r="AG218" s="12">
        <v>577</v>
      </c>
      <c r="AH218" s="231">
        <f ca="1" t="shared" si="50"/>
        <v>6.43354268649745e-8</v>
      </c>
      <c r="AI218" s="231">
        <f ca="1" t="shared" si="51"/>
        <v>0.00132923628152858</v>
      </c>
      <c r="AJ218" s="231">
        <f ca="1" t="shared" si="52"/>
        <v>0.00172187328053196</v>
      </c>
      <c r="AK218" s="231">
        <f ca="1" t="shared" si="53"/>
        <v>0.000336552008599967</v>
      </c>
      <c r="AL218" s="231">
        <f ca="1" t="shared" si="54"/>
        <v>5.9226379738747e-5</v>
      </c>
      <c r="AN218" s="12">
        <v>577</v>
      </c>
      <c r="AO218" s="231">
        <f ca="1" t="shared" si="55"/>
        <v>2.83075878205888e-5</v>
      </c>
      <c r="AP218" s="231">
        <f ca="1" t="shared" si="56"/>
        <v>0.721817574642409</v>
      </c>
      <c r="AQ218" s="231">
        <f ca="1" t="shared" si="57"/>
        <v>0.980221549022898</v>
      </c>
      <c r="AR218" s="231">
        <f ca="1" t="shared" si="58"/>
        <v>0.171552044866767</v>
      </c>
      <c r="AS218" s="231">
        <f ca="1" t="shared" si="59"/>
        <v>0.0289485055246943</v>
      </c>
    </row>
    <row r="219" ht="15" hidden="1" customHeight="1" spans="3:45">
      <c r="C219" s="221"/>
      <c r="D219" s="221"/>
      <c r="E219" s="221"/>
      <c r="F219" s="221"/>
      <c r="G219" s="221"/>
      <c r="I219" s="12">
        <v>578</v>
      </c>
      <c r="J219" s="230">
        <v>0.8892048</v>
      </c>
      <c r="L219" s="12">
        <v>578</v>
      </c>
      <c r="M219" s="230">
        <v>7.28979e-5</v>
      </c>
      <c r="N219" s="230">
        <v>0.646858</v>
      </c>
      <c r="O219" s="230">
        <v>0.96912</v>
      </c>
      <c r="P219" s="232">
        <v>0.1358</v>
      </c>
      <c r="Q219" s="230">
        <v>0.0315562</v>
      </c>
      <c r="S219" s="12">
        <v>578</v>
      </c>
      <c r="T219" s="230">
        <v>3.41423963779008e-5</v>
      </c>
      <c r="U219" s="230">
        <v>0.752746942195989</v>
      </c>
      <c r="V219" s="230">
        <v>0.991146838451398</v>
      </c>
      <c r="W219" s="232">
        <v>0.183185460255049</v>
      </c>
      <c r="X219" s="230">
        <v>0.0315584017065569</v>
      </c>
      <c r="Z219" s="12">
        <v>578</v>
      </c>
      <c r="AA219" s="230">
        <f ca="1" t="shared" si="45"/>
        <v>3.41423963779008e-5</v>
      </c>
      <c r="AB219" s="230">
        <f ca="1" t="shared" si="46"/>
        <v>0.752746942195989</v>
      </c>
      <c r="AC219" s="230">
        <f ca="1" t="shared" si="47"/>
        <v>0.991146838451398</v>
      </c>
      <c r="AD219" s="230">
        <f ca="1" t="shared" si="48"/>
        <v>0.183185460255049</v>
      </c>
      <c r="AE219" s="230">
        <f ca="1" t="shared" si="49"/>
        <v>0.0315584017065569</v>
      </c>
      <c r="AG219" s="12">
        <v>578</v>
      </c>
      <c r="AH219" s="231">
        <f ca="1" t="shared" si="50"/>
        <v>5.9069889927164e-8</v>
      </c>
      <c r="AI219" s="231">
        <f ca="1" t="shared" si="51"/>
        <v>0.00130233034982005</v>
      </c>
      <c r="AJ219" s="231">
        <f ca="1" t="shared" si="52"/>
        <v>0.00171478691773598</v>
      </c>
      <c r="AK219" s="231">
        <f ca="1" t="shared" si="53"/>
        <v>0.000316929862032957</v>
      </c>
      <c r="AL219" s="231">
        <f ca="1" t="shared" si="54"/>
        <v>5.45993109109981e-5</v>
      </c>
      <c r="AN219" s="12">
        <v>578</v>
      </c>
      <c r="AO219" s="231">
        <f ca="1" t="shared" si="55"/>
        <v>2.59907515679522e-5</v>
      </c>
      <c r="AP219" s="231">
        <f ca="1" t="shared" si="56"/>
        <v>0.707206798033898</v>
      </c>
      <c r="AQ219" s="231">
        <f ca="1" t="shared" si="57"/>
        <v>0.976187451046382</v>
      </c>
      <c r="AR219" s="231">
        <f ca="1" t="shared" si="58"/>
        <v>0.16154996708316</v>
      </c>
      <c r="AS219" s="231">
        <f ca="1" t="shared" si="59"/>
        <v>0.0266868996640275</v>
      </c>
    </row>
    <row r="220" ht="15" hidden="1" customHeight="1" spans="3:45">
      <c r="C220" s="221"/>
      <c r="D220" s="221"/>
      <c r="E220" s="221"/>
      <c r="F220" s="221"/>
      <c r="G220" s="221"/>
      <c r="I220" s="12">
        <v>579</v>
      </c>
      <c r="J220" s="230">
        <v>0.8797816</v>
      </c>
      <c r="L220" s="12">
        <v>579</v>
      </c>
      <c r="M220" s="230">
        <v>6.63837e-5</v>
      </c>
      <c r="N220" s="230">
        <v>0.629072</v>
      </c>
      <c r="O220" s="230">
        <v>0.963093</v>
      </c>
      <c r="P220" s="232">
        <v>0.1284</v>
      </c>
      <c r="Q220" s="230">
        <v>0.0291153</v>
      </c>
      <c r="S220" s="12">
        <v>579</v>
      </c>
      <c r="T220" s="230">
        <v>3.14115234450241e-5</v>
      </c>
      <c r="U220" s="230">
        <v>0.738278124024259</v>
      </c>
      <c r="V220" s="230">
        <v>0.988391495705707</v>
      </c>
      <c r="W220" s="232">
        <v>0.172616775626418</v>
      </c>
      <c r="X220" s="230">
        <v>0.0291291626143277</v>
      </c>
      <c r="Z220" s="12">
        <v>579</v>
      </c>
      <c r="AA220" s="230">
        <f ca="1" t="shared" si="45"/>
        <v>3.14115234450241e-5</v>
      </c>
      <c r="AB220" s="230">
        <f ca="1" t="shared" si="46"/>
        <v>0.738278124024259</v>
      </c>
      <c r="AC220" s="230">
        <f ca="1" t="shared" si="47"/>
        <v>0.988391495705707</v>
      </c>
      <c r="AD220" s="230">
        <f ca="1" t="shared" si="48"/>
        <v>0.172616775626418</v>
      </c>
      <c r="AE220" s="230">
        <f ca="1" t="shared" si="49"/>
        <v>0.0291291626143277</v>
      </c>
      <c r="AG220" s="12">
        <v>579</v>
      </c>
      <c r="AH220" s="231">
        <f ca="1" t="shared" si="50"/>
        <v>5.42513358290572e-8</v>
      </c>
      <c r="AI220" s="231">
        <f ca="1" t="shared" si="51"/>
        <v>0.00127509175133723</v>
      </c>
      <c r="AJ220" s="231">
        <f ca="1" t="shared" si="52"/>
        <v>0.00170706648653835</v>
      </c>
      <c r="AK220" s="231">
        <f ca="1" t="shared" si="53"/>
        <v>0.000298129146159617</v>
      </c>
      <c r="AL220" s="231">
        <f ca="1" t="shared" si="54"/>
        <v>5.03094345670599e-5</v>
      </c>
      <c r="AN220" s="12">
        <v>579</v>
      </c>
      <c r="AO220" s="231">
        <f ca="1" t="shared" si="55"/>
        <v>2.38705877647852e-5</v>
      </c>
      <c r="AP220" s="231">
        <f ca="1" t="shared" si="56"/>
        <v>0.692415372787129</v>
      </c>
      <c r="AQ220" s="231">
        <f ca="1" t="shared" si="57"/>
        <v>0.971792392993488</v>
      </c>
      <c r="AR220" s="231">
        <f ca="1" t="shared" si="58"/>
        <v>0.15196660055848</v>
      </c>
      <c r="AS220" s="231">
        <f ca="1" t="shared" si="59"/>
        <v>0.024590105809827</v>
      </c>
    </row>
    <row r="221" ht="15" hidden="1" customHeight="1" spans="3:45">
      <c r="C221" s="221"/>
      <c r="D221" s="221"/>
      <c r="E221" s="221"/>
      <c r="F221" s="221"/>
      <c r="G221" s="221"/>
      <c r="I221" s="12">
        <v>580</v>
      </c>
      <c r="J221" s="230">
        <v>0.87</v>
      </c>
      <c r="L221" s="12">
        <v>580</v>
      </c>
      <c r="M221" s="230">
        <v>6.04705e-5</v>
      </c>
      <c r="N221" s="230">
        <v>0.611728</v>
      </c>
      <c r="O221" s="230">
        <v>0.957841</v>
      </c>
      <c r="P221" s="232">
        <v>0.1212</v>
      </c>
      <c r="Q221" s="230">
        <v>0.0268747</v>
      </c>
      <c r="S221" s="12">
        <v>580</v>
      </c>
      <c r="T221" s="230">
        <v>2.89075975590583e-5</v>
      </c>
      <c r="U221" s="230">
        <v>0.723580742575068</v>
      </c>
      <c r="V221" s="230">
        <v>0.985246725164247</v>
      </c>
      <c r="W221" s="232">
        <v>0.162484148939984</v>
      </c>
      <c r="X221" s="230">
        <v>0.026874723208078</v>
      </c>
      <c r="Z221" s="12">
        <v>580</v>
      </c>
      <c r="AA221" s="230">
        <f ca="1" t="shared" si="45"/>
        <v>2.89075975590583e-5</v>
      </c>
      <c r="AB221" s="230">
        <f ca="1" t="shared" si="46"/>
        <v>0.723580742575068</v>
      </c>
      <c r="AC221" s="230">
        <f ca="1" t="shared" si="47"/>
        <v>0.985246725164247</v>
      </c>
      <c r="AD221" s="230">
        <f ca="1" t="shared" si="48"/>
        <v>0.162484148939984</v>
      </c>
      <c r="AE221" s="230">
        <f ca="1" t="shared" si="49"/>
        <v>0.026874723208078</v>
      </c>
      <c r="AG221" s="12">
        <v>580</v>
      </c>
      <c r="AH221" s="231">
        <f ca="1" t="shared" si="50"/>
        <v>4.98406854466522e-8</v>
      </c>
      <c r="AI221" s="231">
        <f ca="1" t="shared" si="51"/>
        <v>0.00124755300443977</v>
      </c>
      <c r="AJ221" s="231">
        <f ca="1" t="shared" si="52"/>
        <v>0.00169870125028318</v>
      </c>
      <c r="AK221" s="231">
        <f ca="1" t="shared" si="53"/>
        <v>0.000280145084379283</v>
      </c>
      <c r="AL221" s="231">
        <f ca="1" t="shared" si="54"/>
        <v>4.63357296691e-5</v>
      </c>
      <c r="AN221" s="12">
        <v>580</v>
      </c>
      <c r="AO221" s="231">
        <f ca="1" t="shared" si="55"/>
        <v>2.1929901596527e-5</v>
      </c>
      <c r="AP221" s="231">
        <f ca="1" t="shared" si="56"/>
        <v>0.677460957405569</v>
      </c>
      <c r="AQ221" s="231">
        <f ca="1" t="shared" si="57"/>
        <v>0.967030262741109</v>
      </c>
      <c r="AR221" s="231">
        <f ca="1" t="shared" si="58"/>
        <v>0.142799510496351</v>
      </c>
      <c r="AS221" s="231">
        <f ca="1" t="shared" si="59"/>
        <v>0.0226478493575583</v>
      </c>
    </row>
    <row r="222" ht="15" hidden="1" customHeight="1" spans="3:45">
      <c r="C222" s="221"/>
      <c r="D222" s="221"/>
      <c r="E222" s="221"/>
      <c r="F222" s="221"/>
      <c r="G222" s="221"/>
      <c r="I222" s="12">
        <v>581</v>
      </c>
      <c r="J222" s="230">
        <v>0.8598613</v>
      </c>
      <c r="L222" s="12">
        <v>581</v>
      </c>
      <c r="M222" s="230">
        <v>5.5102e-5</v>
      </c>
      <c r="N222" s="230">
        <v>0.594998</v>
      </c>
      <c r="O222" s="230">
        <v>0.953664</v>
      </c>
      <c r="P222" s="232">
        <v>0.1143</v>
      </c>
      <c r="Q222" s="230">
        <v>0.0248014</v>
      </c>
      <c r="S222" s="12">
        <v>581</v>
      </c>
      <c r="T222" s="230">
        <v>2.66109880534333e-5</v>
      </c>
      <c r="U222" s="230">
        <v>0.708671553057555</v>
      </c>
      <c r="V222" s="230">
        <v>0.981709514283078</v>
      </c>
      <c r="W222" s="232">
        <v>0.15278580262561</v>
      </c>
      <c r="X222" s="230">
        <v>0.0247843766231462</v>
      </c>
      <c r="Z222" s="12">
        <v>581</v>
      </c>
      <c r="AA222" s="230">
        <f ca="1" t="shared" si="45"/>
        <v>2.66109880534333e-5</v>
      </c>
      <c r="AB222" s="230">
        <f ca="1" t="shared" si="46"/>
        <v>0.708671553057555</v>
      </c>
      <c r="AC222" s="230">
        <f ca="1" t="shared" si="47"/>
        <v>0.981709514283078</v>
      </c>
      <c r="AD222" s="230">
        <f ca="1" t="shared" si="48"/>
        <v>0.15278580262561</v>
      </c>
      <c r="AE222" s="230">
        <f ca="1" t="shared" si="49"/>
        <v>0.0247843766231462</v>
      </c>
      <c r="AG222" s="12">
        <v>581</v>
      </c>
      <c r="AH222" s="231">
        <f ca="1" t="shared" si="50"/>
        <v>4.58020448423981e-8</v>
      </c>
      <c r="AI222" s="231">
        <f ca="1" t="shared" si="51"/>
        <v>0.00121974449751731</v>
      </c>
      <c r="AJ222" s="231">
        <f ca="1" t="shared" si="52"/>
        <v>0.00168968935332716</v>
      </c>
      <c r="AK222" s="231">
        <f ca="1" t="shared" si="53"/>
        <v>0.000262970400388313</v>
      </c>
      <c r="AL222" s="231">
        <f ca="1" t="shared" si="54"/>
        <v>4.26581353238317e-5</v>
      </c>
      <c r="AN222" s="12">
        <v>581</v>
      </c>
      <c r="AO222" s="231">
        <f ca="1" t="shared" si="55"/>
        <v>2.01528997306552e-5</v>
      </c>
      <c r="AP222" s="231">
        <f ca="1" t="shared" si="56"/>
        <v>0.662360053751241</v>
      </c>
      <c r="AQ222" s="231">
        <f ca="1" t="shared" si="57"/>
        <v>0.961900003915591</v>
      </c>
      <c r="AR222" s="231">
        <f ca="1" t="shared" si="58"/>
        <v>0.134044987916474</v>
      </c>
      <c r="AS222" s="231">
        <f ca="1" t="shared" si="59"/>
        <v>0.0208503249994734</v>
      </c>
    </row>
    <row r="223" ht="15" hidden="1" customHeight="1" spans="3:45">
      <c r="C223" s="221"/>
      <c r="D223" s="221"/>
      <c r="E223" s="221"/>
      <c r="F223" s="221"/>
      <c r="G223" s="221"/>
      <c r="I223" s="12">
        <v>582</v>
      </c>
      <c r="J223" s="230">
        <v>0.849392</v>
      </c>
      <c r="L223" s="12">
        <v>582</v>
      </c>
      <c r="M223" s="230">
        <v>5.02269e-5</v>
      </c>
      <c r="N223" s="230">
        <v>0.578783</v>
      </c>
      <c r="O223" s="230">
        <v>0.950236</v>
      </c>
      <c r="P223" s="232">
        <v>0.1078</v>
      </c>
      <c r="Q223" s="230">
        <v>0.0228597</v>
      </c>
      <c r="S223" s="12">
        <v>582</v>
      </c>
      <c r="T223" s="230">
        <v>2.45039444916467e-5</v>
      </c>
      <c r="U223" s="230">
        <v>0.693572715393512</v>
      </c>
      <c r="V223" s="230">
        <v>0.977777411447962</v>
      </c>
      <c r="W223" s="232">
        <v>0.143518537459589</v>
      </c>
      <c r="X223" s="230">
        <v>0.0228476217360289</v>
      </c>
      <c r="Z223" s="12">
        <v>582</v>
      </c>
      <c r="AA223" s="230">
        <f ca="1" t="shared" si="45"/>
        <v>2.45039444916467e-5</v>
      </c>
      <c r="AB223" s="230">
        <f ca="1" t="shared" si="46"/>
        <v>0.693572715393512</v>
      </c>
      <c r="AC223" s="230">
        <f ca="1" t="shared" si="47"/>
        <v>0.977777411447962</v>
      </c>
      <c r="AD223" s="230">
        <f ca="1" t="shared" si="48"/>
        <v>0.143518537459589</v>
      </c>
      <c r="AE223" s="230">
        <f ca="1" t="shared" si="49"/>
        <v>0.0228476217360289</v>
      </c>
      <c r="AG223" s="12">
        <v>582</v>
      </c>
      <c r="AH223" s="231">
        <f ca="1" t="shared" si="50"/>
        <v>4.21029974083277e-8</v>
      </c>
      <c r="AI223" s="231">
        <f ca="1" t="shared" si="51"/>
        <v>0.00119170569655243</v>
      </c>
      <c r="AJ223" s="231">
        <f ca="1" t="shared" si="52"/>
        <v>0.00168002991657725</v>
      </c>
      <c r="AK223" s="231">
        <f ca="1" t="shared" si="53"/>
        <v>0.000246595425188297</v>
      </c>
      <c r="AL223" s="231">
        <f ca="1" t="shared" si="54"/>
        <v>3.92570820206682e-5</v>
      </c>
      <c r="AN223" s="12">
        <v>582</v>
      </c>
      <c r="AO223" s="231">
        <f ca="1" t="shared" si="55"/>
        <v>1.85253188596642e-5</v>
      </c>
      <c r="AP223" s="231">
        <f ca="1" t="shared" si="56"/>
        <v>0.647134093107827</v>
      </c>
      <c r="AQ223" s="231">
        <f ca="1" t="shared" si="57"/>
        <v>0.956401116070167</v>
      </c>
      <c r="AR223" s="231">
        <f ca="1" t="shared" si="58"/>
        <v>0.125698104200369</v>
      </c>
      <c r="AS223" s="231">
        <f ca="1" t="shared" si="59"/>
        <v>0.0191879676044966</v>
      </c>
    </row>
    <row r="224" ht="15" hidden="1" customHeight="1" spans="3:45">
      <c r="C224" s="221"/>
      <c r="D224" s="221"/>
      <c r="E224" s="221"/>
      <c r="F224" s="221"/>
      <c r="G224" s="221"/>
      <c r="I224" s="12">
        <v>583</v>
      </c>
      <c r="J224" s="230">
        <v>0.838622</v>
      </c>
      <c r="L224" s="12">
        <v>583</v>
      </c>
      <c r="M224" s="230">
        <v>4.57988e-5</v>
      </c>
      <c r="N224" s="230">
        <v>0.562935</v>
      </c>
      <c r="O224" s="230">
        <v>0.947086</v>
      </c>
      <c r="P224" s="232">
        <v>0.1015</v>
      </c>
      <c r="Q224" s="230">
        <v>0.0210534</v>
      </c>
      <c r="S224" s="12">
        <v>583</v>
      </c>
      <c r="T224" s="230">
        <v>2.25702307930023e-5</v>
      </c>
      <c r="U224" s="230">
        <v>0.678303409411306</v>
      </c>
      <c r="V224" s="230">
        <v>0.973446302834482</v>
      </c>
      <c r="W224" s="232">
        <v>0.134677175616115</v>
      </c>
      <c r="X224" s="230">
        <v>0.0210546487219334</v>
      </c>
      <c r="Z224" s="12">
        <v>583</v>
      </c>
      <c r="AA224" s="230">
        <f ca="1" t="shared" si="45"/>
        <v>2.25702307930023e-5</v>
      </c>
      <c r="AB224" s="230">
        <f ca="1" t="shared" si="46"/>
        <v>0.678303409411306</v>
      </c>
      <c r="AC224" s="230">
        <f ca="1" t="shared" si="47"/>
        <v>0.973446302834482</v>
      </c>
      <c r="AD224" s="230">
        <f ca="1" t="shared" si="48"/>
        <v>0.134677175616115</v>
      </c>
      <c r="AE224" s="230">
        <f ca="1" t="shared" si="49"/>
        <v>0.0210546487219334</v>
      </c>
      <c r="AG224" s="12">
        <v>583</v>
      </c>
      <c r="AH224" s="231">
        <f ca="1" t="shared" si="50"/>
        <v>3.87139464717021e-8</v>
      </c>
      <c r="AI224" s="231">
        <f ca="1" t="shared" si="51"/>
        <v>0.00116347068509658</v>
      </c>
      <c r="AJ224" s="231">
        <f ca="1" t="shared" si="52"/>
        <v>0.00166971921583959</v>
      </c>
      <c r="AK224" s="231">
        <f ca="1" t="shared" si="53"/>
        <v>0.000231007162291792</v>
      </c>
      <c r="AL224" s="231">
        <f ca="1" t="shared" si="54"/>
        <v>3.61143202777588e-5</v>
      </c>
      <c r="AN224" s="12">
        <v>583</v>
      </c>
      <c r="AO224" s="231">
        <f ca="1" t="shared" si="55"/>
        <v>1.70341364475489e-5</v>
      </c>
      <c r="AP224" s="231">
        <f ca="1" t="shared" si="56"/>
        <v>0.631801583927727</v>
      </c>
      <c r="AQ224" s="231">
        <f ca="1" t="shared" si="57"/>
        <v>0.950531479109739</v>
      </c>
      <c r="AR224" s="231">
        <f ca="1" t="shared" si="58"/>
        <v>0.117752234594835</v>
      </c>
      <c r="AS224" s="231">
        <f ca="1" t="shared" si="59"/>
        <v>0.0176518572415347</v>
      </c>
    </row>
    <row r="225" ht="15" hidden="1" customHeight="1" spans="3:45">
      <c r="C225" s="221"/>
      <c r="D225" s="221"/>
      <c r="E225" s="221"/>
      <c r="F225" s="221"/>
      <c r="G225" s="221"/>
      <c r="I225" s="12">
        <v>584</v>
      </c>
      <c r="J225" s="230">
        <v>0.8275813</v>
      </c>
      <c r="L225" s="12">
        <v>584</v>
      </c>
      <c r="M225" s="230">
        <v>4.17759e-5</v>
      </c>
      <c r="N225" s="230">
        <v>0.547321</v>
      </c>
      <c r="O225" s="230">
        <v>0.943752</v>
      </c>
      <c r="P225" s="231">
        <v>0.0956</v>
      </c>
      <c r="Q225" s="230">
        <v>0.0193864</v>
      </c>
      <c r="S225" s="12">
        <v>584</v>
      </c>
      <c r="T225" s="230">
        <v>2.07951472527807e-5</v>
      </c>
      <c r="U225" s="230">
        <v>0.662883180965082</v>
      </c>
      <c r="V225" s="230">
        <v>0.968714945147307</v>
      </c>
      <c r="W225" s="231">
        <v>0.126256283145853</v>
      </c>
      <c r="X225" s="230">
        <v>0.0193959028428913</v>
      </c>
      <c r="Z225" s="12">
        <v>584</v>
      </c>
      <c r="AA225" s="230">
        <f ca="1" t="shared" si="45"/>
        <v>2.07951472527807e-5</v>
      </c>
      <c r="AB225" s="230">
        <f ca="1" t="shared" si="46"/>
        <v>0.662883180965082</v>
      </c>
      <c r="AC225" s="230">
        <f ca="1" t="shared" si="47"/>
        <v>0.968714945147307</v>
      </c>
      <c r="AD225" s="230">
        <f ca="1" t="shared" si="48"/>
        <v>0.126256283145853</v>
      </c>
      <c r="AE225" s="230">
        <f ca="1" t="shared" si="49"/>
        <v>0.0193959028428913</v>
      </c>
      <c r="AG225" s="12">
        <v>584</v>
      </c>
      <c r="AH225" s="231">
        <f ca="1" t="shared" si="50"/>
        <v>3.56081288575012e-8</v>
      </c>
      <c r="AI225" s="231">
        <f ca="1" t="shared" si="51"/>
        <v>0.0011350739400087</v>
      </c>
      <c r="AJ225" s="231">
        <f ca="1" t="shared" si="52"/>
        <v>0.00165875846771799</v>
      </c>
      <c r="AK225" s="231">
        <f ca="1" t="shared" si="53"/>
        <v>0.000216192265660707</v>
      </c>
      <c r="AL225" s="231">
        <f ca="1" t="shared" si="54"/>
        <v>3.32121624022111e-5</v>
      </c>
      <c r="AN225" s="12">
        <v>584</v>
      </c>
      <c r="AO225" s="231">
        <f ca="1" t="shared" si="55"/>
        <v>1.56675766973005e-5</v>
      </c>
      <c r="AP225" s="231">
        <f ca="1" t="shared" si="56"/>
        <v>0.61638124824181</v>
      </c>
      <c r="AQ225" s="231">
        <f ca="1" t="shared" si="57"/>
        <v>0.944291785617959</v>
      </c>
      <c r="AR225" s="231">
        <f ca="1" t="shared" si="58"/>
        <v>0.110200576168771</v>
      </c>
      <c r="AS225" s="231">
        <f ca="1" t="shared" si="59"/>
        <v>0.0162333485691421</v>
      </c>
    </row>
    <row r="226" ht="15" hidden="1" customHeight="1" spans="3:45">
      <c r="C226" s="221"/>
      <c r="D226" s="221"/>
      <c r="E226" s="221"/>
      <c r="F226" s="221"/>
      <c r="G226" s="221"/>
      <c r="I226" s="12">
        <v>585</v>
      </c>
      <c r="J226" s="230">
        <v>0.8163</v>
      </c>
      <c r="L226" s="12">
        <v>585</v>
      </c>
      <c r="M226" s="230">
        <v>3.81202e-5</v>
      </c>
      <c r="N226" s="230">
        <v>0.531825</v>
      </c>
      <c r="O226" s="230">
        <v>0.939781</v>
      </c>
      <c r="P226" s="231">
        <v>0.0899</v>
      </c>
      <c r="Q226" s="230">
        <v>0.0178624</v>
      </c>
      <c r="S226" s="12">
        <v>585</v>
      </c>
      <c r="T226" s="230">
        <v>1.91650960431154e-5</v>
      </c>
      <c r="U226" s="230">
        <v>0.647331886240647</v>
      </c>
      <c r="V226" s="230">
        <v>0.963580494257606</v>
      </c>
      <c r="W226" s="231">
        <v>0.118247781093904</v>
      </c>
      <c r="X226" s="230">
        <v>0.0178624489249707</v>
      </c>
      <c r="Z226" s="12">
        <v>585</v>
      </c>
      <c r="AA226" s="230">
        <f ca="1" t="shared" si="45"/>
        <v>1.91650960431154e-5</v>
      </c>
      <c r="AB226" s="230">
        <f ca="1" t="shared" si="46"/>
        <v>0.647331886240647</v>
      </c>
      <c r="AC226" s="230">
        <f ca="1" t="shared" si="47"/>
        <v>0.963580494257606</v>
      </c>
      <c r="AD226" s="230">
        <f ca="1" t="shared" si="48"/>
        <v>0.118247781093904</v>
      </c>
      <c r="AE226" s="230">
        <f ca="1" t="shared" si="49"/>
        <v>0.0178624489249707</v>
      </c>
      <c r="AG226" s="12">
        <v>585</v>
      </c>
      <c r="AH226" s="231">
        <f ca="1" t="shared" si="50"/>
        <v>3.27608479369494e-8</v>
      </c>
      <c r="AI226" s="231">
        <f ca="1" t="shared" si="51"/>
        <v>0.00110655023288999</v>
      </c>
      <c r="AJ226" s="231">
        <f ca="1" t="shared" si="52"/>
        <v>0.0016471461440301</v>
      </c>
      <c r="AK226" s="231">
        <f ca="1" t="shared" si="53"/>
        <v>0.000202132959134879</v>
      </c>
      <c r="AL226" s="231">
        <f ca="1" t="shared" si="54"/>
        <v>3.05341007264456e-5</v>
      </c>
      <c r="AN226" s="12">
        <v>585</v>
      </c>
      <c r="AO226" s="231">
        <f ca="1" t="shared" si="55"/>
        <v>1.44147730922577e-5</v>
      </c>
      <c r="AP226" s="231">
        <f ca="1" t="shared" si="56"/>
        <v>0.600891968135372</v>
      </c>
      <c r="AQ226" s="231">
        <f ca="1" t="shared" si="57"/>
        <v>0.937681165636919</v>
      </c>
      <c r="AR226" s="231">
        <f ca="1" t="shared" si="58"/>
        <v>0.103034067806667</v>
      </c>
      <c r="AS226" s="231">
        <f ca="1" t="shared" si="59"/>
        <v>0.0149243730153712</v>
      </c>
    </row>
    <row r="227" ht="15" hidden="1" customHeight="1" spans="3:45">
      <c r="C227" s="221"/>
      <c r="D227" s="221"/>
      <c r="E227" s="221"/>
      <c r="F227" s="221"/>
      <c r="G227" s="221"/>
      <c r="I227" s="12">
        <v>586</v>
      </c>
      <c r="J227" s="230">
        <v>0.8047947</v>
      </c>
      <c r="L227" s="12">
        <v>586</v>
      </c>
      <c r="M227" s="230">
        <v>3.47974e-5</v>
      </c>
      <c r="N227" s="230">
        <v>0.516354</v>
      </c>
      <c r="O227" s="230">
        <v>0.934826</v>
      </c>
      <c r="P227" s="231">
        <v>0.0845</v>
      </c>
      <c r="Q227" s="230">
        <v>0.0164578</v>
      </c>
      <c r="S227" s="12">
        <v>586</v>
      </c>
      <c r="T227" s="230">
        <v>1.76679027462581e-5</v>
      </c>
      <c r="U227" s="230">
        <v>0.631669634389223</v>
      </c>
      <c r="V227" s="230">
        <v>0.958042995530776</v>
      </c>
      <c r="W227" s="231">
        <v>0.110643778864368</v>
      </c>
      <c r="X227" s="230">
        <v>0.0164456862290503</v>
      </c>
      <c r="Z227" s="12">
        <v>586</v>
      </c>
      <c r="AA227" s="230">
        <f ca="1" t="shared" si="45"/>
        <v>1.76679027462581e-5</v>
      </c>
      <c r="AB227" s="230">
        <f ca="1" t="shared" si="46"/>
        <v>0.631669634389223</v>
      </c>
      <c r="AC227" s="230">
        <f ca="1" t="shared" si="47"/>
        <v>0.958042995530776</v>
      </c>
      <c r="AD227" s="230">
        <f ca="1" t="shared" si="48"/>
        <v>0.110643778864368</v>
      </c>
      <c r="AE227" s="230">
        <f ca="1" t="shared" si="49"/>
        <v>0.0164456862290503</v>
      </c>
      <c r="AG227" s="12">
        <v>586</v>
      </c>
      <c r="AH227" s="231">
        <f ca="1" t="shared" si="50"/>
        <v>3.01500046864473e-8</v>
      </c>
      <c r="AI227" s="231">
        <f ca="1" t="shared" si="51"/>
        <v>0.00107793452967444</v>
      </c>
      <c r="AJ227" s="231">
        <f ca="1" t="shared" si="52"/>
        <v>0.00163488565790235</v>
      </c>
      <c r="AK227" s="231">
        <f ca="1" t="shared" si="53"/>
        <v>0.00018881190932486</v>
      </c>
      <c r="AL227" s="231">
        <f ca="1" t="shared" si="54"/>
        <v>2.80643109710756e-5</v>
      </c>
      <c r="AN227" s="12">
        <v>586</v>
      </c>
      <c r="AO227" s="231">
        <f ca="1" t="shared" si="55"/>
        <v>1.32660020620368e-5</v>
      </c>
      <c r="AP227" s="231">
        <f ca="1" t="shared" si="56"/>
        <v>0.585352731222591</v>
      </c>
      <c r="AQ227" s="231">
        <f ca="1" t="shared" si="57"/>
        <v>0.93070156217841</v>
      </c>
      <c r="AR227" s="231">
        <f ca="1" t="shared" si="58"/>
        <v>0.0962438740883554</v>
      </c>
      <c r="AS227" s="231">
        <f ca="1" t="shared" si="59"/>
        <v>0.0137171960328587</v>
      </c>
    </row>
    <row r="228" ht="15" hidden="1" customHeight="1" spans="3:45">
      <c r="C228" s="221"/>
      <c r="D228" s="221"/>
      <c r="E228" s="221"/>
      <c r="F228" s="221"/>
      <c r="G228" s="221"/>
      <c r="I228" s="12">
        <v>587</v>
      </c>
      <c r="J228" s="230">
        <v>0.793082</v>
      </c>
      <c r="L228" s="12">
        <v>587</v>
      </c>
      <c r="M228" s="230">
        <v>3.17763e-5</v>
      </c>
      <c r="N228" s="230">
        <v>0.50087</v>
      </c>
      <c r="O228" s="230">
        <v>0.928917</v>
      </c>
      <c r="P228" s="231">
        <v>0.0793</v>
      </c>
      <c r="Q228" s="230">
        <v>0.015147</v>
      </c>
      <c r="S228" s="12">
        <v>587</v>
      </c>
      <c r="T228" s="230">
        <v>1.62922475393654e-5</v>
      </c>
      <c r="U228" s="230">
        <v>0.615918146942325</v>
      </c>
      <c r="V228" s="230">
        <v>0.95210095330311</v>
      </c>
      <c r="W228" s="231">
        <v>0.103434876442004</v>
      </c>
      <c r="X228" s="230">
        <v>0.0151374945572945</v>
      </c>
      <c r="Z228" s="12">
        <v>587</v>
      </c>
      <c r="AA228" s="230">
        <f ca="1" t="shared" si="45"/>
        <v>1.62922475393654e-5</v>
      </c>
      <c r="AB228" s="230">
        <f ca="1" t="shared" si="46"/>
        <v>0.615918146942325</v>
      </c>
      <c r="AC228" s="230">
        <f ca="1" t="shared" si="47"/>
        <v>0.95210095330311</v>
      </c>
      <c r="AD228" s="230">
        <f ca="1" t="shared" si="48"/>
        <v>0.103434876442004</v>
      </c>
      <c r="AE228" s="230">
        <f ca="1" t="shared" si="49"/>
        <v>0.0151374945572945</v>
      </c>
      <c r="AG228" s="12">
        <v>587</v>
      </c>
      <c r="AH228" s="231">
        <f ca="1" t="shared" si="50"/>
        <v>2.77551065406566e-8</v>
      </c>
      <c r="AI228" s="231">
        <f ca="1" t="shared" si="51"/>
        <v>0.00104926430484212</v>
      </c>
      <c r="AJ228" s="231">
        <f ca="1" t="shared" si="52"/>
        <v>0.00162197777394056</v>
      </c>
      <c r="AK228" s="231">
        <f ca="1" t="shared" si="53"/>
        <v>0.000176209329543448</v>
      </c>
      <c r="AL228" s="231">
        <f ca="1" t="shared" si="54"/>
        <v>2.57878953275886e-5</v>
      </c>
      <c r="AN228" s="12">
        <v>587</v>
      </c>
      <c r="AO228" s="231">
        <f ca="1" t="shared" si="55"/>
        <v>1.22122468778889e-5</v>
      </c>
      <c r="AP228" s="231">
        <f ca="1" t="shared" si="56"/>
        <v>0.56978388733795</v>
      </c>
      <c r="AQ228" s="231">
        <f ca="1" t="shared" si="57"/>
        <v>0.923353410514357</v>
      </c>
      <c r="AR228" s="231">
        <f ca="1" t="shared" si="58"/>
        <v>0.0898199090640741</v>
      </c>
      <c r="AS228" s="231">
        <f ca="1" t="shared" si="59"/>
        <v>0.0126045359121039</v>
      </c>
    </row>
    <row r="229" ht="15" hidden="1" customHeight="1" spans="3:45">
      <c r="C229" s="221"/>
      <c r="D229" s="221"/>
      <c r="E229" s="221"/>
      <c r="F229" s="221"/>
      <c r="G229" s="221"/>
      <c r="I229" s="12">
        <v>588</v>
      </c>
      <c r="J229" s="230">
        <v>0.781192</v>
      </c>
      <c r="L229" s="12">
        <v>588</v>
      </c>
      <c r="M229" s="230">
        <v>2.90288e-5</v>
      </c>
      <c r="N229" s="230">
        <v>0.48535</v>
      </c>
      <c r="O229" s="230">
        <v>0.922177</v>
      </c>
      <c r="P229" s="231">
        <v>0.0745</v>
      </c>
      <c r="Q229" s="230">
        <v>0.0139314</v>
      </c>
      <c r="S229" s="12">
        <v>588</v>
      </c>
      <c r="T229" s="230">
        <v>1.50279935502552e-5</v>
      </c>
      <c r="U229" s="230">
        <v>0.600096370394667</v>
      </c>
      <c r="V229" s="230">
        <v>0.945755770919408</v>
      </c>
      <c r="W229" s="231">
        <v>0.0966106490949265</v>
      </c>
      <c r="X229" s="230">
        <v>0.013930252868078</v>
      </c>
      <c r="Z229" s="12">
        <v>588</v>
      </c>
      <c r="AA229" s="230">
        <f ca="1" t="shared" si="45"/>
        <v>1.50279935502552e-5</v>
      </c>
      <c r="AB229" s="230">
        <f ca="1" t="shared" si="46"/>
        <v>0.600096370394667</v>
      </c>
      <c r="AC229" s="230">
        <f ca="1" t="shared" si="47"/>
        <v>0.945755770919408</v>
      </c>
      <c r="AD229" s="230">
        <f ca="1" t="shared" si="48"/>
        <v>0.0966106490949265</v>
      </c>
      <c r="AE229" s="230">
        <f ca="1" t="shared" si="49"/>
        <v>0.013930252868078</v>
      </c>
      <c r="AG229" s="12">
        <v>588</v>
      </c>
      <c r="AH229" s="231">
        <f ca="1" t="shared" si="50"/>
        <v>2.5557812160298e-8</v>
      </c>
      <c r="AI229" s="231">
        <f ca="1" t="shared" si="51"/>
        <v>0.00102057205849433</v>
      </c>
      <c r="AJ229" s="231">
        <f ca="1" t="shared" si="52"/>
        <v>0.00160842818183573</v>
      </c>
      <c r="AK229" s="231">
        <f ca="1" t="shared" si="53"/>
        <v>0.000164303824991372</v>
      </c>
      <c r="AL229" s="231">
        <f ca="1" t="shared" si="54"/>
        <v>2.36909062382279e-5</v>
      </c>
      <c r="AN229" s="12">
        <v>588</v>
      </c>
      <c r="AO229" s="231">
        <f ca="1" t="shared" si="55"/>
        <v>1.12454373505311e-5</v>
      </c>
      <c r="AP229" s="231">
        <f ca="1" t="shared" si="56"/>
        <v>0.554203085070059</v>
      </c>
      <c r="AQ229" s="231">
        <f ca="1" t="shared" si="57"/>
        <v>0.91563994965066</v>
      </c>
      <c r="AR229" s="231">
        <f ca="1" t="shared" si="58"/>
        <v>0.0837512670744582</v>
      </c>
      <c r="AS229" s="231">
        <f ca="1" t="shared" si="59"/>
        <v>0.0115795754045335</v>
      </c>
    </row>
    <row r="230" ht="15" hidden="1" customHeight="1" spans="3:45">
      <c r="C230" s="221"/>
      <c r="D230" s="221"/>
      <c r="E230" s="221"/>
      <c r="F230" s="221"/>
      <c r="G230" s="221"/>
      <c r="I230" s="12">
        <v>589</v>
      </c>
      <c r="J230" s="230">
        <v>0.7691547</v>
      </c>
      <c r="L230" s="12">
        <v>589</v>
      </c>
      <c r="M230" s="230">
        <v>2.65294e-5</v>
      </c>
      <c r="N230" s="230">
        <v>0.469777</v>
      </c>
      <c r="O230" s="230">
        <v>0.914729</v>
      </c>
      <c r="P230" s="231">
        <v>0.0699</v>
      </c>
      <c r="Q230" s="230">
        <v>0.012812</v>
      </c>
      <c r="S230" s="12">
        <v>589</v>
      </c>
      <c r="T230" s="230">
        <v>1.38657064008679e-5</v>
      </c>
      <c r="U230" s="230">
        <v>0.584226160598403</v>
      </c>
      <c r="V230" s="230">
        <v>0.93900520584185</v>
      </c>
      <c r="W230" s="231">
        <v>0.0901598125285276</v>
      </c>
      <c r="X230" s="230">
        <v>0.0128167230508719</v>
      </c>
      <c r="Z230" s="12">
        <v>589</v>
      </c>
      <c r="AA230" s="230">
        <f ca="1" t="shared" si="45"/>
        <v>1.38657064008679e-5</v>
      </c>
      <c r="AB230" s="230">
        <f ca="1" t="shared" si="46"/>
        <v>0.584226160598403</v>
      </c>
      <c r="AC230" s="230">
        <f ca="1" t="shared" si="47"/>
        <v>0.93900520584185</v>
      </c>
      <c r="AD230" s="230">
        <f ca="1" t="shared" si="48"/>
        <v>0.0901598125285276</v>
      </c>
      <c r="AE230" s="230">
        <f ca="1" t="shared" si="49"/>
        <v>0.0128167230508719</v>
      </c>
      <c r="AG230" s="12">
        <v>589</v>
      </c>
      <c r="AH230" s="231">
        <f ca="1" t="shared" si="50"/>
        <v>2.35410974547842e-8</v>
      </c>
      <c r="AI230" s="231">
        <f ca="1" t="shared" si="51"/>
        <v>0.000991895009504929</v>
      </c>
      <c r="AJ230" s="231">
        <f ca="1" t="shared" si="52"/>
        <v>0.00159423634268565</v>
      </c>
      <c r="AK230" s="231">
        <f ca="1" t="shared" si="53"/>
        <v>0.00015307268680565</v>
      </c>
      <c r="AL230" s="231">
        <f ca="1" t="shared" si="54"/>
        <v>2.17601410031781e-5</v>
      </c>
      <c r="AN230" s="12">
        <v>589</v>
      </c>
      <c r="AO230" s="231">
        <f ca="1" t="shared" si="55"/>
        <v>1.03580828801051e-5</v>
      </c>
      <c r="AP230" s="231">
        <f ca="1" t="shared" si="56"/>
        <v>0.538630535451094</v>
      </c>
      <c r="AQ230" s="231">
        <f ca="1" t="shared" si="57"/>
        <v>0.907560872803105</v>
      </c>
      <c r="AR230" s="231">
        <f ca="1" t="shared" si="58"/>
        <v>0.0780263726370223</v>
      </c>
      <c r="AS230" s="231">
        <f ca="1" t="shared" si="59"/>
        <v>0.0106358613311717</v>
      </c>
    </row>
    <row r="231" ht="15" hidden="1" customHeight="1" spans="3:45">
      <c r="C231" s="221"/>
      <c r="D231" s="221"/>
      <c r="E231" s="221"/>
      <c r="F231" s="221"/>
      <c r="G231" s="221"/>
      <c r="I231" s="12">
        <v>590</v>
      </c>
      <c r="J231" s="230">
        <v>0.757</v>
      </c>
      <c r="L231" s="12">
        <v>590</v>
      </c>
      <c r="M231" s="230">
        <v>2.42549e-5</v>
      </c>
      <c r="N231" s="230">
        <v>0.454142</v>
      </c>
      <c r="O231" s="230">
        <v>0.906693</v>
      </c>
      <c r="P231" s="231">
        <v>0.0655</v>
      </c>
      <c r="Q231" s="230">
        <v>0.0117901</v>
      </c>
      <c r="S231" s="12">
        <v>590</v>
      </c>
      <c r="T231" s="230">
        <v>1.27969065940616e-5</v>
      </c>
      <c r="U231" s="230">
        <v>0.568325313272596</v>
      </c>
      <c r="V231" s="230">
        <v>0.931856416526961</v>
      </c>
      <c r="W231" s="231">
        <v>0.0840709587181752</v>
      </c>
      <c r="X231" s="230">
        <v>0.0117901410294115</v>
      </c>
      <c r="Z231" s="12">
        <v>590</v>
      </c>
      <c r="AA231" s="230">
        <f ca="1" t="shared" si="45"/>
        <v>1.27969065940616e-5</v>
      </c>
      <c r="AB231" s="230">
        <f ca="1" t="shared" si="46"/>
        <v>0.568325313272596</v>
      </c>
      <c r="AC231" s="230">
        <f ca="1" t="shared" si="47"/>
        <v>0.931856416526961</v>
      </c>
      <c r="AD231" s="230">
        <f ca="1" t="shared" si="48"/>
        <v>0.0840709587181752</v>
      </c>
      <c r="AE231" s="230">
        <f ca="1" t="shared" si="49"/>
        <v>0.0117901410294115</v>
      </c>
      <c r="AG231" s="12">
        <v>590</v>
      </c>
      <c r="AH231" s="231">
        <f ca="1" t="shared" si="50"/>
        <v>2.16896721933247e-8</v>
      </c>
      <c r="AI231" s="231">
        <f ca="1" t="shared" si="51"/>
        <v>0.000963263242834909</v>
      </c>
      <c r="AJ231" s="231">
        <f ca="1" t="shared" si="52"/>
        <v>0.00157941765513044</v>
      </c>
      <c r="AK231" s="231">
        <f ca="1" t="shared" si="53"/>
        <v>0.000142493150369788</v>
      </c>
      <c r="AL231" s="231">
        <f ca="1" t="shared" si="54"/>
        <v>1.99832898803585e-5</v>
      </c>
      <c r="AN231" s="12">
        <v>590</v>
      </c>
      <c r="AO231" s="231">
        <f ca="1" t="shared" si="55"/>
        <v>9.54345576506289e-6</v>
      </c>
      <c r="AP231" s="231">
        <f ca="1" t="shared" si="56"/>
        <v>0.523082575571669</v>
      </c>
      <c r="AQ231" s="231">
        <f ca="1" t="shared" si="57"/>
        <v>0.899124946051649</v>
      </c>
      <c r="AR231" s="231">
        <f ca="1" t="shared" si="58"/>
        <v>0.0726336218498127</v>
      </c>
      <c r="AS231" s="231">
        <f ca="1" t="shared" si="59"/>
        <v>0.00976737697044599</v>
      </c>
    </row>
    <row r="232" ht="15" hidden="1" customHeight="1" spans="3:45">
      <c r="C232" s="221"/>
      <c r="D232" s="221"/>
      <c r="E232" s="221"/>
      <c r="F232" s="221"/>
      <c r="G232" s="221"/>
      <c r="I232" s="12">
        <v>591</v>
      </c>
      <c r="J232" s="230">
        <v>0.7447541</v>
      </c>
      <c r="L232" s="12">
        <v>591</v>
      </c>
      <c r="M232" s="230">
        <v>2.21847e-5</v>
      </c>
      <c r="N232" s="230">
        <v>0.438454</v>
      </c>
      <c r="O232" s="230">
        <v>0.89817</v>
      </c>
      <c r="P232" s="231">
        <v>0.0613</v>
      </c>
      <c r="Q232" s="230">
        <v>0.0108488</v>
      </c>
      <c r="S232" s="12">
        <v>591</v>
      </c>
      <c r="T232" s="230">
        <v>1.18083440950229e-5</v>
      </c>
      <c r="U232" s="230">
        <v>0.552162616604763</v>
      </c>
      <c r="V232" s="230">
        <v>0.923880923942058</v>
      </c>
      <c r="W232" s="231">
        <v>0.0782953554341728</v>
      </c>
      <c r="X232" s="230">
        <v>0.0108391443492327</v>
      </c>
      <c r="Z232" s="12">
        <v>591</v>
      </c>
      <c r="AA232" s="230">
        <f ca="1" t="shared" si="45"/>
        <v>1.18083440950229e-5</v>
      </c>
      <c r="AB232" s="230">
        <f ca="1" t="shared" si="46"/>
        <v>0.552162616604763</v>
      </c>
      <c r="AC232" s="230">
        <f ca="1" t="shared" si="47"/>
        <v>0.923880923942058</v>
      </c>
      <c r="AD232" s="230">
        <f ca="1" t="shared" si="48"/>
        <v>0.0782953554341728</v>
      </c>
      <c r="AE232" s="230">
        <f ca="1" t="shared" si="49"/>
        <v>0.0108391443492327</v>
      </c>
      <c r="AG232" s="12">
        <v>591</v>
      </c>
      <c r="AH232" s="231">
        <f ca="1" t="shared" si="50"/>
        <v>1.99802776565531e-8</v>
      </c>
      <c r="AI232" s="231">
        <f ca="1" t="shared" si="51"/>
        <v>0.000934285307283863</v>
      </c>
      <c r="AJ232" s="231">
        <f ca="1" t="shared" si="52"/>
        <v>0.0015632502943182</v>
      </c>
      <c r="AK232" s="231">
        <f ca="1" t="shared" si="53"/>
        <v>0.000132479450819243</v>
      </c>
      <c r="AL232" s="231">
        <f ca="1" t="shared" si="54"/>
        <v>1.83403457685833e-5</v>
      </c>
      <c r="AN232" s="12">
        <v>591</v>
      </c>
      <c r="AO232" s="231">
        <f ca="1" t="shared" si="55"/>
        <v>8.79132216888338e-6</v>
      </c>
      <c r="AP232" s="231">
        <f ca="1" t="shared" si="56"/>
        <v>0.507346634980621</v>
      </c>
      <c r="AQ232" s="231">
        <f ca="1" t="shared" si="57"/>
        <v>0.88992125165778</v>
      </c>
      <c r="AR232" s="231">
        <f ca="1" t="shared" si="58"/>
        <v>0.0675292974343274</v>
      </c>
      <c r="AS232" s="231">
        <f ca="1" t="shared" si="59"/>
        <v>0.00896434330696218</v>
      </c>
    </row>
    <row r="233" ht="15" hidden="1" customHeight="1" spans="3:45">
      <c r="C233" s="221"/>
      <c r="D233" s="221"/>
      <c r="E233" s="221"/>
      <c r="F233" s="221"/>
      <c r="G233" s="221"/>
      <c r="I233" s="12">
        <v>592</v>
      </c>
      <c r="J233" s="230">
        <v>0.7324224</v>
      </c>
      <c r="L233" s="12">
        <v>592</v>
      </c>
      <c r="M233" s="230">
        <v>2.02996e-5</v>
      </c>
      <c r="N233" s="230">
        <v>0.422778</v>
      </c>
      <c r="O233" s="230">
        <v>0.889188</v>
      </c>
      <c r="P233" s="231">
        <v>0.0574</v>
      </c>
      <c r="Q233" s="230">
        <v>0.00997112</v>
      </c>
      <c r="S233" s="12">
        <v>592</v>
      </c>
      <c r="T233" s="230">
        <v>1.08991843914335e-5</v>
      </c>
      <c r="U233" s="230">
        <v>0.536026178095208</v>
      </c>
      <c r="V233" s="230">
        <v>0.915518237397413</v>
      </c>
      <c r="W233" s="231">
        <v>0.072861314141457</v>
      </c>
      <c r="X233" s="230">
        <v>0.00996354760119383</v>
      </c>
      <c r="Z233" s="12">
        <v>592</v>
      </c>
      <c r="AA233" s="230">
        <f ca="1" t="shared" si="45"/>
        <v>1.08991843914335e-5</v>
      </c>
      <c r="AB233" s="230">
        <f ca="1" t="shared" si="46"/>
        <v>0.536026178095208</v>
      </c>
      <c r="AC233" s="230">
        <f ca="1" t="shared" si="47"/>
        <v>0.915518237397413</v>
      </c>
      <c r="AD233" s="230">
        <f ca="1" t="shared" si="48"/>
        <v>0.072861314141457</v>
      </c>
      <c r="AE233" s="230">
        <f ca="1" t="shared" si="49"/>
        <v>0.00996354760119383</v>
      </c>
      <c r="AG233" s="12">
        <v>592</v>
      </c>
      <c r="AH233" s="231">
        <f ca="1" t="shared" si="50"/>
        <v>1.8410784444989e-8</v>
      </c>
      <c r="AI233" s="231">
        <f ca="1" t="shared" si="51"/>
        <v>0.000905449625160824</v>
      </c>
      <c r="AJ233" s="231">
        <f ca="1" t="shared" si="52"/>
        <v>0.00154648350911725</v>
      </c>
      <c r="AK233" s="231">
        <f ca="1" t="shared" si="53"/>
        <v>0.000123076544157867</v>
      </c>
      <c r="AL233" s="231">
        <f ca="1" t="shared" si="54"/>
        <v>1.68303168939085e-5</v>
      </c>
      <c r="AN233" s="12">
        <v>592</v>
      </c>
      <c r="AO233" s="231">
        <f ca="1" t="shared" si="55"/>
        <v>8.10074515579517e-6</v>
      </c>
      <c r="AP233" s="231">
        <f ca="1" t="shared" si="56"/>
        <v>0.491687942525074</v>
      </c>
      <c r="AQ233" s="231">
        <f ca="1" t="shared" si="57"/>
        <v>0.880376319201001</v>
      </c>
      <c r="AR233" s="231">
        <f ca="1" t="shared" si="58"/>
        <v>0.0627363150000199</v>
      </c>
      <c r="AS233" s="231">
        <f ca="1" t="shared" si="59"/>
        <v>0.0082262755842043</v>
      </c>
    </row>
    <row r="234" ht="15" hidden="1" customHeight="1" spans="3:45">
      <c r="C234" s="221"/>
      <c r="D234" s="221"/>
      <c r="E234" s="221"/>
      <c r="F234" s="221"/>
      <c r="G234" s="221"/>
      <c r="I234" s="12">
        <v>593</v>
      </c>
      <c r="J234" s="230">
        <v>0.7200036</v>
      </c>
      <c r="L234" s="12">
        <v>593</v>
      </c>
      <c r="M234" s="230">
        <v>1.85826e-5</v>
      </c>
      <c r="N234" s="230">
        <v>0.407188</v>
      </c>
      <c r="O234" s="230">
        <v>0.879759</v>
      </c>
      <c r="P234" s="231">
        <v>0.0537</v>
      </c>
      <c r="Q234" s="230">
        <v>0.0091585</v>
      </c>
      <c r="S234" s="12">
        <v>593</v>
      </c>
      <c r="T234" s="230">
        <v>1.00627805115143e-5</v>
      </c>
      <c r="U234" s="230">
        <v>0.519934936032278</v>
      </c>
      <c r="V234" s="230">
        <v>0.90677387665749</v>
      </c>
      <c r="W234" s="231">
        <v>0.0677554134918828</v>
      </c>
      <c r="X234" s="230">
        <v>0.00915769130748038</v>
      </c>
      <c r="Z234" s="12">
        <v>593</v>
      </c>
      <c r="AA234" s="230">
        <f ca="1" t="shared" si="45"/>
        <v>1.00627805115143e-5</v>
      </c>
      <c r="AB234" s="230">
        <f ca="1" t="shared" si="46"/>
        <v>0.519934936032278</v>
      </c>
      <c r="AC234" s="230">
        <f ca="1" t="shared" si="47"/>
        <v>0.90677387665749</v>
      </c>
      <c r="AD234" s="230">
        <f ca="1" t="shared" si="48"/>
        <v>0.0677554134918828</v>
      </c>
      <c r="AE234" s="230">
        <f ca="1" t="shared" si="49"/>
        <v>0.00915769130748038</v>
      </c>
      <c r="AG234" s="12">
        <v>593</v>
      </c>
      <c r="AH234" s="231">
        <f ca="1" t="shared" si="50"/>
        <v>1.69692757361118e-8</v>
      </c>
      <c r="AI234" s="231">
        <f ca="1" t="shared" si="51"/>
        <v>0.000876787413207889</v>
      </c>
      <c r="AJ234" s="231">
        <f ca="1" t="shared" si="52"/>
        <v>0.00152912964023185</v>
      </c>
      <c r="AK234" s="231">
        <f ca="1" t="shared" si="53"/>
        <v>0.00011425870740621</v>
      </c>
      <c r="AL234" s="231">
        <f ca="1" t="shared" si="54"/>
        <v>1.54429870277915e-5</v>
      </c>
      <c r="AN234" s="12">
        <v>593</v>
      </c>
      <c r="AO234" s="231">
        <f ca="1" t="shared" si="55"/>
        <v>7.46648132388919e-6</v>
      </c>
      <c r="AP234" s="231">
        <f ca="1" t="shared" si="56"/>
        <v>0.476123449888774</v>
      </c>
      <c r="AQ234" s="231">
        <f ca="1" t="shared" si="57"/>
        <v>0.87049717395105</v>
      </c>
      <c r="AR234" s="231">
        <f ca="1" t="shared" si="58"/>
        <v>0.058241562666374</v>
      </c>
      <c r="AS234" s="231">
        <f ca="1" t="shared" si="59"/>
        <v>0.00754818034233717</v>
      </c>
    </row>
    <row r="235" ht="15" hidden="1" customHeight="1" spans="3:45">
      <c r="C235" s="221"/>
      <c r="D235" s="221"/>
      <c r="E235" s="221"/>
      <c r="F235" s="221"/>
      <c r="G235" s="221"/>
      <c r="I235" s="12">
        <v>594</v>
      </c>
      <c r="J235" s="230">
        <v>0.7074965</v>
      </c>
      <c r="L235" s="12">
        <v>594</v>
      </c>
      <c r="M235" s="230">
        <v>1.70182e-5</v>
      </c>
      <c r="N235" s="230">
        <v>0.391752</v>
      </c>
      <c r="O235" s="230">
        <v>0.869894</v>
      </c>
      <c r="P235" s="231">
        <v>0.0502</v>
      </c>
      <c r="Q235" s="230">
        <v>0.00841242</v>
      </c>
      <c r="S235" s="12">
        <v>594</v>
      </c>
      <c r="T235" s="230">
        <v>9.29312973330527e-6</v>
      </c>
      <c r="U235" s="230">
        <v>0.503910026763022</v>
      </c>
      <c r="V235" s="230">
        <v>0.897649927200165</v>
      </c>
      <c r="W235" s="231">
        <v>0.0629636650615054</v>
      </c>
      <c r="X235" s="230">
        <v>0.00841623784006864</v>
      </c>
      <c r="Z235" s="12">
        <v>594</v>
      </c>
      <c r="AA235" s="230">
        <f ca="1" t="shared" si="45"/>
        <v>9.29312973330527e-6</v>
      </c>
      <c r="AB235" s="230">
        <f ca="1" t="shared" si="46"/>
        <v>0.503910026763022</v>
      </c>
      <c r="AC235" s="230">
        <f ca="1" t="shared" si="47"/>
        <v>0.897649927200165</v>
      </c>
      <c r="AD235" s="230">
        <f ca="1" t="shared" si="48"/>
        <v>0.0629636650615054</v>
      </c>
      <c r="AE235" s="230">
        <f ca="1" t="shared" si="49"/>
        <v>0.00841623784006864</v>
      </c>
      <c r="AG235" s="12">
        <v>594</v>
      </c>
      <c r="AH235" s="231">
        <f ca="1" t="shared" si="50"/>
        <v>1.5644999551019e-8</v>
      </c>
      <c r="AI235" s="231">
        <f ca="1" t="shared" si="51"/>
        <v>0.000848333378388926</v>
      </c>
      <c r="AJ235" s="231">
        <f ca="1" t="shared" si="52"/>
        <v>0.00151119516363664</v>
      </c>
      <c r="AK235" s="231">
        <f ca="1" t="shared" si="53"/>
        <v>0.00010599943613048</v>
      </c>
      <c r="AL235" s="231">
        <f ca="1" t="shared" si="54"/>
        <v>1.41687505725061e-5</v>
      </c>
      <c r="AN235" s="12">
        <v>594</v>
      </c>
      <c r="AO235" s="231">
        <f ca="1" t="shared" si="55"/>
        <v>6.88379980244835e-6</v>
      </c>
      <c r="AP235" s="231">
        <f ca="1" t="shared" si="56"/>
        <v>0.460672004056889</v>
      </c>
      <c r="AQ235" s="231">
        <f ca="1" t="shared" si="57"/>
        <v>0.860287502526424</v>
      </c>
      <c r="AR235" s="231">
        <f ca="1" t="shared" si="58"/>
        <v>0.0540315302189225</v>
      </c>
      <c r="AS235" s="231">
        <f ca="1" t="shared" si="59"/>
        <v>0.00692536258396143</v>
      </c>
    </row>
    <row r="236" ht="15" hidden="1" customHeight="1" spans="3:45">
      <c r="C236" s="221"/>
      <c r="D236" s="221"/>
      <c r="E236" s="221"/>
      <c r="F236" s="221"/>
      <c r="G236" s="221"/>
      <c r="I236" s="12">
        <v>595</v>
      </c>
      <c r="J236" s="230">
        <v>0.6949</v>
      </c>
      <c r="L236" s="12">
        <v>595</v>
      </c>
      <c r="M236" s="230">
        <v>1.55924e-5</v>
      </c>
      <c r="N236" s="230">
        <v>0.376527</v>
      </c>
      <c r="O236" s="230">
        <v>0.859605</v>
      </c>
      <c r="P236" s="231">
        <v>0.0469</v>
      </c>
      <c r="Q236" s="230">
        <v>0.0077343</v>
      </c>
      <c r="S236" s="12">
        <v>595</v>
      </c>
      <c r="T236" s="230">
        <v>8.58467780259437e-6</v>
      </c>
      <c r="U236" s="230">
        <v>0.487968738487352</v>
      </c>
      <c r="V236" s="230">
        <v>0.888155480445092</v>
      </c>
      <c r="W236" s="231">
        <v>0.058472276157344</v>
      </c>
      <c r="X236" s="230">
        <v>0.00773429975799807</v>
      </c>
      <c r="Z236" s="12">
        <v>595</v>
      </c>
      <c r="AA236" s="230">
        <f ca="1" t="shared" si="45"/>
        <v>8.58467780259437e-6</v>
      </c>
      <c r="AB236" s="230">
        <f ca="1" t="shared" si="46"/>
        <v>0.487968738487352</v>
      </c>
      <c r="AC236" s="230">
        <f ca="1" t="shared" si="47"/>
        <v>0.888155480445092</v>
      </c>
      <c r="AD236" s="230">
        <f ca="1" t="shared" si="48"/>
        <v>0.058472276157344</v>
      </c>
      <c r="AE236" s="230">
        <f ca="1" t="shared" si="49"/>
        <v>0.00773429975799807</v>
      </c>
      <c r="AG236" s="12">
        <v>595</v>
      </c>
      <c r="AH236" s="231">
        <f ca="1" t="shared" si="50"/>
        <v>1.44280299203267e-8</v>
      </c>
      <c r="AI236" s="231">
        <f ca="1" t="shared" si="51"/>
        <v>0.000820115526869499</v>
      </c>
      <c r="AJ236" s="231">
        <f ca="1" t="shared" si="52"/>
        <v>0.00149269828646234</v>
      </c>
      <c r="AK236" s="231">
        <f ca="1" t="shared" si="53"/>
        <v>9.8272733037553e-5</v>
      </c>
      <c r="AL236" s="231">
        <f ca="1" t="shared" si="54"/>
        <v>1.29988231226858e-5</v>
      </c>
      <c r="AN236" s="12">
        <v>595</v>
      </c>
      <c r="AO236" s="231">
        <f ca="1" t="shared" si="55"/>
        <v>6.34833316494374e-6</v>
      </c>
      <c r="AP236" s="231">
        <f ca="1" t="shared" si="56"/>
        <v>0.445348813268003</v>
      </c>
      <c r="AQ236" s="231">
        <f ca="1" t="shared" si="57"/>
        <v>0.849757669814066</v>
      </c>
      <c r="AR236" s="231">
        <f ca="1" t="shared" si="58"/>
        <v>0.0500929659501065</v>
      </c>
      <c r="AS236" s="231">
        <f ca="1" t="shared" si="59"/>
        <v>0.00635352869180041</v>
      </c>
    </row>
    <row r="237" ht="15" hidden="1" customHeight="1" spans="3:45">
      <c r="C237" s="221"/>
      <c r="D237" s="221"/>
      <c r="E237" s="221"/>
      <c r="F237" s="221"/>
      <c r="G237" s="221"/>
      <c r="I237" s="12">
        <v>596</v>
      </c>
      <c r="J237" s="230">
        <v>0.6822192</v>
      </c>
      <c r="L237" s="12">
        <v>596</v>
      </c>
      <c r="M237" s="230">
        <v>1.42924e-5</v>
      </c>
      <c r="N237" s="230">
        <v>0.361559</v>
      </c>
      <c r="O237" s="230">
        <v>0.848912</v>
      </c>
      <c r="P237" s="231">
        <v>0.0438</v>
      </c>
      <c r="Q237" s="230">
        <v>0.00711255</v>
      </c>
      <c r="S237" s="12">
        <v>596</v>
      </c>
      <c r="T237" s="230">
        <v>7.93240719893208e-6</v>
      </c>
      <c r="U237" s="230">
        <v>0.472130437924209</v>
      </c>
      <c r="V237" s="230">
        <v>0.87829619240474</v>
      </c>
      <c r="W237" s="231">
        <v>0.054267273215719</v>
      </c>
      <c r="X237" s="230">
        <v>0.00710722394409093</v>
      </c>
      <c r="Z237" s="12">
        <v>596</v>
      </c>
      <c r="AA237" s="230">
        <f ca="1" t="shared" si="45"/>
        <v>7.93240719893208e-6</v>
      </c>
      <c r="AB237" s="230">
        <f ca="1" t="shared" si="46"/>
        <v>0.472130437924209</v>
      </c>
      <c r="AC237" s="230">
        <f ca="1" t="shared" si="47"/>
        <v>0.87829619240474</v>
      </c>
      <c r="AD237" s="230">
        <f ca="1" t="shared" si="48"/>
        <v>0.054267273215719</v>
      </c>
      <c r="AE237" s="230">
        <f ca="1" t="shared" si="49"/>
        <v>0.00710722394409093</v>
      </c>
      <c r="AG237" s="12">
        <v>596</v>
      </c>
      <c r="AH237" s="231">
        <f ca="1" t="shared" si="50"/>
        <v>1.33094080518995e-8</v>
      </c>
      <c r="AI237" s="231">
        <f ca="1" t="shared" si="51"/>
        <v>0.000792165164302364</v>
      </c>
      <c r="AJ237" s="231">
        <f ca="1" t="shared" si="52"/>
        <v>0.00147365132953815</v>
      </c>
      <c r="AK237" s="231">
        <f ca="1" t="shared" si="53"/>
        <v>9.10524718384547e-5</v>
      </c>
      <c r="AL237" s="231">
        <f ca="1" t="shared" si="54"/>
        <v>1.19248723894143e-5</v>
      </c>
      <c r="AN237" s="12">
        <v>596</v>
      </c>
      <c r="AO237" s="231">
        <f ca="1" t="shared" si="55"/>
        <v>5.85613954283576e-6</v>
      </c>
      <c r="AP237" s="231">
        <f ca="1" t="shared" si="56"/>
        <v>0.430170877487176</v>
      </c>
      <c r="AQ237" s="231">
        <f ca="1" t="shared" si="57"/>
        <v>0.838914689769315</v>
      </c>
      <c r="AR237" s="231">
        <f ca="1" t="shared" si="58"/>
        <v>0.04641255239878</v>
      </c>
      <c r="AS237" s="231">
        <f ca="1" t="shared" si="59"/>
        <v>0.0058286060328012</v>
      </c>
    </row>
    <row r="238" ht="15" hidden="1" customHeight="1" spans="3:45">
      <c r="C238" s="221"/>
      <c r="D238" s="221"/>
      <c r="E238" s="221"/>
      <c r="F238" s="221"/>
      <c r="G238" s="221"/>
      <c r="I238" s="12">
        <v>597</v>
      </c>
      <c r="J238" s="230">
        <v>0.6694716</v>
      </c>
      <c r="L238" s="12">
        <v>597</v>
      </c>
      <c r="M238" s="230">
        <v>1.31066e-5</v>
      </c>
      <c r="N238" s="230">
        <v>0.346856</v>
      </c>
      <c r="O238" s="230">
        <v>0.837865</v>
      </c>
      <c r="P238" s="231">
        <v>0.0409</v>
      </c>
      <c r="Q238" s="230">
        <v>0.00653476</v>
      </c>
      <c r="S238" s="12">
        <v>597</v>
      </c>
      <c r="T238" s="230">
        <v>7.33168841730695e-6</v>
      </c>
      <c r="U238" s="230">
        <v>0.456415095641635</v>
      </c>
      <c r="V238" s="230">
        <v>0.868080498761263</v>
      </c>
      <c r="W238" s="231">
        <v>0.0503347597446824</v>
      </c>
      <c r="X238" s="230">
        <v>0.00653077918664798</v>
      </c>
      <c r="Z238" s="12">
        <v>597</v>
      </c>
      <c r="AA238" s="230">
        <f ca="1" t="shared" si="45"/>
        <v>7.33168841730695e-6</v>
      </c>
      <c r="AB238" s="230">
        <f ca="1" t="shared" si="46"/>
        <v>0.456415095641635</v>
      </c>
      <c r="AC238" s="230">
        <f ca="1" t="shared" si="47"/>
        <v>0.868080498761263</v>
      </c>
      <c r="AD238" s="230">
        <f ca="1" t="shared" si="48"/>
        <v>0.0503347597446824</v>
      </c>
      <c r="AE238" s="230">
        <f ca="1" t="shared" si="49"/>
        <v>0.00653077918664798</v>
      </c>
      <c r="AG238" s="12">
        <v>597</v>
      </c>
      <c r="AH238" s="231">
        <f ca="1" t="shared" si="50"/>
        <v>1.22808851211172e-8</v>
      </c>
      <c r="AI238" s="231">
        <f ca="1" t="shared" si="51"/>
        <v>0.00076451439805969</v>
      </c>
      <c r="AJ238" s="231">
        <f ca="1" t="shared" si="52"/>
        <v>0.0014540711872048</v>
      </c>
      <c r="AK238" s="231">
        <f ca="1" t="shared" si="53"/>
        <v>8.43128303931028e-5</v>
      </c>
      <c r="AL238" s="231">
        <f ca="1" t="shared" si="54"/>
        <v>1.09393286208509e-5</v>
      </c>
      <c r="AN238" s="12">
        <v>597</v>
      </c>
      <c r="AO238" s="231">
        <f ca="1" t="shared" si="55"/>
        <v>5.40358945329155e-6</v>
      </c>
      <c r="AP238" s="231">
        <f ca="1" t="shared" si="56"/>
        <v>0.41515563203861</v>
      </c>
      <c r="AQ238" s="231">
        <f ca="1" t="shared" si="57"/>
        <v>0.82776817993895</v>
      </c>
      <c r="AR238" s="231">
        <f ca="1" t="shared" si="58"/>
        <v>0.0429771271388665</v>
      </c>
      <c r="AS238" s="231">
        <f ca="1" t="shared" si="59"/>
        <v>0.00534689468466655</v>
      </c>
    </row>
    <row r="239" ht="15" hidden="1" customHeight="1" spans="3:45">
      <c r="C239" s="221"/>
      <c r="D239" s="221"/>
      <c r="E239" s="221"/>
      <c r="F239" s="221"/>
      <c r="G239" s="221"/>
      <c r="I239" s="12">
        <v>598</v>
      </c>
      <c r="J239" s="230">
        <v>0.6566744</v>
      </c>
      <c r="L239" s="12">
        <v>598</v>
      </c>
      <c r="M239" s="230">
        <v>1.20248e-5</v>
      </c>
      <c r="N239" s="230">
        <v>0.332422</v>
      </c>
      <c r="O239" s="230">
        <v>0.826522</v>
      </c>
      <c r="P239" s="232">
        <v>0.03816</v>
      </c>
      <c r="Q239" s="230">
        <v>0.0060011</v>
      </c>
      <c r="S239" s="12">
        <v>598</v>
      </c>
      <c r="T239" s="230">
        <v>6.77828772749177e-6</v>
      </c>
      <c r="U239" s="230">
        <v>0.440837976237751</v>
      </c>
      <c r="V239" s="230">
        <v>0.857517516236251</v>
      </c>
      <c r="W239" s="232">
        <v>0.0466609954876979</v>
      </c>
      <c r="X239" s="230">
        <v>0.00600097752169215</v>
      </c>
      <c r="Z239" s="12">
        <v>598</v>
      </c>
      <c r="AA239" s="230">
        <f ca="1" t="shared" si="45"/>
        <v>6.77828772749177e-6</v>
      </c>
      <c r="AB239" s="230">
        <f ca="1" t="shared" si="46"/>
        <v>0.440837976237751</v>
      </c>
      <c r="AC239" s="230">
        <f ca="1" t="shared" si="47"/>
        <v>0.857517516236251</v>
      </c>
      <c r="AD239" s="230">
        <f ca="1" t="shared" si="48"/>
        <v>0.0466609954876979</v>
      </c>
      <c r="AE239" s="230">
        <f ca="1" t="shared" si="49"/>
        <v>0.00600097752169215</v>
      </c>
      <c r="AG239" s="12">
        <v>598</v>
      </c>
      <c r="AH239" s="231">
        <f ca="1" t="shared" si="50"/>
        <v>1.13349293101869e-8</v>
      </c>
      <c r="AI239" s="231">
        <f ca="1" t="shared" si="51"/>
        <v>0.000737187251233697</v>
      </c>
      <c r="AJ239" s="231">
        <f ca="1" t="shared" si="52"/>
        <v>0.00143397577965928</v>
      </c>
      <c r="AK239" s="231">
        <f ca="1" t="shared" si="53"/>
        <v>7.80284205479898e-5</v>
      </c>
      <c r="AL239" s="231">
        <f ca="1" t="shared" si="54"/>
        <v>1.00350794677126e-5</v>
      </c>
      <c r="AN239" s="12">
        <v>598</v>
      </c>
      <c r="AO239" s="231">
        <f ca="1" t="shared" si="55"/>
        <v>4.98736889648224e-6</v>
      </c>
      <c r="AP239" s="231">
        <f ca="1" t="shared" si="56"/>
        <v>0.400316122225387</v>
      </c>
      <c r="AQ239" s="231">
        <f ca="1" t="shared" si="57"/>
        <v>0.81632834186537</v>
      </c>
      <c r="AR239" s="231">
        <f ca="1" t="shared" si="58"/>
        <v>0.0397737489620587</v>
      </c>
      <c r="AS239" s="231">
        <f ca="1" t="shared" si="59"/>
        <v>0.00490491829305202</v>
      </c>
    </row>
    <row r="240" ht="15" hidden="1" customHeight="1" spans="3:45">
      <c r="C240" s="221"/>
      <c r="D240" s="221"/>
      <c r="E240" s="221"/>
      <c r="F240" s="221"/>
      <c r="G240" s="221"/>
      <c r="I240" s="12">
        <v>599</v>
      </c>
      <c r="J240" s="230">
        <v>0.6438448</v>
      </c>
      <c r="L240" s="12">
        <v>599</v>
      </c>
      <c r="M240" s="230">
        <v>1.10373e-5</v>
      </c>
      <c r="N240" s="230">
        <v>0.318261</v>
      </c>
      <c r="O240" s="230">
        <v>0.81494</v>
      </c>
      <c r="P240" s="232">
        <v>0.03558</v>
      </c>
      <c r="Q240" s="230">
        <v>0.00551174</v>
      </c>
      <c r="S240" s="12">
        <v>599</v>
      </c>
      <c r="T240" s="230">
        <v>6.26833213480428e-6</v>
      </c>
      <c r="U240" s="230">
        <v>0.425420094766109</v>
      </c>
      <c r="V240" s="230">
        <v>0.846615080180334</v>
      </c>
      <c r="W240" s="232">
        <v>0.0432325646904698</v>
      </c>
      <c r="X240" s="230">
        <v>0.00551414268752177</v>
      </c>
      <c r="Z240" s="12">
        <v>599</v>
      </c>
      <c r="AA240" s="230">
        <f ca="1" t="shared" si="45"/>
        <v>6.26833213480428e-6</v>
      </c>
      <c r="AB240" s="230">
        <f ca="1" t="shared" si="46"/>
        <v>0.425420094766109</v>
      </c>
      <c r="AC240" s="230">
        <f ca="1" t="shared" si="47"/>
        <v>0.846615080180334</v>
      </c>
      <c r="AD240" s="230">
        <f ca="1" t="shared" si="48"/>
        <v>0.0432325646904698</v>
      </c>
      <c r="AE240" s="230">
        <f ca="1" t="shared" si="49"/>
        <v>0.00551414268752177</v>
      </c>
      <c r="AG240" s="12">
        <v>599</v>
      </c>
      <c r="AH240" s="231">
        <f ca="1" t="shared" si="50"/>
        <v>1.04646613268853e-8</v>
      </c>
      <c r="AI240" s="231">
        <f ca="1" t="shared" si="51"/>
        <v>0.000710217186587828</v>
      </c>
      <c r="AJ240" s="231">
        <f ca="1" t="shared" si="52"/>
        <v>0.00141338076824764</v>
      </c>
      <c r="AK240" s="231">
        <f ca="1" t="shared" si="53"/>
        <v>7.21745654264938e-5</v>
      </c>
      <c r="AL240" s="231">
        <f ca="1" t="shared" si="54"/>
        <v>9.20558044661397e-6</v>
      </c>
      <c r="AN240" s="12">
        <v>599</v>
      </c>
      <c r="AO240" s="231">
        <f ca="1" t="shared" si="55"/>
        <v>4.60445098382952e-6</v>
      </c>
      <c r="AP240" s="231">
        <f ca="1" t="shared" si="56"/>
        <v>0.385670519392275</v>
      </c>
      <c r="AQ240" s="231">
        <f ca="1" t="shared" si="57"/>
        <v>0.804604091180772</v>
      </c>
      <c r="AR240" s="231">
        <f ca="1" t="shared" si="58"/>
        <v>0.0367898392221525</v>
      </c>
      <c r="AS240" s="231">
        <f ca="1" t="shared" si="59"/>
        <v>0.00449947806353056</v>
      </c>
    </row>
    <row r="241" ht="15" hidden="1" customHeight="1" spans="3:45">
      <c r="C241" s="221"/>
      <c r="D241" s="221"/>
      <c r="E241" s="221"/>
      <c r="F241" s="221"/>
      <c r="G241" s="221"/>
      <c r="I241" s="12">
        <v>600</v>
      </c>
      <c r="J241" s="230">
        <v>0.631</v>
      </c>
      <c r="L241" s="12">
        <v>600</v>
      </c>
      <c r="M241" s="230">
        <v>1.01356e-5</v>
      </c>
      <c r="N241" s="230">
        <v>0.304378</v>
      </c>
      <c r="O241" s="230">
        <v>0.803173</v>
      </c>
      <c r="P241" s="232">
        <v>0.03315</v>
      </c>
      <c r="Q241" s="230">
        <v>0.00506686</v>
      </c>
      <c r="S241" s="12">
        <v>600</v>
      </c>
      <c r="T241" s="230">
        <v>5.79829089865607e-6</v>
      </c>
      <c r="U241" s="230">
        <v>0.410175768069693</v>
      </c>
      <c r="V241" s="230">
        <v>0.835385629196892</v>
      </c>
      <c r="W241" s="232">
        <v>0.0400360294463539</v>
      </c>
      <c r="X241" s="230">
        <v>0.00506686111217927</v>
      </c>
      <c r="Z241" s="12">
        <v>600</v>
      </c>
      <c r="AA241" s="230">
        <f ca="1" t="shared" si="45"/>
        <v>5.79829089865607e-6</v>
      </c>
      <c r="AB241" s="230">
        <f ca="1" t="shared" si="46"/>
        <v>0.410175768069693</v>
      </c>
      <c r="AC241" s="230">
        <f ca="1" t="shared" si="47"/>
        <v>0.835385629196892</v>
      </c>
      <c r="AD241" s="230">
        <f ca="1" t="shared" si="48"/>
        <v>0.0400360294463539</v>
      </c>
      <c r="AE241" s="230">
        <f ca="1" t="shared" si="49"/>
        <v>0.00506686111217927</v>
      </c>
      <c r="AG241" s="12">
        <v>600</v>
      </c>
      <c r="AH241" s="231">
        <f ca="1" t="shared" si="50"/>
        <v>9.66381816442678e-9</v>
      </c>
      <c r="AI241" s="231">
        <f ca="1" t="shared" si="51"/>
        <v>0.000683626280116155</v>
      </c>
      <c r="AJ241" s="231">
        <f ca="1" t="shared" si="52"/>
        <v>0.00139230938199482</v>
      </c>
      <c r="AK241" s="231">
        <f ca="1" t="shared" si="53"/>
        <v>6.67267157439232e-5</v>
      </c>
      <c r="AL241" s="231">
        <f ca="1" t="shared" si="54"/>
        <v>8.44476852029878e-6</v>
      </c>
      <c r="AN241" s="12">
        <v>600</v>
      </c>
      <c r="AO241" s="231">
        <f ca="1" t="shared" si="55"/>
        <v>4.25207999234778e-6</v>
      </c>
      <c r="AP241" s="231">
        <f ca="1" t="shared" si="56"/>
        <v>0.371230811506139</v>
      </c>
      <c r="AQ241" s="231">
        <f ca="1" t="shared" si="57"/>
        <v>0.792608651617174</v>
      </c>
      <c r="AR241" s="231">
        <f ca="1" t="shared" si="58"/>
        <v>0.0340128843109054</v>
      </c>
      <c r="AS241" s="231">
        <f ca="1" t="shared" si="59"/>
        <v>0.00412761052157814</v>
      </c>
    </row>
    <row r="242" ht="15" hidden="1" customHeight="1" spans="3:45">
      <c r="C242" s="221"/>
      <c r="D242" s="221"/>
      <c r="E242" s="221"/>
      <c r="F242" s="221"/>
      <c r="G242" s="221"/>
      <c r="I242" s="12">
        <v>601</v>
      </c>
      <c r="J242" s="230">
        <v>0.6181555</v>
      </c>
      <c r="L242" s="12">
        <v>601</v>
      </c>
      <c r="M242" s="230">
        <v>9.31202e-6</v>
      </c>
      <c r="N242" s="230">
        <v>0.290784</v>
      </c>
      <c r="O242" s="230">
        <v>0.791253</v>
      </c>
      <c r="P242" s="232">
        <v>0.03087</v>
      </c>
      <c r="Q242" s="230">
        <v>0.00465869</v>
      </c>
      <c r="S242" s="12">
        <v>601</v>
      </c>
      <c r="T242" s="230">
        <v>5.36369408294139e-6</v>
      </c>
      <c r="U242" s="230">
        <v>0.395031747540389</v>
      </c>
      <c r="V242" s="230">
        <v>0.823648667190131</v>
      </c>
      <c r="W242" s="232">
        <v>0.0370500671980513</v>
      </c>
      <c r="X242" s="230">
        <v>0.00465491762539643</v>
      </c>
      <c r="Z242" s="12">
        <v>601</v>
      </c>
      <c r="AA242" s="230">
        <f ca="1" t="shared" si="45"/>
        <v>5.36369408294139e-6</v>
      </c>
      <c r="AB242" s="230">
        <f ca="1" t="shared" si="46"/>
        <v>0.395031747540389</v>
      </c>
      <c r="AC242" s="230">
        <f ca="1" t="shared" si="47"/>
        <v>0.823648667190131</v>
      </c>
      <c r="AD242" s="230">
        <f ca="1" t="shared" si="48"/>
        <v>0.0370500671980513</v>
      </c>
      <c r="AE242" s="230">
        <f ca="1" t="shared" si="49"/>
        <v>0.00465491762539643</v>
      </c>
      <c r="AG242" s="12">
        <v>601</v>
      </c>
      <c r="AH242" s="231">
        <f ca="1" t="shared" si="50"/>
        <v>8.92461577860464e-9</v>
      </c>
      <c r="AI242" s="231">
        <f ca="1" t="shared" si="51"/>
        <v>0.000657290761298484</v>
      </c>
      <c r="AJ242" s="231">
        <f ca="1" t="shared" si="52"/>
        <v>0.00137046367252934</v>
      </c>
      <c r="AK242" s="231">
        <f ca="1" t="shared" si="53"/>
        <v>6.16473663861086e-5</v>
      </c>
      <c r="AL242" s="231">
        <f ca="1" t="shared" si="54"/>
        <v>7.74528723027692e-6</v>
      </c>
      <c r="AN242" s="12">
        <v>601</v>
      </c>
      <c r="AO242" s="231">
        <f ca="1" t="shared" si="55"/>
        <v>3.92683094258604e-6</v>
      </c>
      <c r="AP242" s="231">
        <f ca="1" t="shared" si="56"/>
        <v>0.356929787238233</v>
      </c>
      <c r="AQ242" s="231">
        <f ca="1" t="shared" si="57"/>
        <v>0.780172408245568</v>
      </c>
      <c r="AR242" s="231">
        <f ca="1" t="shared" si="58"/>
        <v>0.0314237665916244</v>
      </c>
      <c r="AS242" s="231">
        <f ca="1" t="shared" si="59"/>
        <v>0.00378571999782946</v>
      </c>
    </row>
    <row r="243" ht="15" hidden="1" customHeight="1" spans="3:45">
      <c r="C243" s="221"/>
      <c r="D243" s="221"/>
      <c r="E243" s="221"/>
      <c r="F243" s="221"/>
      <c r="G243" s="221"/>
      <c r="I243" s="12">
        <v>602</v>
      </c>
      <c r="J243" s="230">
        <v>0.6053144</v>
      </c>
      <c r="L243" s="12">
        <v>602</v>
      </c>
      <c r="M243" s="230">
        <v>8.55941e-6</v>
      </c>
      <c r="N243" s="230">
        <v>0.277506</v>
      </c>
      <c r="O243" s="230">
        <v>0.779118</v>
      </c>
      <c r="P243" s="232">
        <v>0.02874</v>
      </c>
      <c r="Q243" s="230">
        <v>0.00427946</v>
      </c>
      <c r="S243" s="12">
        <v>602</v>
      </c>
      <c r="T243" s="230">
        <v>4.96298542741091e-6</v>
      </c>
      <c r="U243" s="230">
        <v>0.380100989338887</v>
      </c>
      <c r="V243" s="230">
        <v>0.811611141056065</v>
      </c>
      <c r="W243" s="232">
        <v>0.0342718067277021</v>
      </c>
      <c r="X243" s="230">
        <v>0.00427664301669861</v>
      </c>
      <c r="Z243" s="12">
        <v>602</v>
      </c>
      <c r="AA243" s="230">
        <f ca="1" t="shared" si="45"/>
        <v>4.96298542741091e-6</v>
      </c>
      <c r="AB243" s="230">
        <f ca="1" t="shared" si="46"/>
        <v>0.380100989338887</v>
      </c>
      <c r="AC243" s="230">
        <f ca="1" t="shared" si="47"/>
        <v>0.811611141056065</v>
      </c>
      <c r="AD243" s="230">
        <f ca="1" t="shared" si="48"/>
        <v>0.0342718067277021</v>
      </c>
      <c r="AE243" s="230">
        <f ca="1" t="shared" si="49"/>
        <v>0.00427664301669861</v>
      </c>
      <c r="AG243" s="12">
        <v>602</v>
      </c>
      <c r="AH243" s="231">
        <f ca="1" t="shared" si="50"/>
        <v>8.24416183955301e-9</v>
      </c>
      <c r="AI243" s="231">
        <f ca="1" t="shared" si="51"/>
        <v>0.000631396992257287</v>
      </c>
      <c r="AJ243" s="231">
        <f ca="1" t="shared" si="52"/>
        <v>0.00134819126421273</v>
      </c>
      <c r="AK243" s="231">
        <f ca="1" t="shared" si="53"/>
        <v>5.69299115078108e-5</v>
      </c>
      <c r="AL243" s="231">
        <f ca="1" t="shared" si="54"/>
        <v>7.10405816727344e-6</v>
      </c>
      <c r="AN243" s="12">
        <v>602</v>
      </c>
      <c r="AO243" s="231">
        <f ca="1" t="shared" si="55"/>
        <v>3.62743120940332e-6</v>
      </c>
      <c r="AP243" s="231">
        <f ca="1" t="shared" si="56"/>
        <v>0.342868647147945</v>
      </c>
      <c r="AQ243" s="231">
        <f ca="1" t="shared" si="57"/>
        <v>0.767493255355858</v>
      </c>
      <c r="AR243" s="231">
        <f ca="1" t="shared" si="58"/>
        <v>0.0290191188395421</v>
      </c>
      <c r="AS243" s="231">
        <f ca="1" t="shared" si="59"/>
        <v>0.00347230183594227</v>
      </c>
    </row>
    <row r="244" ht="15" hidden="1" customHeight="1" spans="3:45">
      <c r="C244" s="221"/>
      <c r="D244" s="221"/>
      <c r="E244" s="221"/>
      <c r="F244" s="221"/>
      <c r="G244" s="221"/>
      <c r="I244" s="12">
        <v>603</v>
      </c>
      <c r="J244" s="230">
        <v>0.5924756</v>
      </c>
      <c r="L244" s="12">
        <v>603</v>
      </c>
      <c r="M244" s="230">
        <v>7.87141e-6</v>
      </c>
      <c r="N244" s="230">
        <v>0.264575</v>
      </c>
      <c r="O244" s="230">
        <v>0.766691</v>
      </c>
      <c r="P244" s="232">
        <v>0.02674</v>
      </c>
      <c r="Q244" s="230">
        <v>0.00392939</v>
      </c>
      <c r="S244" s="12">
        <v>603</v>
      </c>
      <c r="T244" s="230">
        <v>4.59341833934471e-6</v>
      </c>
      <c r="U244" s="230">
        <v>0.365400384489923</v>
      </c>
      <c r="V244" s="230">
        <v>0.799285620699985</v>
      </c>
      <c r="W244" s="232">
        <v>0.0316891069320667</v>
      </c>
      <c r="X244" s="230">
        <v>0.00392930734449627</v>
      </c>
      <c r="Z244" s="12">
        <v>603</v>
      </c>
      <c r="AA244" s="230">
        <f ca="1" t="shared" si="45"/>
        <v>4.59341833934471e-6</v>
      </c>
      <c r="AB244" s="230">
        <f ca="1" t="shared" si="46"/>
        <v>0.365400384489923</v>
      </c>
      <c r="AC244" s="230">
        <f ca="1" t="shared" si="47"/>
        <v>0.799285620699985</v>
      </c>
      <c r="AD244" s="230">
        <f ca="1" t="shared" si="48"/>
        <v>0.0316891069320667</v>
      </c>
      <c r="AE244" s="230">
        <f ca="1" t="shared" si="49"/>
        <v>0.00392930734449627</v>
      </c>
      <c r="AG244" s="12">
        <v>603</v>
      </c>
      <c r="AH244" s="231">
        <f ca="1" t="shared" si="50"/>
        <v>7.61760918630964e-9</v>
      </c>
      <c r="AI244" s="231">
        <f ca="1" t="shared" si="51"/>
        <v>0.000605970786882128</v>
      </c>
      <c r="AJ244" s="231">
        <f ca="1" t="shared" si="52"/>
        <v>0.00132551512553895</v>
      </c>
      <c r="AK244" s="231">
        <f ca="1" t="shared" si="53"/>
        <v>5.25524161394141e-5</v>
      </c>
      <c r="AL244" s="231">
        <f ca="1" t="shared" si="54"/>
        <v>6.51626425289597e-6</v>
      </c>
      <c r="AN244" s="12">
        <v>603</v>
      </c>
      <c r="AO244" s="231">
        <f ca="1" t="shared" si="55"/>
        <v>3.35174804197624e-6</v>
      </c>
      <c r="AP244" s="231">
        <f ca="1" t="shared" si="56"/>
        <v>0.329061408998267</v>
      </c>
      <c r="AQ244" s="231">
        <f ca="1" t="shared" si="57"/>
        <v>0.754584268365939</v>
      </c>
      <c r="AR244" s="231">
        <f ca="1" t="shared" si="58"/>
        <v>0.0267877600520333</v>
      </c>
      <c r="AS244" s="231">
        <f ca="1" t="shared" si="59"/>
        <v>0.00318500155770821</v>
      </c>
    </row>
    <row r="245" ht="15" hidden="1" customHeight="1" spans="3:45">
      <c r="C245" s="221"/>
      <c r="D245" s="221"/>
      <c r="E245" s="221"/>
      <c r="F245" s="221"/>
      <c r="G245" s="221"/>
      <c r="I245" s="12">
        <v>604</v>
      </c>
      <c r="J245" s="230">
        <v>0.5796379</v>
      </c>
      <c r="L245" s="12">
        <v>604</v>
      </c>
      <c r="M245" s="230">
        <v>7.24221e-6</v>
      </c>
      <c r="N245" s="230">
        <v>0.252012</v>
      </c>
      <c r="O245" s="230">
        <v>0.7539</v>
      </c>
      <c r="P245" s="232">
        <v>0.02487</v>
      </c>
      <c r="Q245" s="230">
        <v>0.00360872</v>
      </c>
      <c r="S245" s="12">
        <v>604</v>
      </c>
      <c r="T245" s="230">
        <v>4.25248705254853e-6</v>
      </c>
      <c r="U245" s="230">
        <v>0.350943335930033</v>
      </c>
      <c r="V245" s="230">
        <v>0.786687047977847</v>
      </c>
      <c r="W245" s="232">
        <v>0.0292899074902117</v>
      </c>
      <c r="X245" s="230">
        <v>0.00361042227533022</v>
      </c>
      <c r="Z245" s="12">
        <v>604</v>
      </c>
      <c r="AA245" s="230">
        <f ca="1" t="shared" si="45"/>
        <v>4.25248705254853e-6</v>
      </c>
      <c r="AB245" s="230">
        <f ca="1" t="shared" si="46"/>
        <v>0.350943335930033</v>
      </c>
      <c r="AC245" s="230">
        <f ca="1" t="shared" si="47"/>
        <v>0.786687047977847</v>
      </c>
      <c r="AD245" s="230">
        <f ca="1" t="shared" si="48"/>
        <v>0.0292899074902117</v>
      </c>
      <c r="AE245" s="230">
        <f ca="1" t="shared" si="49"/>
        <v>0.00361042227533022</v>
      </c>
      <c r="AG245" s="12">
        <v>604</v>
      </c>
      <c r="AH245" s="231">
        <f ca="1" t="shared" si="50"/>
        <v>7.04054147772935e-9</v>
      </c>
      <c r="AI245" s="231">
        <f ca="1" t="shared" si="51"/>
        <v>0.000581032013129194</v>
      </c>
      <c r="AJ245" s="231">
        <f ca="1" t="shared" si="52"/>
        <v>0.00130246199996332</v>
      </c>
      <c r="AK245" s="231">
        <f ca="1" t="shared" si="53"/>
        <v>4.84932243215426e-5</v>
      </c>
      <c r="AL245" s="231">
        <f ca="1" t="shared" si="54"/>
        <v>5.9775203233944e-6</v>
      </c>
      <c r="AN245" s="12">
        <v>604</v>
      </c>
      <c r="AO245" s="231">
        <f ca="1" t="shared" si="55"/>
        <v>3.09783825020092e-6</v>
      </c>
      <c r="AP245" s="231">
        <f ca="1" t="shared" si="56"/>
        <v>0.315518861721271</v>
      </c>
      <c r="AQ245" s="231">
        <f ca="1" t="shared" si="57"/>
        <v>0.741460671689546</v>
      </c>
      <c r="AR245" s="231">
        <f ca="1" t="shared" si="58"/>
        <v>0.0247186514475144</v>
      </c>
      <c r="AS245" s="231">
        <f ca="1" t="shared" si="59"/>
        <v>0.00292167579495914</v>
      </c>
    </row>
    <row r="246" ht="15" hidden="1" customHeight="1" spans="3:45">
      <c r="C246" s="221"/>
      <c r="D246" s="221"/>
      <c r="E246" s="221"/>
      <c r="F246" s="221"/>
      <c r="G246" s="221"/>
      <c r="I246" s="12">
        <v>605</v>
      </c>
      <c r="J246" s="230">
        <v>0.5668</v>
      </c>
      <c r="L246" s="12">
        <v>605</v>
      </c>
      <c r="M246" s="230">
        <v>6.66657e-6</v>
      </c>
      <c r="N246" s="230">
        <v>0.239837</v>
      </c>
      <c r="O246" s="230">
        <v>0.74068</v>
      </c>
      <c r="P246" s="232">
        <v>0.02312</v>
      </c>
      <c r="Q246" s="230">
        <v>0.00331766</v>
      </c>
      <c r="S246" s="12">
        <v>605</v>
      </c>
      <c r="T246" s="230">
        <v>3.93789380372832e-6</v>
      </c>
      <c r="U246" s="230">
        <v>0.336744103637712</v>
      </c>
      <c r="V246" s="230">
        <v>0.773827215876</v>
      </c>
      <c r="W246" s="232">
        <v>0.0270630038921963</v>
      </c>
      <c r="X246" s="230">
        <v>0.00331766094223171</v>
      </c>
      <c r="Z246" s="12">
        <v>605</v>
      </c>
      <c r="AA246" s="230">
        <f ca="1" t="shared" si="45"/>
        <v>3.93789380372832e-6</v>
      </c>
      <c r="AB246" s="230">
        <f ca="1" t="shared" si="46"/>
        <v>0.336744103637712</v>
      </c>
      <c r="AC246" s="230">
        <f ca="1" t="shared" si="47"/>
        <v>0.773827215876</v>
      </c>
      <c r="AD246" s="230">
        <f ca="1" t="shared" si="48"/>
        <v>0.0270630038921963</v>
      </c>
      <c r="AE246" s="230">
        <f ca="1" t="shared" si="49"/>
        <v>0.00331766094223171</v>
      </c>
      <c r="AG246" s="12">
        <v>605</v>
      </c>
      <c r="AH246" s="231">
        <f ca="1" t="shared" si="50"/>
        <v>6.50891537806334e-9</v>
      </c>
      <c r="AI246" s="231">
        <f ca="1" t="shared" si="51"/>
        <v>0.000556601824194565</v>
      </c>
      <c r="AJ246" s="231">
        <f ca="1" t="shared" si="52"/>
        <v>0.00127905324938182</v>
      </c>
      <c r="AK246" s="231">
        <f ca="1" t="shared" si="53"/>
        <v>4.4732237838341e-5</v>
      </c>
      <c r="AL246" s="231">
        <f ca="1" t="shared" si="54"/>
        <v>5.48373709459787e-6</v>
      </c>
      <c r="AN246" s="12">
        <v>605</v>
      </c>
      <c r="AO246" s="231">
        <f ca="1" t="shared" si="55"/>
        <v>2.86392276634787e-6</v>
      </c>
      <c r="AP246" s="231">
        <f ca="1" t="shared" si="56"/>
        <v>0.302252492175166</v>
      </c>
      <c r="AQ246" s="231">
        <f ca="1" t="shared" si="57"/>
        <v>0.728134626146518</v>
      </c>
      <c r="AR246" s="231">
        <f ca="1" t="shared" si="58"/>
        <v>0.0228015482794379</v>
      </c>
      <c r="AS246" s="231">
        <f ca="1" t="shared" si="59"/>
        <v>0.00268032579872653</v>
      </c>
    </row>
    <row r="247" ht="15" hidden="1" customHeight="1" spans="3:45">
      <c r="C247" s="221"/>
      <c r="D247" s="221"/>
      <c r="E247" s="221"/>
      <c r="F247" s="221"/>
      <c r="G247" s="221"/>
      <c r="I247" s="12">
        <v>606</v>
      </c>
      <c r="J247" s="230">
        <v>0.5539611</v>
      </c>
      <c r="L247" s="12">
        <v>606</v>
      </c>
      <c r="M247" s="230">
        <v>6.1397e-6</v>
      </c>
      <c r="N247" s="230">
        <v>0.228065</v>
      </c>
      <c r="O247" s="230">
        <v>0.726995</v>
      </c>
      <c r="P247" s="232">
        <v>0.02147</v>
      </c>
      <c r="Q247" s="230">
        <v>0.00305109</v>
      </c>
      <c r="S247" s="12">
        <v>606</v>
      </c>
      <c r="T247" s="230">
        <v>3.64751427303308e-6</v>
      </c>
      <c r="U247" s="230">
        <v>0.322816704745423</v>
      </c>
      <c r="V247" s="230">
        <v>0.760720290085854</v>
      </c>
      <c r="W247" s="232">
        <v>0.0249974092268192</v>
      </c>
      <c r="X247" s="230">
        <v>0.00304891277497236</v>
      </c>
      <c r="Z247" s="12">
        <v>606</v>
      </c>
      <c r="AA247" s="230">
        <f ca="1" t="shared" si="45"/>
        <v>3.64751427303308e-6</v>
      </c>
      <c r="AB247" s="230">
        <f ca="1" t="shared" si="46"/>
        <v>0.322816704745423</v>
      </c>
      <c r="AC247" s="230">
        <f ca="1" t="shared" si="47"/>
        <v>0.760720290085854</v>
      </c>
      <c r="AD247" s="230">
        <f ca="1" t="shared" si="48"/>
        <v>0.0249974092268192</v>
      </c>
      <c r="AE247" s="230">
        <f ca="1" t="shared" si="49"/>
        <v>0.00304891277497236</v>
      </c>
      <c r="AG247" s="12">
        <v>606</v>
      </c>
      <c r="AH247" s="231">
        <f ca="1" t="shared" si="50"/>
        <v>6.01900045054964e-9</v>
      </c>
      <c r="AI247" s="231">
        <f ca="1" t="shared" si="51"/>
        <v>0.000532700832913239</v>
      </c>
      <c r="AJ247" s="231">
        <f ca="1" t="shared" si="52"/>
        <v>0.00125531401004266</v>
      </c>
      <c r="AK247" s="231">
        <f ca="1" t="shared" si="53"/>
        <v>4.12498502092726e-5</v>
      </c>
      <c r="AL247" s="231">
        <f ca="1" t="shared" si="54"/>
        <v>5.03120919962436e-6</v>
      </c>
      <c r="AN247" s="12">
        <v>606</v>
      </c>
      <c r="AO247" s="231">
        <f ca="1" t="shared" si="55"/>
        <v>2.64836019824184e-6</v>
      </c>
      <c r="AP247" s="231">
        <f ca="1" t="shared" si="56"/>
        <v>0.289273493784904</v>
      </c>
      <c r="AQ247" s="231">
        <f ca="1" t="shared" si="57"/>
        <v>0.714620441205764</v>
      </c>
      <c r="AR247" s="231">
        <f ca="1" t="shared" si="58"/>
        <v>0.0210264564555305</v>
      </c>
      <c r="AS247" s="231">
        <f ca="1" t="shared" si="59"/>
        <v>0.00245914047006885</v>
      </c>
    </row>
    <row r="248" ht="15" hidden="1" customHeight="1" spans="3:45">
      <c r="C248" s="221"/>
      <c r="D248" s="221"/>
      <c r="E248" s="221"/>
      <c r="F248" s="221"/>
      <c r="G248" s="221"/>
      <c r="I248" s="12">
        <v>607</v>
      </c>
      <c r="J248" s="230">
        <v>0.5411372</v>
      </c>
      <c r="L248" s="12">
        <v>607</v>
      </c>
      <c r="M248" s="230">
        <v>5.65727e-6</v>
      </c>
      <c r="N248" s="230">
        <v>0.216703</v>
      </c>
      <c r="O248" s="230">
        <v>0.712905</v>
      </c>
      <c r="P248" s="232">
        <v>0.01994</v>
      </c>
      <c r="Q248" s="230">
        <v>0.00280374</v>
      </c>
      <c r="S248" s="12">
        <v>607</v>
      </c>
      <c r="T248" s="230">
        <v>3.37942645874359e-6</v>
      </c>
      <c r="U248" s="230">
        <v>0.30917188938917</v>
      </c>
      <c r="V248" s="230">
        <v>0.747380908838289</v>
      </c>
      <c r="W248" s="232">
        <v>0.0230827208776823</v>
      </c>
      <c r="X248" s="230">
        <v>0.00280219916935728</v>
      </c>
      <c r="Z248" s="12">
        <v>607</v>
      </c>
      <c r="AA248" s="230">
        <f ca="1" t="shared" si="45"/>
        <v>3.37942645874359e-6</v>
      </c>
      <c r="AB248" s="230">
        <f ca="1" t="shared" si="46"/>
        <v>0.30917188938917</v>
      </c>
      <c r="AC248" s="230">
        <f ca="1" t="shared" si="47"/>
        <v>0.747380908838289</v>
      </c>
      <c r="AD248" s="230">
        <f ca="1" t="shared" si="48"/>
        <v>0.0230827208776823</v>
      </c>
      <c r="AE248" s="230">
        <f ca="1" t="shared" si="49"/>
        <v>0.00280219916935728</v>
      </c>
      <c r="AG248" s="12">
        <v>607</v>
      </c>
      <c r="AH248" s="231">
        <f ca="1" t="shared" si="50"/>
        <v>5.56742414949521e-9</v>
      </c>
      <c r="AI248" s="231">
        <f ca="1" t="shared" si="51"/>
        <v>0.0005093441340843</v>
      </c>
      <c r="AJ248" s="231">
        <f ca="1" t="shared" si="52"/>
        <v>0.00123127003103507</v>
      </c>
      <c r="AK248" s="231">
        <f ca="1" t="shared" si="53"/>
        <v>3.80275467507122e-5</v>
      </c>
      <c r="AL248" s="231">
        <f ca="1" t="shared" si="54"/>
        <v>4.61647309614049e-6</v>
      </c>
      <c r="AN248" s="12">
        <v>607</v>
      </c>
      <c r="AO248" s="231">
        <f ca="1" t="shared" si="55"/>
        <v>2.44966662577789e-6</v>
      </c>
      <c r="AP248" s="231">
        <f ca="1" t="shared" si="56"/>
        <v>0.276590063506451</v>
      </c>
      <c r="AQ248" s="231">
        <f ca="1" t="shared" si="57"/>
        <v>0.700932775212008</v>
      </c>
      <c r="AR248" s="231">
        <f ca="1" t="shared" si="58"/>
        <v>0.0193839384096663</v>
      </c>
      <c r="AS248" s="231">
        <f ca="1" t="shared" si="59"/>
        <v>0.00225642690837637</v>
      </c>
    </row>
    <row r="249" ht="15" hidden="1" customHeight="1" spans="3:45">
      <c r="C249" s="221"/>
      <c r="D249" s="221"/>
      <c r="E249" s="221"/>
      <c r="F249" s="221"/>
      <c r="G249" s="221"/>
      <c r="I249" s="12">
        <v>608</v>
      </c>
      <c r="J249" s="230">
        <v>0.5283528</v>
      </c>
      <c r="L249" s="12">
        <v>608</v>
      </c>
      <c r="M249" s="230">
        <v>5.21535e-6</v>
      </c>
      <c r="N249" s="230">
        <v>0.205754</v>
      </c>
      <c r="O249" s="230">
        <v>0.698491</v>
      </c>
      <c r="P249" s="232">
        <v>0.01851</v>
      </c>
      <c r="Q249" s="230">
        <v>0.0025756</v>
      </c>
      <c r="S249" s="12">
        <v>608</v>
      </c>
      <c r="T249" s="230">
        <v>3.13185033645523e-6</v>
      </c>
      <c r="U249" s="230">
        <v>0.295823042899461</v>
      </c>
      <c r="V249" s="230">
        <v>0.733824149668653</v>
      </c>
      <c r="W249" s="232">
        <v>0.0213089475295197</v>
      </c>
      <c r="X249" s="230">
        <v>0.00257572207459912</v>
      </c>
      <c r="Z249" s="12">
        <v>608</v>
      </c>
      <c r="AA249" s="230">
        <f ca="1" t="shared" si="45"/>
        <v>3.13185033645523e-6</v>
      </c>
      <c r="AB249" s="230">
        <f ca="1" t="shared" si="46"/>
        <v>0.295823042899461</v>
      </c>
      <c r="AC249" s="230">
        <f ca="1" t="shared" si="47"/>
        <v>0.733824149668653</v>
      </c>
      <c r="AD249" s="230">
        <f ca="1" t="shared" si="48"/>
        <v>0.0213089475295197</v>
      </c>
      <c r="AE249" s="230">
        <f ca="1" t="shared" si="49"/>
        <v>0.00257572207459912</v>
      </c>
      <c r="AG249" s="12">
        <v>608</v>
      </c>
      <c r="AH249" s="231">
        <f ca="1" t="shared" si="50"/>
        <v>5.15106963232768e-9</v>
      </c>
      <c r="AI249" s="231">
        <f ca="1" t="shared" si="51"/>
        <v>0.000486551057400429</v>
      </c>
      <c r="AJ249" s="231">
        <f ca="1" t="shared" si="52"/>
        <v>0.0012069476145866</v>
      </c>
      <c r="AK249" s="231">
        <f ca="1" t="shared" si="53"/>
        <v>3.5047611068289e-5</v>
      </c>
      <c r="AL249" s="231">
        <f ca="1" t="shared" si="54"/>
        <v>4.23638499111697e-6</v>
      </c>
      <c r="AN249" s="12">
        <v>608</v>
      </c>
      <c r="AO249" s="231">
        <f ca="1" t="shared" si="55"/>
        <v>2.26647063822418e-6</v>
      </c>
      <c r="AP249" s="231">
        <f ca="1" t="shared" si="56"/>
        <v>0.264212697977675</v>
      </c>
      <c r="AQ249" s="231">
        <f ca="1" t="shared" si="57"/>
        <v>0.687086601398488</v>
      </c>
      <c r="AR249" s="231">
        <f ca="1" t="shared" si="58"/>
        <v>0.017864963490997</v>
      </c>
      <c r="AS249" s="231">
        <f ca="1" t="shared" si="59"/>
        <v>0.00207064849921682</v>
      </c>
    </row>
    <row r="250" ht="15" hidden="1" customHeight="1" spans="3:45">
      <c r="C250" s="221"/>
      <c r="D250" s="221"/>
      <c r="E250" s="221"/>
      <c r="F250" s="221"/>
      <c r="G250" s="221"/>
      <c r="I250" s="12">
        <v>609</v>
      </c>
      <c r="J250" s="230">
        <v>0.5156323</v>
      </c>
      <c r="L250" s="12">
        <v>609</v>
      </c>
      <c r="M250" s="230">
        <v>4.81036e-6</v>
      </c>
      <c r="N250" s="230">
        <v>0.195221</v>
      </c>
      <c r="O250" s="230">
        <v>0.683829</v>
      </c>
      <c r="P250" s="232">
        <v>0.01718</v>
      </c>
      <c r="Q250" s="230">
        <v>0.00236668</v>
      </c>
      <c r="S250" s="12">
        <v>609</v>
      </c>
      <c r="T250" s="230">
        <v>2.90314682109881e-6</v>
      </c>
      <c r="U250" s="230">
        <v>0.282779550630806</v>
      </c>
      <c r="V250" s="230">
        <v>0.72006715242914</v>
      </c>
      <c r="W250" s="232">
        <v>0.0196667682428405</v>
      </c>
      <c r="X250" s="230">
        <v>0.00236782717200326</v>
      </c>
      <c r="Z250" s="12">
        <v>609</v>
      </c>
      <c r="AA250" s="230">
        <f ca="1" t="shared" si="45"/>
        <v>2.90314682109881e-6</v>
      </c>
      <c r="AB250" s="230">
        <f ca="1" t="shared" si="46"/>
        <v>0.282779550630806</v>
      </c>
      <c r="AC250" s="230">
        <f ca="1" t="shared" si="47"/>
        <v>0.72006715242914</v>
      </c>
      <c r="AD250" s="230">
        <f ca="1" t="shared" si="48"/>
        <v>0.0196667682428405</v>
      </c>
      <c r="AE250" s="230">
        <f ca="1" t="shared" si="49"/>
        <v>0.00236782717200326</v>
      </c>
      <c r="AG250" s="12">
        <v>609</v>
      </c>
      <c r="AH250" s="231">
        <f ca="1" t="shared" si="50"/>
        <v>4.76707195582727e-9</v>
      </c>
      <c r="AI250" s="231">
        <f ca="1" t="shared" si="51"/>
        <v>0.000464334237489008</v>
      </c>
      <c r="AJ250" s="231">
        <f ca="1" t="shared" si="52"/>
        <v>0.00118237627656673</v>
      </c>
      <c r="AK250" s="231">
        <f ca="1" t="shared" si="53"/>
        <v>3.22935439127102e-5</v>
      </c>
      <c r="AL250" s="231">
        <f ca="1" t="shared" si="54"/>
        <v>3.88805775369993e-6</v>
      </c>
      <c r="AN250" s="12">
        <v>609</v>
      </c>
      <c r="AO250" s="231">
        <f ca="1" t="shared" si="55"/>
        <v>2.097511660564e-6</v>
      </c>
      <c r="AP250" s="231">
        <f ca="1" t="shared" si="56"/>
        <v>0.252148258203064</v>
      </c>
      <c r="AQ250" s="231">
        <f ca="1" t="shared" si="57"/>
        <v>0.673098722448441</v>
      </c>
      <c r="AR250" s="231">
        <f ca="1" t="shared" si="58"/>
        <v>0.0164611214690599</v>
      </c>
      <c r="AS250" s="231">
        <f ca="1" t="shared" si="59"/>
        <v>0.00190039407878376</v>
      </c>
    </row>
    <row r="251" ht="15" hidden="1" customHeight="1" spans="3:45">
      <c r="C251" s="221"/>
      <c r="D251" s="221"/>
      <c r="E251" s="221"/>
      <c r="F251" s="221"/>
      <c r="G251" s="221"/>
      <c r="I251" s="12">
        <v>610</v>
      </c>
      <c r="J251" s="230">
        <v>0.503</v>
      </c>
      <c r="L251" s="12">
        <v>610</v>
      </c>
      <c r="M251" s="230">
        <v>4.43906e-6</v>
      </c>
      <c r="N251" s="230">
        <v>0.185104</v>
      </c>
      <c r="O251" s="230">
        <v>0.668991</v>
      </c>
      <c r="P251" s="232">
        <v>0.01593</v>
      </c>
      <c r="Q251" s="230">
        <v>0.00217698</v>
      </c>
      <c r="S251" s="12">
        <v>610</v>
      </c>
      <c r="T251" s="230">
        <v>2.69183849796691e-6</v>
      </c>
      <c r="U251" s="230">
        <v>0.270052374330893</v>
      </c>
      <c r="V251" s="230">
        <v>0.706124044379472</v>
      </c>
      <c r="W251" s="232">
        <v>0.0181471320734168</v>
      </c>
      <c r="X251" s="230">
        <v>0.00217697779853602</v>
      </c>
      <c r="Z251" s="12">
        <v>610</v>
      </c>
      <c r="AA251" s="230">
        <f ca="1" t="shared" si="45"/>
        <v>2.69183849796691e-6</v>
      </c>
      <c r="AB251" s="230">
        <f ca="1" t="shared" si="46"/>
        <v>0.270052374330893</v>
      </c>
      <c r="AC251" s="230">
        <f ca="1" t="shared" si="47"/>
        <v>0.706124044379472</v>
      </c>
      <c r="AD251" s="230">
        <f ca="1" t="shared" si="48"/>
        <v>0.0181471320734168</v>
      </c>
      <c r="AE251" s="230">
        <f ca="1" t="shared" si="49"/>
        <v>0.00217697779853602</v>
      </c>
      <c r="AG251" s="12">
        <v>610</v>
      </c>
      <c r="AH251" s="231">
        <f ca="1" t="shared" si="50"/>
        <v>4.41284999666707e-9</v>
      </c>
      <c r="AI251" s="231">
        <f ca="1" t="shared" si="51"/>
        <v>0.000442708810378513</v>
      </c>
      <c r="AJ251" s="231">
        <f ca="1" t="shared" si="52"/>
        <v>0.00115758040062209</v>
      </c>
      <c r="AK251" s="231">
        <f ca="1" t="shared" si="53"/>
        <v>2.97493968416669e-5</v>
      </c>
      <c r="AL251" s="231">
        <f ca="1" t="shared" si="54"/>
        <v>3.5688160631738e-6</v>
      </c>
      <c r="AN251" s="12">
        <v>610</v>
      </c>
      <c r="AO251" s="231">
        <f ca="1" t="shared" si="55"/>
        <v>1.94165399853351e-6</v>
      </c>
      <c r="AP251" s="231">
        <f ca="1" t="shared" si="56"/>
        <v>0.240404963527453</v>
      </c>
      <c r="AQ251" s="231">
        <f ca="1" t="shared" si="57"/>
        <v>0.658983019392562</v>
      </c>
      <c r="AR251" s="231">
        <f ca="1" t="shared" si="58"/>
        <v>0.0151642828785108</v>
      </c>
      <c r="AS251" s="231">
        <f ca="1" t="shared" si="59"/>
        <v>0.00174435601124234</v>
      </c>
    </row>
    <row r="252" ht="15" hidden="1" customHeight="1" spans="3:45">
      <c r="C252" s="221"/>
      <c r="D252" s="221"/>
      <c r="E252" s="221"/>
      <c r="F252" s="221"/>
      <c r="G252" s="221"/>
      <c r="I252" s="12">
        <v>611</v>
      </c>
      <c r="J252" s="230">
        <v>0.4904688</v>
      </c>
      <c r="L252" s="12">
        <v>611</v>
      </c>
      <c r="M252" s="230">
        <v>4.0985e-6</v>
      </c>
      <c r="N252" s="230">
        <v>0.175398</v>
      </c>
      <c r="O252" s="230">
        <v>0.654037</v>
      </c>
      <c r="P252" s="232">
        <v>0.01477</v>
      </c>
      <c r="Q252" s="230">
        <v>0.00200317</v>
      </c>
      <c r="S252" s="12">
        <v>611</v>
      </c>
      <c r="T252" s="230">
        <v>2.49653696026092e-6</v>
      </c>
      <c r="U252" s="230">
        <v>0.257649912911017</v>
      </c>
      <c r="V252" s="230">
        <v>0.692011003303322</v>
      </c>
      <c r="W252" s="232">
        <v>0.0167417171390711</v>
      </c>
      <c r="X252" s="230">
        <v>0.00200177379661354</v>
      </c>
      <c r="Z252" s="12">
        <v>611</v>
      </c>
      <c r="AA252" s="230">
        <f ca="1" t="shared" si="45"/>
        <v>2.49653696026092e-6</v>
      </c>
      <c r="AB252" s="230">
        <f ca="1" t="shared" si="46"/>
        <v>0.257649912911017</v>
      </c>
      <c r="AC252" s="230">
        <f ca="1" t="shared" si="47"/>
        <v>0.692011003303322</v>
      </c>
      <c r="AD252" s="230">
        <f ca="1" t="shared" si="48"/>
        <v>0.0167417171390711</v>
      </c>
      <c r="AE252" s="230">
        <f ca="1" t="shared" si="49"/>
        <v>0.00200177379661354</v>
      </c>
      <c r="AG252" s="12">
        <v>611</v>
      </c>
      <c r="AH252" s="231">
        <f ca="1" t="shared" si="50"/>
        <v>4.08598520500969e-9</v>
      </c>
      <c r="AI252" s="231">
        <f ca="1" t="shared" si="51"/>
        <v>0.000421685618512303</v>
      </c>
      <c r="AJ252" s="231">
        <f ca="1" t="shared" si="52"/>
        <v>0.00113258756678121</v>
      </c>
      <c r="AK252" s="231">
        <f ca="1" t="shared" si="53"/>
        <v>2.74005190492162e-5</v>
      </c>
      <c r="AL252" s="231">
        <f ca="1" t="shared" si="54"/>
        <v>3.27622552637241e-6</v>
      </c>
      <c r="AN252" s="12">
        <v>611</v>
      </c>
      <c r="AO252" s="231">
        <f ca="1" t="shared" si="55"/>
        <v>1.79783349020426e-6</v>
      </c>
      <c r="AP252" s="231">
        <f ca="1" t="shared" si="56"/>
        <v>0.228988701742408</v>
      </c>
      <c r="AQ252" s="231">
        <f ca="1" t="shared" si="57"/>
        <v>0.644755192885839</v>
      </c>
      <c r="AR252" s="231">
        <f ca="1" t="shared" si="58"/>
        <v>0.0139669797035474</v>
      </c>
      <c r="AS252" s="231">
        <f ca="1" t="shared" si="59"/>
        <v>0.00160134442065668</v>
      </c>
    </row>
    <row r="253" ht="15" hidden="1" customHeight="1" spans="3:45">
      <c r="C253" s="221"/>
      <c r="D253" s="221"/>
      <c r="E253" s="221"/>
      <c r="F253" s="221"/>
      <c r="G253" s="221"/>
      <c r="I253" s="12">
        <v>612</v>
      </c>
      <c r="J253" s="230">
        <v>0.4780304</v>
      </c>
      <c r="L253" s="12">
        <v>612</v>
      </c>
      <c r="M253" s="230">
        <v>3.78599e-6</v>
      </c>
      <c r="N253" s="230">
        <v>0.166091</v>
      </c>
      <c r="O253" s="230">
        <v>0.638979</v>
      </c>
      <c r="P253" s="232">
        <v>0.01369</v>
      </c>
      <c r="Q253" s="230">
        <v>0.0018419</v>
      </c>
      <c r="S253" s="12">
        <v>612</v>
      </c>
      <c r="T253" s="230">
        <v>2.31599170723551e-6</v>
      </c>
      <c r="U253" s="230">
        <v>0.245580002810995</v>
      </c>
      <c r="V253" s="230">
        <v>0.677746057599764</v>
      </c>
      <c r="W253" s="232">
        <v>0.0154424783094903</v>
      </c>
      <c r="X253" s="230">
        <v>0.00184092459502347</v>
      </c>
      <c r="Z253" s="12">
        <v>612</v>
      </c>
      <c r="AA253" s="230">
        <f ca="1" t="shared" si="45"/>
        <v>2.31599170723551e-6</v>
      </c>
      <c r="AB253" s="230">
        <f ca="1" t="shared" si="46"/>
        <v>0.245580002810995</v>
      </c>
      <c r="AC253" s="230">
        <f ca="1" t="shared" si="47"/>
        <v>0.677746057599764</v>
      </c>
      <c r="AD253" s="230">
        <f ca="1" t="shared" si="48"/>
        <v>0.0154424783094903</v>
      </c>
      <c r="AE253" s="230">
        <f ca="1" t="shared" si="49"/>
        <v>0.00184092459502347</v>
      </c>
      <c r="AG253" s="12">
        <v>612</v>
      </c>
      <c r="AH253" s="231">
        <f ca="1" t="shared" si="50"/>
        <v>3.78430017522142e-9</v>
      </c>
      <c r="AI253" s="231">
        <f ca="1" t="shared" si="51"/>
        <v>0.000401274514397051</v>
      </c>
      <c r="AJ253" s="231">
        <f ca="1" t="shared" si="52"/>
        <v>0.00110742819869242</v>
      </c>
      <c r="AK253" s="231">
        <f ca="1" t="shared" si="53"/>
        <v>2.52328076952456e-5</v>
      </c>
      <c r="AL253" s="231">
        <f ca="1" t="shared" si="54"/>
        <v>3.00804672389456e-6</v>
      </c>
      <c r="AN253" s="12">
        <v>612</v>
      </c>
      <c r="AO253" s="231">
        <f ca="1" t="shared" si="55"/>
        <v>1.66509207709743e-6</v>
      </c>
      <c r="AP253" s="231">
        <f ca="1" t="shared" si="56"/>
        <v>0.217904823072393</v>
      </c>
      <c r="AQ253" s="231">
        <f ca="1" t="shared" si="57"/>
        <v>0.630432562388425</v>
      </c>
      <c r="AR253" s="231">
        <f ca="1" t="shared" si="58"/>
        <v>0.0128620232452527</v>
      </c>
      <c r="AS253" s="231">
        <f ca="1" t="shared" si="59"/>
        <v>0.00147026472982667</v>
      </c>
    </row>
    <row r="254" ht="15" hidden="1" customHeight="1" spans="3:45">
      <c r="C254" s="221"/>
      <c r="D254" s="221"/>
      <c r="E254" s="221"/>
      <c r="F254" s="221"/>
      <c r="G254" s="221"/>
      <c r="I254" s="12">
        <v>613</v>
      </c>
      <c r="J254" s="230">
        <v>0.4656776</v>
      </c>
      <c r="L254" s="12">
        <v>613</v>
      </c>
      <c r="M254" s="230">
        <v>3.49911e-6</v>
      </c>
      <c r="N254" s="230">
        <v>0.157169</v>
      </c>
      <c r="O254" s="230">
        <v>0.623825</v>
      </c>
      <c r="P254" s="232">
        <v>0.01269</v>
      </c>
      <c r="Q254" s="230">
        <v>0.00169317</v>
      </c>
      <c r="S254" s="12">
        <v>613</v>
      </c>
      <c r="T254" s="230">
        <v>2.14904742711922e-6</v>
      </c>
      <c r="U254" s="230">
        <v>0.233850875405159</v>
      </c>
      <c r="V254" s="230">
        <v>0.663344297441377</v>
      </c>
      <c r="W254" s="232">
        <v>0.0142419022289347</v>
      </c>
      <c r="X254" s="230">
        <v>0.00169324577256405</v>
      </c>
      <c r="Z254" s="12">
        <v>613</v>
      </c>
      <c r="AA254" s="230">
        <f ca="1" t="shared" si="45"/>
        <v>2.14904742711922e-6</v>
      </c>
      <c r="AB254" s="230">
        <f ca="1" t="shared" si="46"/>
        <v>0.233850875405159</v>
      </c>
      <c r="AC254" s="230">
        <f ca="1" t="shared" si="47"/>
        <v>0.663344297441377</v>
      </c>
      <c r="AD254" s="230">
        <f ca="1" t="shared" si="48"/>
        <v>0.0142419022289347</v>
      </c>
      <c r="AE254" s="230">
        <f ca="1" t="shared" si="49"/>
        <v>0.00169324577256405</v>
      </c>
      <c r="AG254" s="12">
        <v>613</v>
      </c>
      <c r="AH254" s="231">
        <f ca="1" t="shared" si="50"/>
        <v>3.5057869936692e-9</v>
      </c>
      <c r="AI254" s="231">
        <f ca="1" t="shared" si="51"/>
        <v>0.000381485930514126</v>
      </c>
      <c r="AJ254" s="231">
        <f ca="1" t="shared" si="52"/>
        <v>0.00108212772828936</v>
      </c>
      <c r="AK254" s="231">
        <f ca="1" t="shared" si="53"/>
        <v>2.32331194599261e-5</v>
      </c>
      <c r="AL254" s="231">
        <f ca="1" t="shared" si="54"/>
        <v>2.76222801397072e-6</v>
      </c>
      <c r="AN254" s="12">
        <v>613</v>
      </c>
      <c r="AO254" s="231">
        <f ca="1" t="shared" si="55"/>
        <v>1.54254627721445e-6</v>
      </c>
      <c r="AP254" s="231">
        <f ca="1" t="shared" si="56"/>
        <v>0.207158992686575</v>
      </c>
      <c r="AQ254" s="231">
        <f ca="1" t="shared" si="57"/>
        <v>0.616029605695909</v>
      </c>
      <c r="AR254" s="231">
        <f ca="1" t="shared" si="58"/>
        <v>0.0118427139049456</v>
      </c>
      <c r="AS254" s="231">
        <f ca="1" t="shared" si="59"/>
        <v>0.00135011414298186</v>
      </c>
    </row>
    <row r="255" ht="15" hidden="1" customHeight="1" spans="3:45">
      <c r="C255" s="221"/>
      <c r="D255" s="221"/>
      <c r="E255" s="221"/>
      <c r="F255" s="221"/>
      <c r="G255" s="221"/>
      <c r="I255" s="12">
        <v>614</v>
      </c>
      <c r="J255" s="230">
        <v>0.4534032</v>
      </c>
      <c r="L255" s="12">
        <v>614</v>
      </c>
      <c r="M255" s="230">
        <v>3.23563e-6</v>
      </c>
      <c r="N255" s="230">
        <v>0.14862</v>
      </c>
      <c r="O255" s="230">
        <v>0.608579</v>
      </c>
      <c r="P255" s="232">
        <v>0.01175</v>
      </c>
      <c r="Q255" s="230">
        <v>0.00155692</v>
      </c>
      <c r="S255" s="12">
        <v>614</v>
      </c>
      <c r="T255" s="230">
        <v>1.99462840763407e-6</v>
      </c>
      <c r="U255" s="230">
        <v>0.222467718008284</v>
      </c>
      <c r="V255" s="230">
        <v>0.648822646382774</v>
      </c>
      <c r="W255" s="232">
        <v>0.0131329714456462</v>
      </c>
      <c r="X255" s="230">
        <v>0.00155765401906201</v>
      </c>
      <c r="Z255" s="12">
        <v>614</v>
      </c>
      <c r="AA255" s="230">
        <f ca="1" t="shared" si="45"/>
        <v>1.99462840763407e-6</v>
      </c>
      <c r="AB255" s="230">
        <f ca="1" t="shared" si="46"/>
        <v>0.222467718008284</v>
      </c>
      <c r="AC255" s="230">
        <f ca="1" t="shared" si="47"/>
        <v>0.648822646382774</v>
      </c>
      <c r="AD255" s="230">
        <f ca="1" t="shared" si="48"/>
        <v>0.0131329714456462</v>
      </c>
      <c r="AE255" s="230">
        <f ca="1" t="shared" si="49"/>
        <v>0.00155765401906201</v>
      </c>
      <c r="AG255" s="12">
        <v>614</v>
      </c>
      <c r="AH255" s="231">
        <f ca="1" t="shared" si="50"/>
        <v>3.2485804684594e-9</v>
      </c>
      <c r="AI255" s="231">
        <f ca="1" t="shared" si="51"/>
        <v>0.000362325273629127</v>
      </c>
      <c r="AJ255" s="231">
        <f ca="1" t="shared" si="52"/>
        <v>0.00105671440778953</v>
      </c>
      <c r="AK255" s="231">
        <f ca="1" t="shared" si="53"/>
        <v>2.138920430887e-5</v>
      </c>
      <c r="AL255" s="231">
        <f ca="1" t="shared" si="54"/>
        <v>2.53689579651793e-6</v>
      </c>
      <c r="AN255" s="12">
        <v>614</v>
      </c>
      <c r="AO255" s="231">
        <f ca="1" t="shared" si="55"/>
        <v>1.42937540612213e-6</v>
      </c>
      <c r="AP255" s="231">
        <f ca="1" t="shared" si="56"/>
        <v>0.196754146630628</v>
      </c>
      <c r="AQ255" s="231">
        <f ca="1" t="shared" si="57"/>
        <v>0.601562406124488</v>
      </c>
      <c r="AR255" s="231">
        <f ca="1" t="shared" si="58"/>
        <v>0.0109028074220208</v>
      </c>
      <c r="AS255" s="231">
        <f ca="1" t="shared" si="59"/>
        <v>0.00123997688707331</v>
      </c>
    </row>
    <row r="256" ht="15" hidden="1" customHeight="1" spans="3:45">
      <c r="C256" s="221"/>
      <c r="D256" s="221"/>
      <c r="E256" s="221"/>
      <c r="F256" s="221"/>
      <c r="G256" s="221"/>
      <c r="I256" s="12">
        <v>615</v>
      </c>
      <c r="J256" s="230">
        <v>0.4412</v>
      </c>
      <c r="L256" s="12">
        <v>615</v>
      </c>
      <c r="M256" s="230">
        <v>2.99354e-6</v>
      </c>
      <c r="N256" s="230">
        <v>0.140431</v>
      </c>
      <c r="O256" s="230">
        <v>0.593248</v>
      </c>
      <c r="P256" s="232">
        <v>0.01088</v>
      </c>
      <c r="Q256" s="230">
        <v>0.00143314</v>
      </c>
      <c r="S256" s="12">
        <v>615</v>
      </c>
      <c r="T256" s="230">
        <v>1.85177407652267e-6</v>
      </c>
      <c r="U256" s="230">
        <v>0.211435545230609</v>
      </c>
      <c r="V256" s="230">
        <v>0.634198192602967</v>
      </c>
      <c r="W256" s="232">
        <v>0.0121090479795924</v>
      </c>
      <c r="X256" s="230">
        <v>0.00143314456165059</v>
      </c>
      <c r="Z256" s="12">
        <v>615</v>
      </c>
      <c r="AA256" s="230">
        <f ca="1" t="shared" si="45"/>
        <v>1.85177407652267e-6</v>
      </c>
      <c r="AB256" s="230">
        <f ca="1" t="shared" si="46"/>
        <v>0.211435545230609</v>
      </c>
      <c r="AC256" s="230">
        <f ca="1" t="shared" si="47"/>
        <v>0.634198192602967</v>
      </c>
      <c r="AD256" s="230">
        <f ca="1" t="shared" si="48"/>
        <v>0.0121090479795924</v>
      </c>
      <c r="AE256" s="230">
        <f ca="1" t="shared" si="49"/>
        <v>0.00143314456165059</v>
      </c>
      <c r="AG256" s="12">
        <v>615</v>
      </c>
      <c r="AH256" s="231">
        <f ca="1" t="shared" si="50"/>
        <v>3.01101475857345e-9</v>
      </c>
      <c r="AI256" s="231">
        <f ca="1" t="shared" si="51"/>
        <v>0.000343797634521315</v>
      </c>
      <c r="AJ256" s="231">
        <f ca="1" t="shared" si="52"/>
        <v>0.00103121657333816</v>
      </c>
      <c r="AK256" s="231">
        <f ca="1" t="shared" si="53"/>
        <v>1.96895089099063e-5</v>
      </c>
      <c r="AL256" s="231">
        <f ca="1" t="shared" si="54"/>
        <v>2.33031636040746e-6</v>
      </c>
      <c r="AN256" s="12">
        <v>615</v>
      </c>
      <c r="AO256" s="231">
        <f ca="1" t="shared" si="55"/>
        <v>1.32484649377232e-6</v>
      </c>
      <c r="AP256" s="231">
        <f ca="1" t="shared" si="56"/>
        <v>0.186693049359591</v>
      </c>
      <c r="AQ256" s="231">
        <f ca="1" t="shared" si="57"/>
        <v>0.587047094768396</v>
      </c>
      <c r="AR256" s="231">
        <f ca="1" t="shared" si="58"/>
        <v>0.0100364146687704</v>
      </c>
      <c r="AS256" s="231">
        <f ca="1" t="shared" si="59"/>
        <v>0.00113900556358686</v>
      </c>
    </row>
    <row r="257" ht="15" hidden="1" customHeight="1" spans="3:45">
      <c r="C257" s="221"/>
      <c r="D257" s="221"/>
      <c r="E257" s="221"/>
      <c r="F257" s="221"/>
      <c r="G257" s="221"/>
      <c r="I257" s="12">
        <v>616</v>
      </c>
      <c r="J257" s="230">
        <v>0.42908</v>
      </c>
      <c r="L257" s="12">
        <v>616</v>
      </c>
      <c r="M257" s="230"/>
      <c r="N257" s="230">
        <v>0.132591</v>
      </c>
      <c r="O257" s="230">
        <v>0.577857</v>
      </c>
      <c r="P257" s="232">
        <v>0.01007</v>
      </c>
      <c r="Q257" s="230">
        <v>0.00131972</v>
      </c>
      <c r="S257" s="12">
        <v>616</v>
      </c>
      <c r="T257" s="230">
        <v>1.7195705554599e-6</v>
      </c>
      <c r="U257" s="230">
        <v>0.200758526755898</v>
      </c>
      <c r="V257" s="230">
        <v>0.619489571711812</v>
      </c>
      <c r="W257" s="232">
        <v>0.0111639530141359</v>
      </c>
      <c r="X257" s="230">
        <v>0.0013188032234948</v>
      </c>
      <c r="Z257" s="12">
        <v>616</v>
      </c>
      <c r="AA257" s="230">
        <f ca="1" t="shared" si="45"/>
        <v>1.7195705554599e-6</v>
      </c>
      <c r="AB257" s="230">
        <f ca="1" t="shared" si="46"/>
        <v>0.200758526755898</v>
      </c>
      <c r="AC257" s="230">
        <f ca="1" t="shared" si="47"/>
        <v>0.619489571711812</v>
      </c>
      <c r="AD257" s="230">
        <f ca="1" t="shared" si="48"/>
        <v>0.0111639530141359</v>
      </c>
      <c r="AE257" s="230">
        <f ca="1" t="shared" si="49"/>
        <v>0.0013188032234948</v>
      </c>
      <c r="AG257" s="12">
        <v>616</v>
      </c>
      <c r="AH257" s="231">
        <f ca="1" t="shared" si="50"/>
        <v>2.79151064198036e-9</v>
      </c>
      <c r="AI257" s="231">
        <f ca="1" t="shared" si="51"/>
        <v>0.000325906699279055</v>
      </c>
      <c r="AJ257" s="231">
        <f ca="1" t="shared" si="52"/>
        <v>0.00100566488914255</v>
      </c>
      <c r="AK257" s="231">
        <f ca="1" t="shared" si="53"/>
        <v>1.81233003476232e-5</v>
      </c>
      <c r="AL257" s="231">
        <f ca="1" t="shared" si="54"/>
        <v>2.1409143238552e-6</v>
      </c>
      <c r="AN257" s="12">
        <v>616</v>
      </c>
      <c r="AO257" s="231">
        <f ca="1" t="shared" si="55"/>
        <v>1.22826468247136e-6</v>
      </c>
      <c r="AP257" s="231">
        <f ca="1" t="shared" si="56"/>
        <v>0.176977702536675</v>
      </c>
      <c r="AQ257" s="231">
        <f ca="1" t="shared" si="57"/>
        <v>0.572501128032317</v>
      </c>
      <c r="AR257" s="231">
        <f ca="1" t="shared" si="58"/>
        <v>0.0092380647119087</v>
      </c>
      <c r="AS257" s="231">
        <f ca="1" t="shared" si="59"/>
        <v>0.00104643016178606</v>
      </c>
    </row>
    <row r="258" ht="15" hidden="1" customHeight="1" spans="3:45">
      <c r="C258" s="221"/>
      <c r="D258" s="221"/>
      <c r="E258" s="221"/>
      <c r="F258" s="221"/>
      <c r="G258" s="221"/>
      <c r="I258" s="12">
        <v>617</v>
      </c>
      <c r="J258" s="230">
        <v>0.417036</v>
      </c>
      <c r="L258" s="12">
        <v>617</v>
      </c>
      <c r="M258" s="230"/>
      <c r="N258" s="230">
        <v>0.125092</v>
      </c>
      <c r="O258" s="230">
        <v>0.562493</v>
      </c>
      <c r="P258" s="231">
        <v>0.00932</v>
      </c>
      <c r="Q258" s="230">
        <v>0.00121451</v>
      </c>
      <c r="S258" s="12">
        <v>617</v>
      </c>
      <c r="T258" s="230">
        <v>1.59720256878576e-6</v>
      </c>
      <c r="U258" s="230">
        <v>0.190439924225387</v>
      </c>
      <c r="V258" s="230">
        <v>0.604711182801293</v>
      </c>
      <c r="W258" s="231">
        <v>0.010291863083619</v>
      </c>
      <c r="X258" s="230">
        <v>0.00121378844839341</v>
      </c>
      <c r="Z258" s="12">
        <v>617</v>
      </c>
      <c r="AA258" s="230">
        <f ca="1" t="shared" si="45"/>
        <v>1.59720256878576e-6</v>
      </c>
      <c r="AB258" s="230">
        <f ca="1" t="shared" si="46"/>
        <v>0.190439924225387</v>
      </c>
      <c r="AC258" s="230">
        <f ca="1" t="shared" si="47"/>
        <v>0.604711182801293</v>
      </c>
      <c r="AD258" s="230">
        <f ca="1" t="shared" si="48"/>
        <v>0.010291863083619</v>
      </c>
      <c r="AE258" s="230">
        <f ca="1" t="shared" si="49"/>
        <v>0.00121378844839341</v>
      </c>
      <c r="AG258" s="12">
        <v>617</v>
      </c>
      <c r="AH258" s="231">
        <f ca="1" t="shared" si="50"/>
        <v>2.58865894454742e-9</v>
      </c>
      <c r="AI258" s="231">
        <f ca="1" t="shared" si="51"/>
        <v>0.000308654658387985</v>
      </c>
      <c r="AJ258" s="231">
        <f ca="1" t="shared" si="52"/>
        <v>0.000980082954297071</v>
      </c>
      <c r="AK258" s="231">
        <f ca="1" t="shared" si="53"/>
        <v>1.66804912214246e-5</v>
      </c>
      <c r="AL258" s="231">
        <f ca="1" t="shared" si="54"/>
        <v>1.96724221781752e-6</v>
      </c>
      <c r="AN258" s="12">
        <v>617</v>
      </c>
      <c r="AO258" s="231">
        <f ca="1" t="shared" si="55"/>
        <v>1.13900993560087e-6</v>
      </c>
      <c r="AP258" s="231">
        <f ca="1" t="shared" si="56"/>
        <v>0.167609295665247</v>
      </c>
      <c r="AQ258" s="231">
        <f ca="1" t="shared" si="57"/>
        <v>0.557937940319983</v>
      </c>
      <c r="AR258" s="231">
        <f ca="1" t="shared" si="58"/>
        <v>0.00850261565908191</v>
      </c>
      <c r="AS258" s="231">
        <f ca="1" t="shared" si="59"/>
        <v>0.000961543191768744</v>
      </c>
    </row>
    <row r="259" ht="15" hidden="1" customHeight="1" spans="3:45">
      <c r="C259" s="221"/>
      <c r="D259" s="221"/>
      <c r="E259" s="221"/>
      <c r="F259" s="221"/>
      <c r="G259" s="221"/>
      <c r="I259" s="12">
        <v>618</v>
      </c>
      <c r="J259" s="230">
        <v>0.405032</v>
      </c>
      <c r="L259" s="12">
        <v>618</v>
      </c>
      <c r="M259" s="230"/>
      <c r="N259" s="230">
        <v>0.117928</v>
      </c>
      <c r="O259" s="230">
        <v>0.547248</v>
      </c>
      <c r="P259" s="231">
        <v>0.00862</v>
      </c>
      <c r="Q259" s="230">
        <v>0.00111743</v>
      </c>
      <c r="S259" s="12">
        <v>618</v>
      </c>
      <c r="T259" s="230">
        <v>1.48390466452796e-6</v>
      </c>
      <c r="U259" s="230">
        <v>0.180481212512939</v>
      </c>
      <c r="V259" s="230">
        <v>0.589880446080292</v>
      </c>
      <c r="W259" s="231">
        <v>0.00948735169229275</v>
      </c>
      <c r="X259" s="230">
        <v>0.00111733139029114</v>
      </c>
      <c r="Z259" s="12">
        <v>618</v>
      </c>
      <c r="AA259" s="230">
        <f ca="1" t="shared" si="45"/>
        <v>1.48390466452796e-6</v>
      </c>
      <c r="AB259" s="230">
        <f ca="1" t="shared" si="46"/>
        <v>0.180481212512939</v>
      </c>
      <c r="AC259" s="230">
        <f ca="1" t="shared" si="47"/>
        <v>0.589880446080292</v>
      </c>
      <c r="AD259" s="230">
        <f ca="1" t="shared" si="48"/>
        <v>0.00948735169229275</v>
      </c>
      <c r="AE259" s="230">
        <f ca="1" t="shared" si="49"/>
        <v>0.00111733139029114</v>
      </c>
      <c r="AG259" s="12">
        <v>618</v>
      </c>
      <c r="AH259" s="231">
        <f ca="1" t="shared" si="50"/>
        <v>2.40114023386401e-9</v>
      </c>
      <c r="AI259" s="231">
        <f ca="1" t="shared" si="51"/>
        <v>0.000292040796946503</v>
      </c>
      <c r="AJ259" s="231">
        <f ca="1" t="shared" si="52"/>
        <v>0.000954499103689793</v>
      </c>
      <c r="AK259" s="231">
        <f ca="1" t="shared" si="53"/>
        <v>1.5351701767464e-5</v>
      </c>
      <c r="AL259" s="231">
        <f ca="1" t="shared" si="54"/>
        <v>1.80797959594036e-6</v>
      </c>
      <c r="AN259" s="12">
        <v>618</v>
      </c>
      <c r="AO259" s="231">
        <f ca="1" t="shared" si="55"/>
        <v>1.05650170290017e-6</v>
      </c>
      <c r="AP259" s="231">
        <f ca="1" t="shared" si="56"/>
        <v>0.158587440531001</v>
      </c>
      <c r="AQ259" s="231">
        <f ca="1" t="shared" si="57"/>
        <v>0.543373662009973</v>
      </c>
      <c r="AR259" s="231">
        <f ca="1" t="shared" si="58"/>
        <v>0.00782528632453827</v>
      </c>
      <c r="AS259" s="231">
        <f ca="1" t="shared" si="59"/>
        <v>0.000883699249430459</v>
      </c>
    </row>
    <row r="260" ht="15" hidden="1" customHeight="1" spans="3:45">
      <c r="C260" s="221"/>
      <c r="D260" s="221"/>
      <c r="E260" s="221"/>
      <c r="F260" s="221"/>
      <c r="G260" s="221"/>
      <c r="I260" s="12">
        <v>619</v>
      </c>
      <c r="J260" s="230">
        <v>0.393032</v>
      </c>
      <c r="L260" s="12">
        <v>619</v>
      </c>
      <c r="M260" s="230"/>
      <c r="N260" s="230">
        <v>0.111091</v>
      </c>
      <c r="O260" s="230">
        <v>0.532209</v>
      </c>
      <c r="P260" s="231">
        <v>0.00797</v>
      </c>
      <c r="Q260" s="230">
        <v>0.00102839</v>
      </c>
      <c r="S260" s="12">
        <v>619</v>
      </c>
      <c r="T260" s="230">
        <v>1.37898010337566e-6</v>
      </c>
      <c r="U260" s="230">
        <v>0.170883842099042</v>
      </c>
      <c r="V260" s="230">
        <v>0.575014769669221</v>
      </c>
      <c r="W260" s="231">
        <v>0.00874538634360712</v>
      </c>
      <c r="X260" s="230">
        <v>0.00102872193450319</v>
      </c>
      <c r="Z260" s="12">
        <v>619</v>
      </c>
      <c r="AA260" s="230">
        <f ca="1" t="shared" si="45"/>
        <v>1.37898010337566e-6</v>
      </c>
      <c r="AB260" s="230">
        <f ca="1" t="shared" si="46"/>
        <v>0.170883842099042</v>
      </c>
      <c r="AC260" s="230">
        <f ca="1" t="shared" si="47"/>
        <v>0.575014769669221</v>
      </c>
      <c r="AD260" s="230">
        <f ca="1" t="shared" si="48"/>
        <v>0.00874538634360712</v>
      </c>
      <c r="AE260" s="230">
        <f ca="1" t="shared" si="49"/>
        <v>0.00102872193450319</v>
      </c>
      <c r="AG260" s="12">
        <v>619</v>
      </c>
      <c r="AH260" s="231">
        <f ca="1" t="shared" si="50"/>
        <v>2.22775460965373e-9</v>
      </c>
      <c r="AI260" s="231">
        <f ca="1" t="shared" si="51"/>
        <v>0.000276064365265011</v>
      </c>
      <c r="AJ260" s="231">
        <f ca="1" t="shared" si="52"/>
        <v>0.000928941469578709</v>
      </c>
      <c r="AK260" s="231">
        <f ca="1" t="shared" si="53"/>
        <v>1.41282493434687e-5</v>
      </c>
      <c r="AL260" s="231">
        <f ca="1" t="shared" si="54"/>
        <v>1.66190942569174e-6</v>
      </c>
      <c r="AN260" s="12">
        <v>619</v>
      </c>
      <c r="AO260" s="231">
        <f ca="1" t="shared" si="55"/>
        <v>9.80212028247642e-7</v>
      </c>
      <c r="AP260" s="231">
        <f ca="1" t="shared" si="56"/>
        <v>0.149911730028641</v>
      </c>
      <c r="AQ260" s="231">
        <f ca="1" t="shared" si="57"/>
        <v>0.528824308128375</v>
      </c>
      <c r="AR260" s="231">
        <f ca="1" t="shared" si="58"/>
        <v>0.00720165086918411</v>
      </c>
      <c r="AS260" s="231">
        <f ca="1" t="shared" si="59"/>
        <v>0.000812303476987718</v>
      </c>
    </row>
    <row r="261" ht="15" hidden="1" customHeight="1" spans="3:45">
      <c r="C261" s="221"/>
      <c r="D261" s="221"/>
      <c r="E261" s="221"/>
      <c r="F261" s="221"/>
      <c r="G261" s="221"/>
      <c r="I261" s="12">
        <v>620</v>
      </c>
      <c r="J261" s="230">
        <v>0.381</v>
      </c>
      <c r="L261" s="12">
        <v>620</v>
      </c>
      <c r="M261" s="230"/>
      <c r="N261" s="230">
        <v>0.104573</v>
      </c>
      <c r="O261" s="230">
        <v>0.517449</v>
      </c>
      <c r="P261" s="231">
        <v>0.00737</v>
      </c>
      <c r="Q261" s="230">
        <v>0.000947313</v>
      </c>
      <c r="S261" s="12">
        <v>620</v>
      </c>
      <c r="T261" s="230">
        <v>1.28178740547738e-6</v>
      </c>
      <c r="U261" s="230">
        <v>0.161647130655885</v>
      </c>
      <c r="V261" s="230">
        <v>0.560131504275526</v>
      </c>
      <c r="W261" s="231">
        <v>0.00806126132366704</v>
      </c>
      <c r="X261" s="230">
        <v>0.000947314096785937</v>
      </c>
      <c r="Z261" s="12">
        <v>620</v>
      </c>
      <c r="AA261" s="230">
        <f ca="1" t="shared" si="45"/>
        <v>1.28178740547738e-6</v>
      </c>
      <c r="AB261" s="230">
        <f ca="1" t="shared" si="46"/>
        <v>0.161647130655885</v>
      </c>
      <c r="AC261" s="230">
        <f ca="1" t="shared" si="47"/>
        <v>0.560131504275526</v>
      </c>
      <c r="AD261" s="230">
        <f ca="1" t="shared" si="48"/>
        <v>0.00806126132366704</v>
      </c>
      <c r="AE261" s="230">
        <f ca="1" t="shared" si="49"/>
        <v>0.000947314096785937</v>
      </c>
      <c r="AG261" s="12">
        <v>620</v>
      </c>
      <c r="AH261" s="231">
        <f ca="1" t="shared" si="50"/>
        <v>2.06739904109255e-9</v>
      </c>
      <c r="AI261" s="231">
        <f ca="1" t="shared" si="51"/>
        <v>0.000260721178477234</v>
      </c>
      <c r="AJ261" s="231">
        <f ca="1" t="shared" si="52"/>
        <v>0.000903437910121816</v>
      </c>
      <c r="AK261" s="231">
        <f ca="1" t="shared" si="53"/>
        <v>1.30020343930114e-5</v>
      </c>
      <c r="AL261" s="231">
        <f ca="1" t="shared" si="54"/>
        <v>1.52792596255796e-6</v>
      </c>
      <c r="AN261" s="12">
        <v>620</v>
      </c>
      <c r="AO261" s="231">
        <f ca="1" t="shared" si="55"/>
        <v>9.09655578080721e-7</v>
      </c>
      <c r="AP261" s="231">
        <f ca="1" t="shared" si="56"/>
        <v>0.14157989164269</v>
      </c>
      <c r="AQ261" s="231">
        <f ca="1" t="shared" si="57"/>
        <v>0.514305737662661</v>
      </c>
      <c r="AR261" s="231">
        <f ca="1" t="shared" si="58"/>
        <v>0.00662758067268106</v>
      </c>
      <c r="AS261" s="231">
        <f ca="1" t="shared" si="59"/>
        <v>0.000746815411705745</v>
      </c>
    </row>
    <row r="262" ht="15" hidden="1" customHeight="1" spans="3:45">
      <c r="C262" s="221"/>
      <c r="D262" s="221"/>
      <c r="E262" s="221"/>
      <c r="F262" s="221"/>
      <c r="G262" s="221"/>
      <c r="I262" s="12">
        <v>621</v>
      </c>
      <c r="J262" s="230">
        <v>0.3689184</v>
      </c>
      <c r="L262" s="12">
        <v>621</v>
      </c>
      <c r="M262" s="230"/>
      <c r="N262" s="230">
        <v>0.0983663</v>
      </c>
      <c r="O262" s="230">
        <v>0.502993</v>
      </c>
      <c r="P262" s="231">
        <v>0.00682</v>
      </c>
      <c r="Q262" s="230">
        <v>0.000872814</v>
      </c>
      <c r="S262" s="12">
        <v>621</v>
      </c>
      <c r="T262" s="230">
        <v>1.19118440776211e-6</v>
      </c>
      <c r="U262" s="230">
        <v>0.152699635366478</v>
      </c>
      <c r="V262" s="230">
        <v>0.544996859879878</v>
      </c>
      <c r="W262" s="231">
        <v>0.00742714666363587</v>
      </c>
      <c r="X262" s="230">
        <v>0.000872107457073421</v>
      </c>
      <c r="Z262" s="12">
        <v>621</v>
      </c>
      <c r="AA262" s="230">
        <f ca="1" t="shared" si="45"/>
        <v>1.19118440776211e-6</v>
      </c>
      <c r="AB262" s="230">
        <f ca="1" t="shared" si="46"/>
        <v>0.152699635366478</v>
      </c>
      <c r="AC262" s="230">
        <f ca="1" t="shared" si="47"/>
        <v>0.544996859879878</v>
      </c>
      <c r="AD262" s="230">
        <f ca="1" t="shared" si="48"/>
        <v>0.00742714666363587</v>
      </c>
      <c r="AE262" s="230">
        <f ca="1" t="shared" si="49"/>
        <v>0.000872107457073421</v>
      </c>
      <c r="AG262" s="12">
        <v>621</v>
      </c>
      <c r="AH262" s="231">
        <f ca="1" t="shared" si="50"/>
        <v>1.91817134905332e-9</v>
      </c>
      <c r="AI262" s="231">
        <f ca="1" t="shared" si="51"/>
        <v>0.00024589313263523</v>
      </c>
      <c r="AJ262" s="231">
        <f ca="1" t="shared" si="52"/>
        <v>0.000877611690627823</v>
      </c>
      <c r="AK262" s="231">
        <f ca="1" t="shared" si="53"/>
        <v>1.19599785243734e-5</v>
      </c>
      <c r="AL262" s="231">
        <f ca="1" t="shared" si="54"/>
        <v>1.40435983425672e-6</v>
      </c>
      <c r="AN262" s="12">
        <v>621</v>
      </c>
      <c r="AO262" s="231">
        <f ca="1" t="shared" si="55"/>
        <v>8.4399539358346e-7</v>
      </c>
      <c r="AP262" s="231">
        <f ca="1" t="shared" si="56"/>
        <v>0.133527791173349</v>
      </c>
      <c r="AQ262" s="231">
        <f ca="1" t="shared" si="57"/>
        <v>0.49960348450383</v>
      </c>
      <c r="AR262" s="231">
        <f ca="1" t="shared" si="58"/>
        <v>0.00609640923242159</v>
      </c>
      <c r="AS262" s="231">
        <f ca="1" t="shared" si="59"/>
        <v>0.000686419102433214</v>
      </c>
    </row>
    <row r="263" ht="15" hidden="1" customHeight="1" spans="3:45">
      <c r="C263" s="221"/>
      <c r="D263" s="221"/>
      <c r="E263" s="221"/>
      <c r="F263" s="221"/>
      <c r="G263" s="221"/>
      <c r="I263" s="12">
        <v>622</v>
      </c>
      <c r="J263" s="230">
        <v>0.3568272</v>
      </c>
      <c r="L263" s="12">
        <v>622</v>
      </c>
      <c r="M263" s="230"/>
      <c r="N263" s="230">
        <v>0.0924685</v>
      </c>
      <c r="O263" s="230">
        <v>0.488692</v>
      </c>
      <c r="P263" s="231">
        <v>0.0063</v>
      </c>
      <c r="Q263" s="230">
        <v>0.000803576</v>
      </c>
      <c r="S263" s="12">
        <v>622</v>
      </c>
      <c r="T263" s="230">
        <v>1.10725334255865e-6</v>
      </c>
      <c r="U263" s="230">
        <v>0.144117592972961</v>
      </c>
      <c r="V263" s="230">
        <v>0.52989033717315</v>
      </c>
      <c r="W263" s="231">
        <v>0.00684295997843708</v>
      </c>
      <c r="X263" s="230">
        <v>0.000803024877839878</v>
      </c>
      <c r="Z263" s="12">
        <v>622</v>
      </c>
      <c r="AA263" s="230">
        <f ca="1" t="shared" si="45"/>
        <v>1.10725334255865e-6</v>
      </c>
      <c r="AB263" s="230">
        <f ca="1" t="shared" si="46"/>
        <v>0.144117592972961</v>
      </c>
      <c r="AC263" s="230">
        <f ca="1" t="shared" si="47"/>
        <v>0.52989033717315</v>
      </c>
      <c r="AD263" s="230">
        <f ca="1" t="shared" si="48"/>
        <v>0.00684295997843708</v>
      </c>
      <c r="AE263" s="230">
        <f ca="1" t="shared" si="49"/>
        <v>0.000803024877839878</v>
      </c>
      <c r="AG263" s="12">
        <v>622</v>
      </c>
      <c r="AH263" s="231">
        <f ca="1" t="shared" si="50"/>
        <v>1.78015006842227e-9</v>
      </c>
      <c r="AI263" s="231">
        <f ca="1" t="shared" si="51"/>
        <v>0.000231700310245918</v>
      </c>
      <c r="AJ263" s="231">
        <f ca="1" t="shared" si="52"/>
        <v>0.000851913725358762</v>
      </c>
      <c r="AK263" s="231">
        <f ca="1" t="shared" si="53"/>
        <v>1.10015433736931e-5</v>
      </c>
      <c r="AL263" s="231">
        <f ca="1" t="shared" si="54"/>
        <v>1.29103678109305e-6</v>
      </c>
      <c r="AN263" s="12">
        <v>622</v>
      </c>
      <c r="AO263" s="231">
        <f ca="1" t="shared" si="55"/>
        <v>7.83266030105797e-7</v>
      </c>
      <c r="AP263" s="231">
        <f ca="1" t="shared" si="56"/>
        <v>0.125820637240864</v>
      </c>
      <c r="AQ263" s="231">
        <f ca="1" t="shared" si="57"/>
        <v>0.484974243428092</v>
      </c>
      <c r="AR263" s="231">
        <f ca="1" t="shared" si="58"/>
        <v>0.00560786212597175</v>
      </c>
      <c r="AS263" s="231">
        <f ca="1" t="shared" si="59"/>
        <v>0.000631029375000028</v>
      </c>
    </row>
    <row r="264" ht="15" hidden="1" customHeight="1" spans="3:45">
      <c r="C264" s="221"/>
      <c r="D264" s="221"/>
      <c r="E264" s="221"/>
      <c r="F264" s="221"/>
      <c r="G264" s="221"/>
      <c r="I264" s="12">
        <v>623</v>
      </c>
      <c r="J264" s="230">
        <v>0.3447768</v>
      </c>
      <c r="L264" s="12">
        <v>623</v>
      </c>
      <c r="M264" s="230"/>
      <c r="N264" s="230">
        <v>0.0868759</v>
      </c>
      <c r="O264" s="230">
        <v>0.474376</v>
      </c>
      <c r="P264" s="231">
        <v>0.00582</v>
      </c>
      <c r="Q264" s="230">
        <v>0.00073962</v>
      </c>
      <c r="S264" s="12">
        <v>623</v>
      </c>
      <c r="T264" s="230">
        <v>1.02948020415894e-6</v>
      </c>
      <c r="U264" s="230">
        <v>0.135897040819059</v>
      </c>
      <c r="V264" s="230">
        <v>0.51482899708186</v>
      </c>
      <c r="W264" s="231">
        <v>0.00630482446905524</v>
      </c>
      <c r="X264" s="230">
        <v>0.000739557592481089</v>
      </c>
      <c r="Z264" s="12">
        <v>623</v>
      </c>
      <c r="AA264" s="230">
        <f ca="1" t="shared" si="45"/>
        <v>1.02948020415894e-6</v>
      </c>
      <c r="AB264" s="230">
        <f ca="1" t="shared" si="46"/>
        <v>0.135897040819059</v>
      </c>
      <c r="AC264" s="230">
        <f ca="1" t="shared" si="47"/>
        <v>0.51482899708186</v>
      </c>
      <c r="AD264" s="230">
        <f ca="1" t="shared" si="48"/>
        <v>0.00630482446905524</v>
      </c>
      <c r="AE264" s="230">
        <f ca="1" t="shared" si="49"/>
        <v>0.000739557592481089</v>
      </c>
      <c r="AG264" s="12">
        <v>623</v>
      </c>
      <c r="AH264" s="231">
        <f ca="1" t="shared" si="50"/>
        <v>1.65245618645095e-9</v>
      </c>
      <c r="AI264" s="231">
        <f ca="1" t="shared" si="51"/>
        <v>0.000218133291844396</v>
      </c>
      <c r="AJ264" s="231">
        <f ca="1" t="shared" si="52"/>
        <v>0.000826370781832841</v>
      </c>
      <c r="AK264" s="231">
        <f ca="1" t="shared" si="53"/>
        <v>1.01201034816296e-5</v>
      </c>
      <c r="AL264" s="231">
        <f ca="1" t="shared" si="54"/>
        <v>1.18709083865343e-6</v>
      </c>
      <c r="AN264" s="12">
        <v>623</v>
      </c>
      <c r="AO264" s="231">
        <f ca="1" t="shared" si="55"/>
        <v>7.27080722038417e-7</v>
      </c>
      <c r="AP264" s="231">
        <f ca="1" t="shared" si="56"/>
        <v>0.118453314776228</v>
      </c>
      <c r="AQ264" s="231">
        <f ca="1" t="shared" si="57"/>
        <v>0.470433252547597</v>
      </c>
      <c r="AR264" s="231">
        <f ca="1" t="shared" si="58"/>
        <v>0.00515856213058719</v>
      </c>
      <c r="AS264" s="231">
        <f ca="1" t="shared" si="59"/>
        <v>0.000580222965723348</v>
      </c>
    </row>
    <row r="265" ht="15" hidden="1" customHeight="1" spans="3:45">
      <c r="C265" s="221"/>
      <c r="D265" s="221"/>
      <c r="E265" s="221"/>
      <c r="F265" s="221"/>
      <c r="G265" s="221"/>
      <c r="I265" s="12">
        <v>624</v>
      </c>
      <c r="J265" s="230">
        <v>0.3328176</v>
      </c>
      <c r="L265" s="12">
        <v>624</v>
      </c>
      <c r="M265" s="230"/>
      <c r="N265" s="230">
        <v>0.0815834</v>
      </c>
      <c r="O265" s="230">
        <v>0.459896</v>
      </c>
      <c r="P265" s="231">
        <v>0.00538</v>
      </c>
      <c r="Q265" s="230">
        <v>0.00068097</v>
      </c>
      <c r="S265" s="12">
        <v>624</v>
      </c>
      <c r="T265" s="230">
        <v>9.57401271672738e-7</v>
      </c>
      <c r="U265" s="230">
        <v>0.128034202297878</v>
      </c>
      <c r="V265" s="230">
        <v>0.499828481843753</v>
      </c>
      <c r="W265" s="231">
        <v>0.00580918222725401</v>
      </c>
      <c r="X265" s="230">
        <v>0.000681241348580283</v>
      </c>
      <c r="Z265" s="12">
        <v>624</v>
      </c>
      <c r="AA265" s="230">
        <f ca="1" t="shared" si="45"/>
        <v>9.57401271672738e-7</v>
      </c>
      <c r="AB265" s="230">
        <f ca="1" t="shared" si="46"/>
        <v>0.128034202297878</v>
      </c>
      <c r="AC265" s="230">
        <f ca="1" t="shared" si="47"/>
        <v>0.499828481843753</v>
      </c>
      <c r="AD265" s="230">
        <f ca="1" t="shared" si="48"/>
        <v>0.00580918222725401</v>
      </c>
      <c r="AE265" s="230">
        <f ca="1" t="shared" si="49"/>
        <v>0.000681241348580283</v>
      </c>
      <c r="AG265" s="12">
        <v>624</v>
      </c>
      <c r="AH265" s="231">
        <f ca="1" t="shared" si="50"/>
        <v>1.53429690973195e-9</v>
      </c>
      <c r="AI265" s="231">
        <f ca="1" t="shared" si="51"/>
        <v>0.00020518301650301</v>
      </c>
      <c r="AJ265" s="231">
        <f ca="1" t="shared" si="52"/>
        <v>0.000801007182441912</v>
      </c>
      <c r="AK265" s="231">
        <f ca="1" t="shared" si="53"/>
        <v>9.30958690265066e-6</v>
      </c>
      <c r="AL265" s="231">
        <f ca="1" t="shared" si="54"/>
        <v>1.09173293041712e-6</v>
      </c>
      <c r="AN265" s="12">
        <v>624</v>
      </c>
      <c r="AO265" s="231">
        <f ca="1" t="shared" si="55"/>
        <v>6.75090640282059e-7</v>
      </c>
      <c r="AP265" s="231">
        <f ca="1" t="shared" si="56"/>
        <v>0.111420903407557</v>
      </c>
      <c r="AQ265" s="231">
        <f ca="1" t="shared" si="57"/>
        <v>0.455994358022158</v>
      </c>
      <c r="AR265" s="231">
        <f ca="1" t="shared" si="58"/>
        <v>0.00474541416840246</v>
      </c>
      <c r="AS265" s="231">
        <f ca="1" t="shared" si="59"/>
        <v>0.000533614191971197</v>
      </c>
    </row>
    <row r="266" ht="15" hidden="1" customHeight="1" spans="3:45">
      <c r="C266" s="221"/>
      <c r="D266" s="221"/>
      <c r="E266" s="221"/>
      <c r="F266" s="221"/>
      <c r="G266" s="221"/>
      <c r="I266" s="12">
        <v>625</v>
      </c>
      <c r="J266" s="230">
        <v>0.321</v>
      </c>
      <c r="L266" s="12">
        <v>625</v>
      </c>
      <c r="M266" s="230"/>
      <c r="N266" s="230">
        <v>0.0765841</v>
      </c>
      <c r="O266" s="230">
        <v>0.445125</v>
      </c>
      <c r="P266" s="231">
        <v>0.00497</v>
      </c>
      <c r="Q266" s="230">
        <v>0.000627648</v>
      </c>
      <c r="S266" s="12">
        <v>625</v>
      </c>
      <c r="T266" s="230">
        <v>8.9057807684551e-7</v>
      </c>
      <c r="U266" s="230">
        <v>0.120523018487113</v>
      </c>
      <c r="V266" s="230">
        <v>0.484906493615237</v>
      </c>
      <c r="W266" s="231">
        <v>0.00535273816602534</v>
      </c>
      <c r="X266" s="230">
        <v>0.000627647784252987</v>
      </c>
      <c r="Z266" s="12">
        <v>625</v>
      </c>
      <c r="AA266" s="230">
        <f ca="1" t="shared" si="45"/>
        <v>8.9057807684551e-7</v>
      </c>
      <c r="AB266" s="230">
        <f ca="1" t="shared" si="46"/>
        <v>0.120523018487113</v>
      </c>
      <c r="AC266" s="230">
        <f ca="1" t="shared" si="47"/>
        <v>0.484906493615237</v>
      </c>
      <c r="AD266" s="230">
        <f ca="1" t="shared" si="48"/>
        <v>0.00535273816602534</v>
      </c>
      <c r="AE266" s="230">
        <f ca="1" t="shared" si="49"/>
        <v>0.000627647784252987</v>
      </c>
      <c r="AG266" s="12">
        <v>625</v>
      </c>
      <c r="AH266" s="231">
        <f ca="1" t="shared" si="50"/>
        <v>1.42492492295282e-9</v>
      </c>
      <c r="AI266" s="231">
        <f ca="1" t="shared" si="51"/>
        <v>0.000192836829579381</v>
      </c>
      <c r="AJ266" s="231">
        <f ca="1" t="shared" si="52"/>
        <v>0.000775850389784379</v>
      </c>
      <c r="AK266" s="231">
        <f ca="1" t="shared" si="53"/>
        <v>8.56438106564054e-6</v>
      </c>
      <c r="AL266" s="231">
        <f ca="1" t="shared" si="54"/>
        <v>1.00423645480478e-6</v>
      </c>
      <c r="AN266" s="12">
        <v>625</v>
      </c>
      <c r="AO266" s="231">
        <f ca="1" t="shared" si="55"/>
        <v>6.26966966099239e-7</v>
      </c>
      <c r="AP266" s="231">
        <f ca="1" t="shared" si="56"/>
        <v>0.104716531261585</v>
      </c>
      <c r="AQ266" s="231">
        <f ca="1" t="shared" si="57"/>
        <v>0.441673193656569</v>
      </c>
      <c r="AR266" s="231">
        <f ca="1" t="shared" si="58"/>
        <v>0.00436555732037013</v>
      </c>
      <c r="AS266" s="231">
        <f ca="1" t="shared" si="59"/>
        <v>0.000490847907440082</v>
      </c>
    </row>
    <row r="267" ht="15" hidden="1" customHeight="1" spans="3:45">
      <c r="C267" s="221"/>
      <c r="D267" s="221"/>
      <c r="E267" s="221"/>
      <c r="F267" s="221"/>
      <c r="G267" s="221"/>
      <c r="I267" s="12">
        <v>626</v>
      </c>
      <c r="J267" s="230">
        <v>0.3093381</v>
      </c>
      <c r="L267" s="12">
        <v>626</v>
      </c>
      <c r="M267" s="230"/>
      <c r="N267" s="230">
        <v>0.0718683</v>
      </c>
      <c r="O267" s="230">
        <v>0.430007</v>
      </c>
      <c r="P267" s="231">
        <v>0.00459</v>
      </c>
      <c r="Q267" s="230">
        <v>0.000578753</v>
      </c>
      <c r="S267" s="12">
        <v>626</v>
      </c>
      <c r="T267" s="230">
        <v>8.28615399053592e-7</v>
      </c>
      <c r="U267" s="230">
        <v>0.113357693317995</v>
      </c>
      <c r="V267" s="230">
        <v>0.470075914923928</v>
      </c>
      <c r="W267" s="231">
        <v>0.0049324194314067</v>
      </c>
      <c r="X267" s="230">
        <v>0.000578387635178154</v>
      </c>
      <c r="Z267" s="12">
        <v>626</v>
      </c>
      <c r="AA267" s="230">
        <f ca="1" t="shared" si="45"/>
        <v>8.28615399053592e-7</v>
      </c>
      <c r="AB267" s="230">
        <f ca="1" t="shared" si="46"/>
        <v>0.113357693317995</v>
      </c>
      <c r="AC267" s="230">
        <f ca="1" t="shared" si="47"/>
        <v>0.470075914923928</v>
      </c>
      <c r="AD267" s="230">
        <f ca="1" t="shared" si="48"/>
        <v>0.0049324194314067</v>
      </c>
      <c r="AE267" s="230">
        <f ca="1" t="shared" si="49"/>
        <v>0.000578387635178154</v>
      </c>
      <c r="AG267" s="12">
        <v>626</v>
      </c>
      <c r="AH267" s="231">
        <f ca="1" t="shared" si="50"/>
        <v>1.32366677165111e-9</v>
      </c>
      <c r="AI267" s="231">
        <f ca="1" t="shared" si="51"/>
        <v>0.000181082577185296</v>
      </c>
      <c r="AJ267" s="231">
        <f ca="1" t="shared" si="52"/>
        <v>0.000750919991891259</v>
      </c>
      <c r="AK267" s="231">
        <f ca="1" t="shared" si="53"/>
        <v>7.87926426742284e-6</v>
      </c>
      <c r="AL267" s="231">
        <f ca="1" t="shared" si="54"/>
        <v>9.23941909230278e-7</v>
      </c>
      <c r="AN267" s="12">
        <v>626</v>
      </c>
      <c r="AO267" s="231">
        <f ca="1" t="shared" si="55"/>
        <v>5.82413379526487e-7</v>
      </c>
      <c r="AP267" s="231">
        <f ca="1" t="shared" si="56"/>
        <v>0.0983335983904807</v>
      </c>
      <c r="AQ267" s="231">
        <f ca="1" t="shared" si="57"/>
        <v>0.427480910451499</v>
      </c>
      <c r="AR267" s="231">
        <f ca="1" t="shared" si="58"/>
        <v>0.00401632990617121</v>
      </c>
      <c r="AS267" s="231">
        <f ca="1" t="shared" si="59"/>
        <v>0.000451601762286192</v>
      </c>
    </row>
    <row r="268" ht="15" hidden="1" customHeight="1" spans="3:45">
      <c r="C268" s="221"/>
      <c r="D268" s="221"/>
      <c r="E268" s="221"/>
      <c r="F268" s="221"/>
      <c r="G268" s="221"/>
      <c r="I268" s="12">
        <v>627</v>
      </c>
      <c r="J268" s="230">
        <v>0.2978504</v>
      </c>
      <c r="L268" s="12">
        <v>627</v>
      </c>
      <c r="M268" s="230"/>
      <c r="N268" s="230">
        <v>0.0674186</v>
      </c>
      <c r="O268" s="230">
        <v>0.414687</v>
      </c>
      <c r="P268" s="231">
        <v>0.00424</v>
      </c>
      <c r="Q268" s="230">
        <v>0.000533358</v>
      </c>
      <c r="S268" s="12">
        <v>627</v>
      </c>
      <c r="T268" s="230">
        <v>7.71144916500975e-7</v>
      </c>
      <c r="U268" s="230">
        <v>0.106531244380489</v>
      </c>
      <c r="V268" s="230">
        <v>0.455353836504658</v>
      </c>
      <c r="W268" s="231">
        <v>0.00454539887370686</v>
      </c>
      <c r="X268" s="230">
        <v>0.000533102844726998</v>
      </c>
      <c r="Z268" s="12">
        <v>627</v>
      </c>
      <c r="AA268" s="230">
        <f ca="1" t="shared" si="45"/>
        <v>7.71144916500975e-7</v>
      </c>
      <c r="AB268" s="230">
        <f ca="1" t="shared" si="46"/>
        <v>0.106531244380489</v>
      </c>
      <c r="AC268" s="230">
        <f ca="1" t="shared" si="47"/>
        <v>0.455353836504658</v>
      </c>
      <c r="AD268" s="230">
        <f ca="1" t="shared" si="48"/>
        <v>0.00454539887370686</v>
      </c>
      <c r="AE268" s="230">
        <f ca="1" t="shared" si="49"/>
        <v>0.000533102844726998</v>
      </c>
      <c r="AG268" s="12">
        <v>627</v>
      </c>
      <c r="AH268" s="231">
        <f ca="1" t="shared" si="50"/>
        <v>1.22989619856615e-9</v>
      </c>
      <c r="AI268" s="231">
        <f ca="1" t="shared" si="51"/>
        <v>0.000169906290877973</v>
      </c>
      <c r="AJ268" s="231">
        <f ca="1" t="shared" si="52"/>
        <v>0.000726242163484303</v>
      </c>
      <c r="AK268" s="231">
        <f ca="1" t="shared" si="53"/>
        <v>7.24943998996309e-6</v>
      </c>
      <c r="AL268" s="231">
        <f ca="1" t="shared" si="54"/>
        <v>8.50243771494415e-7</v>
      </c>
      <c r="AN268" s="12">
        <v>627</v>
      </c>
      <c r="AO268" s="231">
        <f ca="1" t="shared" si="55"/>
        <v>5.41154327369105e-7</v>
      </c>
      <c r="AP268" s="231">
        <f ca="1" t="shared" si="56"/>
        <v>0.0922645194855747</v>
      </c>
      <c r="AQ268" s="231">
        <f ca="1" t="shared" si="57"/>
        <v>0.413432409054164</v>
      </c>
      <c r="AR268" s="231">
        <f ca="1" t="shared" si="58"/>
        <v>0.00369528697686461</v>
      </c>
      <c r="AS268" s="231">
        <f ca="1" t="shared" si="59"/>
        <v>0.000415579791049436</v>
      </c>
    </row>
    <row r="269" ht="15" hidden="1" customHeight="1" spans="3:45">
      <c r="C269" s="221"/>
      <c r="D269" s="221"/>
      <c r="E269" s="221"/>
      <c r="F269" s="221"/>
      <c r="G269" s="221"/>
      <c r="I269" s="12">
        <v>628</v>
      </c>
      <c r="J269" s="230">
        <v>0.2865936</v>
      </c>
      <c r="L269" s="12">
        <v>628</v>
      </c>
      <c r="M269" s="230"/>
      <c r="N269" s="230">
        <v>0.0632176</v>
      </c>
      <c r="O269" s="230">
        <v>0.39934</v>
      </c>
      <c r="P269" s="232">
        <v>0.003913</v>
      </c>
      <c r="Q269" s="230">
        <v>0.00049144</v>
      </c>
      <c r="S269" s="12">
        <v>628</v>
      </c>
      <c r="T269" s="230">
        <v>7.17827347681206e-7</v>
      </c>
      <c r="U269" s="230">
        <v>0.100036157121072</v>
      </c>
      <c r="V269" s="230">
        <v>0.440754748605079</v>
      </c>
      <c r="W269" s="232">
        <v>0.00418905439765235</v>
      </c>
      <c r="X269" s="230">
        <v>0.000491465458648156</v>
      </c>
      <c r="Z269" s="12">
        <v>628</v>
      </c>
      <c r="AA269" s="230">
        <f ca="1" t="shared" si="45"/>
        <v>7.17827347681206e-7</v>
      </c>
      <c r="AB269" s="230">
        <f ca="1" t="shared" si="46"/>
        <v>0.100036157121072</v>
      </c>
      <c r="AC269" s="230">
        <f ca="1" t="shared" si="47"/>
        <v>0.440754748605079</v>
      </c>
      <c r="AD269" s="230">
        <f ca="1" t="shared" si="48"/>
        <v>0.00418905439765235</v>
      </c>
      <c r="AE269" s="230">
        <f ca="1" t="shared" si="49"/>
        <v>0.000491465458648156</v>
      </c>
      <c r="AG269" s="12">
        <v>628</v>
      </c>
      <c r="AH269" s="231">
        <f ca="1" t="shared" si="50"/>
        <v>1.14303717783632e-9</v>
      </c>
      <c r="AI269" s="231">
        <f ca="1" t="shared" si="51"/>
        <v>0.000159293243823363</v>
      </c>
      <c r="AJ269" s="231">
        <f ca="1" t="shared" si="52"/>
        <v>0.000701838771664139</v>
      </c>
      <c r="AK269" s="231">
        <f ca="1" t="shared" si="53"/>
        <v>6.67046878607062e-6</v>
      </c>
      <c r="AL269" s="231">
        <f ca="1" t="shared" si="54"/>
        <v>7.82588309949293e-7</v>
      </c>
      <c r="AN269" s="12">
        <v>628</v>
      </c>
      <c r="AO269" s="231">
        <f ca="1" t="shared" si="55"/>
        <v>5.02936358247979e-7</v>
      </c>
      <c r="AP269" s="231">
        <f ca="1" t="shared" si="56"/>
        <v>0.0865012974076198</v>
      </c>
      <c r="AQ269" s="231">
        <f ca="1" t="shared" si="57"/>
        <v>0.399540137885414</v>
      </c>
      <c r="AR269" s="231">
        <f ca="1" t="shared" si="58"/>
        <v>0.00340016559470466</v>
      </c>
      <c r="AS269" s="231">
        <f ca="1" t="shared" si="59"/>
        <v>0.000382511342311662</v>
      </c>
    </row>
    <row r="270" ht="15" hidden="1" customHeight="1" spans="3:45">
      <c r="C270" s="221"/>
      <c r="D270" s="221"/>
      <c r="E270" s="221"/>
      <c r="F270" s="221"/>
      <c r="G270" s="221"/>
      <c r="I270" s="12">
        <v>629</v>
      </c>
      <c r="J270" s="230">
        <v>0.2756245</v>
      </c>
      <c r="L270" s="12">
        <v>629</v>
      </c>
      <c r="M270" s="230"/>
      <c r="N270" s="230">
        <v>0.0592492</v>
      </c>
      <c r="O270" s="230">
        <v>0.384122</v>
      </c>
      <c r="P270" s="232">
        <v>0.003613</v>
      </c>
      <c r="Q270" s="230">
        <v>0.00045298</v>
      </c>
      <c r="S270" s="12">
        <v>629</v>
      </c>
      <c r="T270" s="230">
        <v>6.68353151144846e-7</v>
      </c>
      <c r="U270" s="230">
        <v>0.0938642036672135</v>
      </c>
      <c r="V270" s="230">
        <v>0.426291820818492</v>
      </c>
      <c r="W270" s="232">
        <v>0.0038609662026417</v>
      </c>
      <c r="X270" s="230">
        <v>0.000453175059038708</v>
      </c>
      <c r="Z270" s="12">
        <v>629</v>
      </c>
      <c r="AA270" s="230">
        <f ca="1" t="shared" si="45"/>
        <v>6.68353151144846e-7</v>
      </c>
      <c r="AB270" s="230">
        <f ca="1" t="shared" si="46"/>
        <v>0.0938642036672135</v>
      </c>
      <c r="AC270" s="230">
        <f ca="1" t="shared" si="47"/>
        <v>0.426291820818492</v>
      </c>
      <c r="AD270" s="230">
        <f ca="1" t="shared" si="48"/>
        <v>0.0038609662026417</v>
      </c>
      <c r="AE270" s="230">
        <f ca="1" t="shared" si="49"/>
        <v>0.000453175059038708</v>
      </c>
      <c r="AG270" s="12">
        <v>629</v>
      </c>
      <c r="AH270" s="231">
        <f ca="1" t="shared" si="50"/>
        <v>1.0625646282112e-9</v>
      </c>
      <c r="AI270" s="231">
        <f ca="1" t="shared" si="51"/>
        <v>0.000149227668787303</v>
      </c>
      <c r="AJ270" s="231">
        <f ca="1" t="shared" si="52"/>
        <v>0.000677729444862467</v>
      </c>
      <c r="AK270" s="231">
        <f ca="1" t="shared" si="53"/>
        <v>6.13826105348442e-6</v>
      </c>
      <c r="AL270" s="231">
        <f ca="1" t="shared" si="54"/>
        <v>7.20469092271396e-7</v>
      </c>
      <c r="AN270" s="12">
        <v>629</v>
      </c>
      <c r="AO270" s="231">
        <f ca="1" t="shared" si="55"/>
        <v>4.67528436412929e-7</v>
      </c>
      <c r="AP270" s="231">
        <f ca="1" t="shared" si="56"/>
        <v>0.0810353700470191</v>
      </c>
      <c r="AQ270" s="231">
        <f ca="1" t="shared" si="57"/>
        <v>0.385815270945071</v>
      </c>
      <c r="AR270" s="231">
        <f ca="1" t="shared" si="58"/>
        <v>0.00312888114984612</v>
      </c>
      <c r="AS270" s="231">
        <f ca="1" t="shared" si="59"/>
        <v>0.000352148883487223</v>
      </c>
    </row>
    <row r="271" ht="15" hidden="1" customHeight="1" spans="3:45">
      <c r="C271" s="221"/>
      <c r="D271" s="221"/>
      <c r="E271" s="221"/>
      <c r="F271" s="221"/>
      <c r="G271" s="221"/>
      <c r="I271" s="12">
        <v>630</v>
      </c>
      <c r="J271" s="230">
        <v>0.265</v>
      </c>
      <c r="L271" s="12">
        <v>630</v>
      </c>
      <c r="M271" s="230"/>
      <c r="N271" s="230">
        <v>0.055499</v>
      </c>
      <c r="O271" s="230">
        <v>0.369168</v>
      </c>
      <c r="P271" s="232">
        <v>0.003335</v>
      </c>
      <c r="Q271" s="230">
        <v>0.000417955</v>
      </c>
      <c r="S271" s="12">
        <v>630</v>
      </c>
      <c r="T271" s="230">
        <v>6.22433559078794e-7</v>
      </c>
      <c r="U271" s="230">
        <v>0.088006550754818</v>
      </c>
      <c r="V271" s="230">
        <v>0.411980822202106</v>
      </c>
      <c r="W271" s="232">
        <v>0.00355890176085901</v>
      </c>
      <c r="X271" s="230">
        <v>0.000417955457064297</v>
      </c>
      <c r="Z271" s="12">
        <v>630</v>
      </c>
      <c r="AA271" s="230">
        <f ca="1" t="shared" si="45"/>
        <v>6.22433559078794e-7</v>
      </c>
      <c r="AB271" s="230">
        <f ca="1" t="shared" si="46"/>
        <v>0.088006550754818</v>
      </c>
      <c r="AC271" s="230">
        <f ca="1" t="shared" si="47"/>
        <v>0.411980822202106</v>
      </c>
      <c r="AD271" s="230">
        <f ca="1" t="shared" si="48"/>
        <v>0.00355890176085901</v>
      </c>
      <c r="AE271" s="230">
        <f ca="1" t="shared" si="49"/>
        <v>0.000417955457064297</v>
      </c>
      <c r="AG271" s="12">
        <v>630</v>
      </c>
      <c r="AH271" s="231">
        <f ca="1" t="shared" si="50"/>
        <v>9.87989776315546e-10</v>
      </c>
      <c r="AI271" s="231">
        <f ca="1" t="shared" si="51"/>
        <v>0.00013969293770606</v>
      </c>
      <c r="AJ271" s="231">
        <f ca="1" t="shared" si="52"/>
        <v>0.000653937813019216</v>
      </c>
      <c r="AK271" s="231">
        <f ca="1" t="shared" si="53"/>
        <v>5.64905041406192e-6</v>
      </c>
      <c r="AL271" s="231">
        <f ca="1" t="shared" si="54"/>
        <v>6.63421360419519e-7</v>
      </c>
      <c r="AN271" s="12">
        <v>630</v>
      </c>
      <c r="AO271" s="231">
        <f ca="1" t="shared" si="55"/>
        <v>4.3471550157884e-7</v>
      </c>
      <c r="AP271" s="231">
        <f ca="1" t="shared" si="56"/>
        <v>0.075857707836343</v>
      </c>
      <c r="AQ271" s="231">
        <f ca="1" t="shared" si="57"/>
        <v>0.372271260196516</v>
      </c>
      <c r="AR271" s="231">
        <f ca="1" t="shared" si="58"/>
        <v>0.00287951379080812</v>
      </c>
      <c r="AS271" s="231">
        <f ca="1" t="shared" si="59"/>
        <v>0.000324265251430528</v>
      </c>
    </row>
    <row r="272" ht="15" hidden="1" customHeight="1" spans="3:45">
      <c r="C272" s="221"/>
      <c r="D272" s="221"/>
      <c r="E272" s="221"/>
      <c r="F272" s="221"/>
      <c r="G272" s="221"/>
      <c r="I272" s="12">
        <v>631</v>
      </c>
      <c r="J272" s="230">
        <v>0.2547632</v>
      </c>
      <c r="L272" s="12">
        <v>631</v>
      </c>
      <c r="M272" s="230"/>
      <c r="N272" s="230">
        <v>0.051955</v>
      </c>
      <c r="O272" s="230">
        <v>0.35458</v>
      </c>
      <c r="P272" s="232">
        <v>0.003079</v>
      </c>
      <c r="Q272" s="230">
        <v>0.000385789</v>
      </c>
      <c r="S272" s="12">
        <v>631</v>
      </c>
      <c r="T272" s="230">
        <v>5.79801053321261e-7</v>
      </c>
      <c r="U272" s="230">
        <v>0.0824542413202484</v>
      </c>
      <c r="V272" s="230">
        <v>0.397835010960701</v>
      </c>
      <c r="W272" s="232">
        <v>0.00328080184114399</v>
      </c>
      <c r="X272" s="230">
        <v>0.000385555586315567</v>
      </c>
      <c r="Z272" s="12">
        <v>631</v>
      </c>
      <c r="AA272" s="230">
        <f ca="1" t="shared" si="45"/>
        <v>5.79801053321261e-7</v>
      </c>
      <c r="AB272" s="230">
        <f ca="1" t="shared" si="46"/>
        <v>0.0824542413202484</v>
      </c>
      <c r="AC272" s="230">
        <f ca="1" t="shared" si="47"/>
        <v>0.397835010960701</v>
      </c>
      <c r="AD272" s="230">
        <f ca="1" t="shared" si="48"/>
        <v>0.00328080184114399</v>
      </c>
      <c r="AE272" s="230">
        <f ca="1" t="shared" si="49"/>
        <v>0.000385555586315567</v>
      </c>
      <c r="AG272" s="12">
        <v>631</v>
      </c>
      <c r="AH272" s="231">
        <f ca="1" t="shared" si="50"/>
        <v>9.18860623330049e-10</v>
      </c>
      <c r="AI272" s="231">
        <f ca="1" t="shared" si="51"/>
        <v>0.00013067233172781</v>
      </c>
      <c r="AJ272" s="231">
        <f ca="1" t="shared" si="52"/>
        <v>0.0006304833771168</v>
      </c>
      <c r="AK272" s="231">
        <f ca="1" t="shared" si="53"/>
        <v>5.19936900339777e-6</v>
      </c>
      <c r="AL272" s="231">
        <f ca="1" t="shared" si="54"/>
        <v>6.11023116189488e-7</v>
      </c>
      <c r="AN272" s="12">
        <v>631</v>
      </c>
      <c r="AO272" s="231">
        <f ca="1" t="shared" si="55"/>
        <v>4.04298674265222e-7</v>
      </c>
      <c r="AP272" s="231">
        <f ca="1" t="shared" si="56"/>
        <v>0.07095923190734</v>
      </c>
      <c r="AQ272" s="231">
        <f ca="1" t="shared" si="57"/>
        <v>0.35891920708572</v>
      </c>
      <c r="AR272" s="231">
        <f ca="1" t="shared" si="58"/>
        <v>0.00265029582874954</v>
      </c>
      <c r="AS272" s="231">
        <f ca="1" t="shared" si="59"/>
        <v>0.000298654183030461</v>
      </c>
    </row>
    <row r="273" ht="15" hidden="1" customHeight="1" spans="3:45">
      <c r="C273" s="221"/>
      <c r="D273" s="221"/>
      <c r="E273" s="221"/>
      <c r="F273" s="221"/>
      <c r="G273" s="221"/>
      <c r="I273" s="12">
        <v>632</v>
      </c>
      <c r="J273" s="230">
        <v>0.2448896</v>
      </c>
      <c r="L273" s="12">
        <v>632</v>
      </c>
      <c r="M273" s="230"/>
      <c r="N273" s="230">
        <v>0.0486103</v>
      </c>
      <c r="O273" s="230">
        <v>0.340389</v>
      </c>
      <c r="P273" s="232">
        <v>0.002842</v>
      </c>
      <c r="Q273" s="230">
        <v>0.000355905</v>
      </c>
      <c r="S273" s="12">
        <v>632</v>
      </c>
      <c r="T273" s="230">
        <v>5.40214205212421e-7</v>
      </c>
      <c r="U273" s="230">
        <v>0.0771974580203314</v>
      </c>
      <c r="V273" s="230">
        <v>0.383867195684638</v>
      </c>
      <c r="W273" s="232">
        <v>0.00302476751360136</v>
      </c>
      <c r="X273" s="230">
        <v>0.000355742702514796</v>
      </c>
      <c r="Z273" s="12">
        <v>632</v>
      </c>
      <c r="AA273" s="230">
        <f ca="1" t="shared" si="45"/>
        <v>5.40214205212421e-7</v>
      </c>
      <c r="AB273" s="230">
        <f ca="1" t="shared" si="46"/>
        <v>0.0771974580203314</v>
      </c>
      <c r="AC273" s="230">
        <f ca="1" t="shared" si="47"/>
        <v>0.383867195684638</v>
      </c>
      <c r="AD273" s="230">
        <f ca="1" t="shared" si="48"/>
        <v>0.00302476751360136</v>
      </c>
      <c r="AE273" s="230">
        <f ca="1" t="shared" si="49"/>
        <v>0.000355742702514796</v>
      </c>
      <c r="AG273" s="12">
        <v>632</v>
      </c>
      <c r="AH273" s="231">
        <f ca="1" t="shared" si="50"/>
        <v>8.5476931204497e-10</v>
      </c>
      <c r="AI273" s="231">
        <f ca="1" t="shared" si="51"/>
        <v>0.000122147876614448</v>
      </c>
      <c r="AJ273" s="231">
        <f ca="1" t="shared" si="52"/>
        <v>0.000607384803298478</v>
      </c>
      <c r="AK273" s="231">
        <f ca="1" t="shared" si="53"/>
        <v>4.78602454683759e-6</v>
      </c>
      <c r="AL273" s="231">
        <f ca="1" t="shared" si="54"/>
        <v>5.62884022966449e-7</v>
      </c>
      <c r="AN273" s="12">
        <v>632</v>
      </c>
      <c r="AO273" s="231">
        <f ca="1" t="shared" si="55"/>
        <v>3.76098497299787e-7</v>
      </c>
      <c r="AP273" s="231">
        <f ca="1" t="shared" si="56"/>
        <v>0.0663301816770836</v>
      </c>
      <c r="AQ273" s="231">
        <f ca="1" t="shared" si="57"/>
        <v>0.345769737804553</v>
      </c>
      <c r="AR273" s="231">
        <f ca="1" t="shared" si="58"/>
        <v>0.00243960005233085</v>
      </c>
      <c r="AS273" s="231">
        <f ca="1" t="shared" si="59"/>
        <v>0.000275124890639672</v>
      </c>
    </row>
    <row r="274" ht="15" hidden="1" customHeight="1" spans="3:45">
      <c r="C274" s="221"/>
      <c r="D274" s="221"/>
      <c r="E274" s="221"/>
      <c r="F274" s="221"/>
      <c r="G274" s="221"/>
      <c r="I274" s="12">
        <v>633</v>
      </c>
      <c r="J274" s="230">
        <v>0.2353344</v>
      </c>
      <c r="L274" s="12">
        <v>633</v>
      </c>
      <c r="M274" s="230"/>
      <c r="N274" s="230">
        <v>0.0454591</v>
      </c>
      <c r="O274" s="230">
        <v>0.326609</v>
      </c>
      <c r="P274" s="232">
        <v>0.002623</v>
      </c>
      <c r="Q274" s="230">
        <v>0.000328289</v>
      </c>
      <c r="S274" s="12">
        <v>633</v>
      </c>
      <c r="T274" s="230">
        <v>5.0344380369572e-7</v>
      </c>
      <c r="U274" s="230">
        <v>0.0722265715060134</v>
      </c>
      <c r="V274" s="230">
        <v>0.37009055354946</v>
      </c>
      <c r="W274" s="232">
        <v>0.00278903522911124</v>
      </c>
      <c r="X274" s="230">
        <v>0.000328306892169947</v>
      </c>
      <c r="Z274" s="12">
        <v>633</v>
      </c>
      <c r="AA274" s="230">
        <f ca="1" t="shared" si="45"/>
        <v>5.0344380369572e-7</v>
      </c>
      <c r="AB274" s="230">
        <f ca="1" t="shared" si="46"/>
        <v>0.0722265715060134</v>
      </c>
      <c r="AC274" s="230">
        <f ca="1" t="shared" si="47"/>
        <v>0.37009055354946</v>
      </c>
      <c r="AD274" s="230">
        <f ca="1" t="shared" si="48"/>
        <v>0.00278903522911124</v>
      </c>
      <c r="AE274" s="230">
        <f ca="1" t="shared" si="49"/>
        <v>0.000328306892169947</v>
      </c>
      <c r="AG274" s="12">
        <v>633</v>
      </c>
      <c r="AH274" s="231">
        <f ca="1" t="shared" si="50"/>
        <v>7.95329863658325e-10</v>
      </c>
      <c r="AI274" s="231">
        <f ca="1" t="shared" si="51"/>
        <v>0.000114102008698283</v>
      </c>
      <c r="AJ274" s="231">
        <f ca="1" t="shared" si="52"/>
        <v>0.000584661222037062</v>
      </c>
      <c r="AK274" s="231">
        <f ca="1" t="shared" si="53"/>
        <v>4.40605881376183e-6</v>
      </c>
      <c r="AL274" s="231">
        <f ca="1" t="shared" si="54"/>
        <v>5.18652278309553e-7</v>
      </c>
      <c r="AN274" s="12">
        <v>633</v>
      </c>
      <c r="AO274" s="231">
        <f ca="1" t="shared" si="55"/>
        <v>3.49945140009663e-7</v>
      </c>
      <c r="AP274" s="231">
        <f ca="1" t="shared" si="56"/>
        <v>0.0619610195154393</v>
      </c>
      <c r="AQ274" s="231">
        <f ca="1" t="shared" si="57"/>
        <v>0.332833742876674</v>
      </c>
      <c r="AR274" s="231">
        <f ca="1" t="shared" si="58"/>
        <v>0.00224591855044468</v>
      </c>
      <c r="AS274" s="231">
        <f ca="1" t="shared" si="59"/>
        <v>0.000253505421237436</v>
      </c>
    </row>
    <row r="275" ht="15" hidden="1" customHeight="1" spans="3:45">
      <c r="C275" s="221"/>
      <c r="D275" s="221"/>
      <c r="E275" s="221"/>
      <c r="F275" s="221"/>
      <c r="G275" s="221"/>
      <c r="I275" s="12">
        <v>634</v>
      </c>
      <c r="J275" s="230">
        <v>0.2260528</v>
      </c>
      <c r="L275" s="12">
        <v>634</v>
      </c>
      <c r="M275" s="230"/>
      <c r="N275" s="230">
        <v>0.0424945</v>
      </c>
      <c r="O275" s="230">
        <v>0.313249</v>
      </c>
      <c r="P275" s="232">
        <v>0.002421</v>
      </c>
      <c r="Q275" s="230">
        <v>0.000302926</v>
      </c>
      <c r="S275" s="12">
        <v>634</v>
      </c>
      <c r="T275" s="230">
        <v>4.69284272935161e-7</v>
      </c>
      <c r="U275" s="230">
        <v>0.0675312828776587</v>
      </c>
      <c r="V275" s="230">
        <v>0.356515979290164</v>
      </c>
      <c r="W275" s="232">
        <v>0.00257199428946494</v>
      </c>
      <c r="X275" s="230">
        <v>0.000303051892193743</v>
      </c>
      <c r="Z275" s="12">
        <v>634</v>
      </c>
      <c r="AA275" s="230">
        <f ca="1" t="shared" si="45"/>
        <v>4.69284272935161e-7</v>
      </c>
      <c r="AB275" s="230">
        <f ca="1" t="shared" si="46"/>
        <v>0.0675312828776587</v>
      </c>
      <c r="AC275" s="230">
        <f ca="1" t="shared" si="47"/>
        <v>0.356515979290164</v>
      </c>
      <c r="AD275" s="230">
        <f ca="1" t="shared" si="48"/>
        <v>0.00257199428946494</v>
      </c>
      <c r="AE275" s="230">
        <f ca="1" t="shared" si="49"/>
        <v>0.000303051892193743</v>
      </c>
      <c r="AG275" s="12">
        <v>634</v>
      </c>
      <c r="AH275" s="231">
        <f ca="1" t="shared" si="50"/>
        <v>7.40196014093314e-10</v>
      </c>
      <c r="AI275" s="231">
        <f ca="1" t="shared" si="51"/>
        <v>0.000106516219049935</v>
      </c>
      <c r="AJ275" s="231">
        <f ca="1" t="shared" si="52"/>
        <v>0.000562328043044423</v>
      </c>
      <c r="AK275" s="231">
        <f ca="1" t="shared" si="53"/>
        <v>4.05677332723177e-6</v>
      </c>
      <c r="AL275" s="231">
        <f ca="1" t="shared" si="54"/>
        <v>4.77999829958585e-7</v>
      </c>
      <c r="AN275" s="12">
        <v>634</v>
      </c>
      <c r="AO275" s="231">
        <f ca="1" t="shared" si="55"/>
        <v>3.25686246201058e-7</v>
      </c>
      <c r="AP275" s="231">
        <f ca="1" t="shared" si="56"/>
        <v>0.0578416944851131</v>
      </c>
      <c r="AQ275" s="231">
        <f ca="1" t="shared" si="57"/>
        <v>0.320119994684933</v>
      </c>
      <c r="AR275" s="231">
        <f ca="1" t="shared" si="58"/>
        <v>0.00206787581729986</v>
      </c>
      <c r="AS275" s="231">
        <f ca="1" t="shared" si="59"/>
        <v>0.000233635430350412</v>
      </c>
    </row>
    <row r="276" ht="15" hidden="1" customHeight="1" spans="3:45">
      <c r="C276" s="221"/>
      <c r="D276" s="221"/>
      <c r="E276" s="221"/>
      <c r="F276" s="221"/>
      <c r="G276" s="221"/>
      <c r="I276" s="12">
        <v>635</v>
      </c>
      <c r="J276" s="230">
        <v>0.217</v>
      </c>
      <c r="L276" s="12">
        <v>635</v>
      </c>
      <c r="M276" s="230"/>
      <c r="N276" s="230">
        <v>0.0397097</v>
      </c>
      <c r="O276" s="230">
        <v>0.300316</v>
      </c>
      <c r="P276" s="232">
        <v>0.002235</v>
      </c>
      <c r="Q276" s="230">
        <v>0.000279801</v>
      </c>
      <c r="S276" s="12">
        <v>635</v>
      </c>
      <c r="T276" s="230">
        <v>4.3754124678263e-7</v>
      </c>
      <c r="U276" s="230">
        <v>0.0631012554548627</v>
      </c>
      <c r="V276" s="230">
        <v>0.343157898862144</v>
      </c>
      <c r="W276" s="232">
        <v>0.0023721437315089</v>
      </c>
      <c r="X276" s="230">
        <v>0.00027980083100052</v>
      </c>
      <c r="Z276" s="12">
        <v>635</v>
      </c>
      <c r="AA276" s="230">
        <f ca="1" t="shared" si="45"/>
        <v>4.3754124678263e-7</v>
      </c>
      <c r="AB276" s="230">
        <f ca="1" t="shared" si="46"/>
        <v>0.0631012554548627</v>
      </c>
      <c r="AC276" s="230">
        <f ca="1" t="shared" si="47"/>
        <v>0.343157898862144</v>
      </c>
      <c r="AD276" s="230">
        <f ca="1" t="shared" si="48"/>
        <v>0.0023721437315089</v>
      </c>
      <c r="AE276" s="230">
        <f ca="1" t="shared" si="49"/>
        <v>0.00027980083100052</v>
      </c>
      <c r="AG276" s="12">
        <v>635</v>
      </c>
      <c r="AH276" s="231">
        <f ca="1" t="shared" si="50"/>
        <v>6.89041333515953e-10</v>
      </c>
      <c r="AI276" s="231">
        <f ca="1" t="shared" si="51"/>
        <v>9.93720558344294e-5</v>
      </c>
      <c r="AJ276" s="231">
        <f ca="1" t="shared" si="52"/>
        <v>0.000540406139940384</v>
      </c>
      <c r="AK276" s="231">
        <f ca="1" t="shared" si="53"/>
        <v>3.73565941969906e-6</v>
      </c>
      <c r="AL276" s="231">
        <f ca="1" t="shared" si="54"/>
        <v>4.40631229922079e-7</v>
      </c>
      <c r="AN276" s="12">
        <v>635</v>
      </c>
      <c r="AO276" s="231">
        <f ca="1" t="shared" si="55"/>
        <v>3.03178186747019e-7</v>
      </c>
      <c r="AP276" s="231">
        <f ca="1" t="shared" si="56"/>
        <v>0.0539621866528896</v>
      </c>
      <c r="AQ276" s="231">
        <f ca="1" t="shared" si="57"/>
        <v>0.307640376085165</v>
      </c>
      <c r="AR276" s="231">
        <f ca="1" t="shared" si="58"/>
        <v>0.00190419309942943</v>
      </c>
      <c r="AS276" s="231">
        <f ca="1" t="shared" si="59"/>
        <v>0.000215370509729252</v>
      </c>
    </row>
    <row r="277" ht="15" hidden="1" customHeight="1" spans="3:45">
      <c r="C277" s="221"/>
      <c r="D277" s="221"/>
      <c r="E277" s="221"/>
      <c r="F277" s="221"/>
      <c r="G277" s="221"/>
      <c r="I277" s="12">
        <v>636</v>
      </c>
      <c r="J277" s="230">
        <v>0.2081616</v>
      </c>
      <c r="L277" s="12">
        <v>636</v>
      </c>
      <c r="M277" s="230"/>
      <c r="N277" s="230">
        <v>0.0370952</v>
      </c>
      <c r="O277" s="230">
        <v>0.287817</v>
      </c>
      <c r="P277" s="232">
        <v>0.002062</v>
      </c>
      <c r="Q277" s="230">
        <v>0.000258544</v>
      </c>
      <c r="S277" s="12">
        <v>636</v>
      </c>
      <c r="T277" s="230">
        <v>4.08036487149855e-7</v>
      </c>
      <c r="U277" s="230">
        <v>0.0589258695517823</v>
      </c>
      <c r="V277" s="230">
        <v>0.330025121791805</v>
      </c>
      <c r="W277" s="232">
        <v>0.00218812435454234</v>
      </c>
      <c r="X277" s="230">
        <v>0.000258390772303853</v>
      </c>
      <c r="Z277" s="12">
        <v>636</v>
      </c>
      <c r="AA277" s="230">
        <f ca="1" t="shared" ref="AA277:AA340" si="60">OFFSET(M277,0,$AA$8)</f>
        <v>4.08036487149855e-7</v>
      </c>
      <c r="AB277" s="230">
        <f ca="1" t="shared" ref="AB277:AB340" si="61">OFFSET(N277,0,$AA$8)</f>
        <v>0.0589258695517823</v>
      </c>
      <c r="AC277" s="230">
        <f ca="1" t="shared" ref="AC277:AC340" si="62">OFFSET(O277,0,$AA$8)</f>
        <v>0.330025121791805</v>
      </c>
      <c r="AD277" s="230">
        <f ca="1" t="shared" ref="AD277:AD340" si="63">OFFSET(P277,0,$AA$8)</f>
        <v>0.00218812435454234</v>
      </c>
      <c r="AE277" s="230">
        <f ca="1" t="shared" ref="AE277:AE340" si="64">OFFSET(Q277,0,$AA$8)</f>
        <v>0.000258390772303853</v>
      </c>
      <c r="AG277" s="12">
        <v>636</v>
      </c>
      <c r="AH277" s="231">
        <f ca="1" t="shared" ref="AH277:AH340" si="65">AA277/$Z277</f>
        <v>6.41566803694741e-10</v>
      </c>
      <c r="AI277" s="231">
        <f ca="1" t="shared" ref="AI277:AI340" si="66">AB277/$Z277</f>
        <v>9.26507382889659e-5</v>
      </c>
      <c r="AJ277" s="231">
        <f ca="1" t="shared" ref="AJ277:AJ340" si="67">AC277/$Z277</f>
        <v>0.000518907424200951</v>
      </c>
      <c r="AK277" s="231">
        <f ca="1" t="shared" ref="AK277:AK340" si="68">AD277/$Z277</f>
        <v>3.44044709833701e-6</v>
      </c>
      <c r="AL277" s="231">
        <f ca="1" t="shared" ref="AL277:AL340" si="69">AE277/$Z277</f>
        <v>4.06274799219895e-7</v>
      </c>
      <c r="AN277" s="12">
        <v>636</v>
      </c>
      <c r="AO277" s="231">
        <f ca="1" t="shared" ref="AO277:AO340" si="70">IF(AH277=0,"",AH277/AH$11)</f>
        <v>2.82289393625686e-7</v>
      </c>
      <c r="AP277" s="231">
        <f ca="1" t="shared" ref="AP277:AP340" si="71">IF(AI277=0,"",AI277/AI$11)</f>
        <v>0.0503122974672824</v>
      </c>
      <c r="AQ277" s="231">
        <f ca="1" t="shared" ref="AQ277:AQ340" si="72">IF(AJ277=0,"",AJ277/AJ$11)</f>
        <v>0.295401667997657</v>
      </c>
      <c r="AR277" s="231">
        <f ca="1" t="shared" ref="AR277:AR340" si="73">IF(AK277=0,"",AK277/AK$11)</f>
        <v>0.00175371330401772</v>
      </c>
      <c r="AS277" s="231">
        <f ca="1" t="shared" ref="AS277:AS340" si="74">IF(AL277=0,"",AL277/AL$11)</f>
        <v>0.000198577868876002</v>
      </c>
    </row>
    <row r="278" ht="15" hidden="1" customHeight="1" spans="3:45">
      <c r="C278" s="221"/>
      <c r="D278" s="221"/>
      <c r="E278" s="221"/>
      <c r="F278" s="221"/>
      <c r="G278" s="221"/>
      <c r="I278" s="12">
        <v>637</v>
      </c>
      <c r="J278" s="230">
        <v>0.1995488</v>
      </c>
      <c r="L278" s="12">
        <v>637</v>
      </c>
      <c r="M278" s="230"/>
      <c r="N278" s="230">
        <v>0.0346347</v>
      </c>
      <c r="O278" s="230">
        <v>0.275762</v>
      </c>
      <c r="P278" s="232">
        <v>0.001903</v>
      </c>
      <c r="Q278" s="230">
        <v>0.000238785</v>
      </c>
      <c r="S278" s="12">
        <v>637</v>
      </c>
      <c r="T278" s="230">
        <v>3.80607200316739e-7</v>
      </c>
      <c r="U278" s="230">
        <v>0.0549948472351288</v>
      </c>
      <c r="V278" s="230">
        <v>0.317129760819524</v>
      </c>
      <c r="W278" s="232">
        <v>0.00201866847120849</v>
      </c>
      <c r="X278" s="230">
        <v>0.000238670641273904</v>
      </c>
      <c r="Z278" s="12">
        <v>637</v>
      </c>
      <c r="AA278" s="230">
        <f ca="1" t="shared" si="60"/>
        <v>3.80607200316739e-7</v>
      </c>
      <c r="AB278" s="230">
        <f ca="1" t="shared" si="61"/>
        <v>0.0549948472351288</v>
      </c>
      <c r="AC278" s="230">
        <f ca="1" t="shared" si="62"/>
        <v>0.317129760819524</v>
      </c>
      <c r="AD278" s="230">
        <f ca="1" t="shared" si="63"/>
        <v>0.00201866847120849</v>
      </c>
      <c r="AE278" s="230">
        <f ca="1" t="shared" si="64"/>
        <v>0.000238670641273904</v>
      </c>
      <c r="AG278" s="12">
        <v>637</v>
      </c>
      <c r="AH278" s="231">
        <f ca="1" t="shared" si="65"/>
        <v>5.97499529539622e-10</v>
      </c>
      <c r="AI278" s="231">
        <f ca="1" t="shared" si="66"/>
        <v>8.63341400865444e-5</v>
      </c>
      <c r="AJ278" s="231">
        <f ca="1" t="shared" si="67"/>
        <v>0.000497848918084025</v>
      </c>
      <c r="AK278" s="231">
        <f ca="1" t="shared" si="68"/>
        <v>3.16902428761144e-6</v>
      </c>
      <c r="AL278" s="231">
        <f ca="1" t="shared" si="69"/>
        <v>3.74679185673319e-7</v>
      </c>
      <c r="AN278" s="12">
        <v>637</v>
      </c>
      <c r="AO278" s="231">
        <f ca="1" t="shared" si="70"/>
        <v>2.62899792997434e-7</v>
      </c>
      <c r="AP278" s="231">
        <f ca="1" t="shared" si="71"/>
        <v>0.0468821837562578</v>
      </c>
      <c r="AQ278" s="231">
        <f ca="1" t="shared" si="72"/>
        <v>0.283413560789405</v>
      </c>
      <c r="AR278" s="231">
        <f ca="1" t="shared" si="73"/>
        <v>0.00161535983408255</v>
      </c>
      <c r="AS278" s="231">
        <f ca="1" t="shared" si="74"/>
        <v>0.000183134652570299</v>
      </c>
    </row>
    <row r="279" ht="15" hidden="1" customHeight="1" spans="3:45">
      <c r="C279" s="221"/>
      <c r="D279" s="221"/>
      <c r="E279" s="221"/>
      <c r="F279" s="221"/>
      <c r="G279" s="221"/>
      <c r="I279" s="12">
        <v>638</v>
      </c>
      <c r="J279" s="230">
        <v>0.1911552</v>
      </c>
      <c r="L279" s="12">
        <v>638</v>
      </c>
      <c r="M279" s="230"/>
      <c r="N279" s="230">
        <v>0.0323125</v>
      </c>
      <c r="O279" s="230">
        <v>0.264158</v>
      </c>
      <c r="P279" s="232">
        <v>0.001757</v>
      </c>
      <c r="Q279" s="230">
        <v>0.000220508</v>
      </c>
      <c r="S279" s="12">
        <v>638</v>
      </c>
      <c r="T279" s="230">
        <v>3.55101085591543e-7</v>
      </c>
      <c r="U279" s="230">
        <v>0.0512974763591924</v>
      </c>
      <c r="V279" s="230">
        <v>0.304480861682193</v>
      </c>
      <c r="W279" s="232">
        <v>0.00186260601024593</v>
      </c>
      <c r="X279" s="230">
        <v>0.000220504775765746</v>
      </c>
      <c r="Z279" s="12">
        <v>638</v>
      </c>
      <c r="AA279" s="230">
        <f ca="1" t="shared" si="60"/>
        <v>3.55101085591543e-7</v>
      </c>
      <c r="AB279" s="230">
        <f ca="1" t="shared" si="61"/>
        <v>0.0512974763591924</v>
      </c>
      <c r="AC279" s="230">
        <f ca="1" t="shared" si="62"/>
        <v>0.304480861682193</v>
      </c>
      <c r="AD279" s="230">
        <f ca="1" t="shared" si="63"/>
        <v>0.00186260601024593</v>
      </c>
      <c r="AE279" s="230">
        <f ca="1" t="shared" si="64"/>
        <v>0.000220504775765746</v>
      </c>
      <c r="AG279" s="12">
        <v>638</v>
      </c>
      <c r="AH279" s="231">
        <f ca="1" t="shared" si="65"/>
        <v>5.56584773654456e-10</v>
      </c>
      <c r="AI279" s="231">
        <f ca="1" t="shared" si="66"/>
        <v>8.04035679611166e-5</v>
      </c>
      <c r="AJ279" s="231">
        <f ca="1" t="shared" si="67"/>
        <v>0.000477242729909393</v>
      </c>
      <c r="AK279" s="231">
        <f ca="1" t="shared" si="68"/>
        <v>2.91944515712528e-6</v>
      </c>
      <c r="AL279" s="231">
        <f ca="1" t="shared" si="69"/>
        <v>3.45618770792705e-7</v>
      </c>
      <c r="AN279" s="12">
        <v>638</v>
      </c>
      <c r="AO279" s="231">
        <f ca="1" t="shared" si="70"/>
        <v>2.44897300407961e-7</v>
      </c>
      <c r="AP279" s="231">
        <f ca="1" t="shared" si="71"/>
        <v>0.0436616944818487</v>
      </c>
      <c r="AQ279" s="231">
        <f ca="1" t="shared" si="72"/>
        <v>0.271682947439185</v>
      </c>
      <c r="AR279" s="231">
        <f ca="1" t="shared" si="73"/>
        <v>0.00148814083346187</v>
      </c>
      <c r="AS279" s="231">
        <f ca="1" t="shared" si="74"/>
        <v>0.000168930583632907</v>
      </c>
    </row>
    <row r="280" ht="15" hidden="1" customHeight="1" spans="3:45">
      <c r="C280" s="221"/>
      <c r="D280" s="221"/>
      <c r="E280" s="221"/>
      <c r="F280" s="221"/>
      <c r="G280" s="221"/>
      <c r="I280" s="12">
        <v>639</v>
      </c>
      <c r="J280" s="230">
        <v>0.1829744</v>
      </c>
      <c r="L280" s="12">
        <v>639</v>
      </c>
      <c r="M280" s="230"/>
      <c r="N280" s="230">
        <v>0.0301151</v>
      </c>
      <c r="O280" s="230">
        <v>0.253009</v>
      </c>
      <c r="P280" s="232">
        <v>0.001621</v>
      </c>
      <c r="Q280" s="230">
        <v>0.000203699</v>
      </c>
      <c r="S280" s="12">
        <v>639</v>
      </c>
      <c r="T280" s="230">
        <v>3.3137824991194e-7</v>
      </c>
      <c r="U280" s="230">
        <v>0.0478232404399097</v>
      </c>
      <c r="V280" s="230">
        <v>0.292088864238466</v>
      </c>
      <c r="W280" s="232">
        <v>0.00171886987427122</v>
      </c>
      <c r="X280" s="230">
        <v>0.000203766600477976</v>
      </c>
      <c r="Z280" s="12">
        <v>639</v>
      </c>
      <c r="AA280" s="230">
        <f ca="1" t="shared" si="60"/>
        <v>3.3137824991194e-7</v>
      </c>
      <c r="AB280" s="230">
        <f ca="1" t="shared" si="61"/>
        <v>0.0478232404399097</v>
      </c>
      <c r="AC280" s="230">
        <f ca="1" t="shared" si="62"/>
        <v>0.292088864238466</v>
      </c>
      <c r="AD280" s="230">
        <f ca="1" t="shared" si="63"/>
        <v>0.00171886987427122</v>
      </c>
      <c r="AE280" s="230">
        <f ca="1" t="shared" si="64"/>
        <v>0.000203766600477976</v>
      </c>
      <c r="AG280" s="12">
        <v>639</v>
      </c>
      <c r="AH280" s="231">
        <f ca="1" t="shared" si="65"/>
        <v>5.18588810503818e-10</v>
      </c>
      <c r="AI280" s="231">
        <f ca="1" t="shared" si="66"/>
        <v>7.48407518621435e-5</v>
      </c>
      <c r="AJ280" s="231">
        <f ca="1" t="shared" si="67"/>
        <v>0.000457103073925612</v>
      </c>
      <c r="AK280" s="231">
        <f ca="1" t="shared" si="68"/>
        <v>2.68993720543227e-6</v>
      </c>
      <c r="AL280" s="231">
        <f ca="1" t="shared" si="69"/>
        <v>3.18883568823124e-7</v>
      </c>
      <c r="AN280" s="12">
        <v>639</v>
      </c>
      <c r="AO280" s="231">
        <f ca="1" t="shared" si="70"/>
        <v>2.2817907662168e-7</v>
      </c>
      <c r="AP280" s="231">
        <f ca="1" t="shared" si="71"/>
        <v>0.0406409084255691</v>
      </c>
      <c r="AQ280" s="231">
        <f ca="1" t="shared" si="72"/>
        <v>0.260217919780988</v>
      </c>
      <c r="AR280" s="231">
        <f ca="1" t="shared" si="73"/>
        <v>0.00137115279767535</v>
      </c>
      <c r="AS280" s="231">
        <f ca="1" t="shared" si="74"/>
        <v>0.000155863025809278</v>
      </c>
    </row>
    <row r="281" ht="15" hidden="1" customHeight="1" spans="3:45">
      <c r="C281" s="221"/>
      <c r="D281" s="221"/>
      <c r="E281" s="221"/>
      <c r="F281" s="221"/>
      <c r="G281" s="221"/>
      <c r="I281" s="12">
        <v>640</v>
      </c>
      <c r="J281" s="230">
        <v>0.175</v>
      </c>
      <c r="L281" s="12">
        <v>640</v>
      </c>
      <c r="M281" s="230"/>
      <c r="N281" s="230">
        <v>0.0280314</v>
      </c>
      <c r="O281" s="230">
        <v>0.242316</v>
      </c>
      <c r="P281" s="232">
        <v>0.001497</v>
      </c>
      <c r="Q281" s="230">
        <v>0.000188341</v>
      </c>
      <c r="S281" s="12">
        <v>640</v>
      </c>
      <c r="T281" s="230">
        <v>3.09308603367384e-7</v>
      </c>
      <c r="U281" s="230">
        <v>0.0445618282041746</v>
      </c>
      <c r="V281" s="230">
        <v>0.279962588310584</v>
      </c>
      <c r="W281" s="232">
        <v>0.00158647780262159</v>
      </c>
      <c r="X281" s="230">
        <v>0.000188340621845903</v>
      </c>
      <c r="Z281" s="12">
        <v>640</v>
      </c>
      <c r="AA281" s="230">
        <f ca="1" t="shared" si="60"/>
        <v>3.09308603367384e-7</v>
      </c>
      <c r="AB281" s="230">
        <f ca="1" t="shared" si="61"/>
        <v>0.0445618282041746</v>
      </c>
      <c r="AC281" s="230">
        <f ca="1" t="shared" si="62"/>
        <v>0.279962588310584</v>
      </c>
      <c r="AD281" s="230">
        <f ca="1" t="shared" si="63"/>
        <v>0.00158647780262159</v>
      </c>
      <c r="AE281" s="230">
        <f ca="1" t="shared" si="64"/>
        <v>0.000188340621845903</v>
      </c>
      <c r="AG281" s="12">
        <v>640</v>
      </c>
      <c r="AH281" s="231">
        <f ca="1" t="shared" si="65"/>
        <v>4.83294692761538e-10</v>
      </c>
      <c r="AI281" s="231">
        <f ca="1" t="shared" si="66"/>
        <v>6.96278565690228e-5</v>
      </c>
      <c r="AJ281" s="231">
        <f ca="1" t="shared" si="67"/>
        <v>0.000437441544235288</v>
      </c>
      <c r="AK281" s="231">
        <f ca="1" t="shared" si="68"/>
        <v>2.47887156659623e-6</v>
      </c>
      <c r="AL281" s="231">
        <f ca="1" t="shared" si="69"/>
        <v>2.94282221634223e-7</v>
      </c>
      <c r="AN281" s="12">
        <v>640</v>
      </c>
      <c r="AO281" s="231">
        <f ca="1" t="shared" si="70"/>
        <v>2.12649664815077e-7</v>
      </c>
      <c r="AP281" s="231">
        <f ca="1" t="shared" si="71"/>
        <v>0.0378101404954174</v>
      </c>
      <c r="AQ281" s="231">
        <f ca="1" t="shared" si="72"/>
        <v>0.249025078061964</v>
      </c>
      <c r="AR281" s="231">
        <f ca="1" t="shared" si="73"/>
        <v>0.00126356543816423</v>
      </c>
      <c r="AS281" s="231">
        <f ca="1" t="shared" si="74"/>
        <v>0.000143838447603515</v>
      </c>
    </row>
    <row r="282" ht="15" hidden="1" customHeight="1" spans="3:45">
      <c r="C282" s="221"/>
      <c r="D282" s="221"/>
      <c r="E282" s="221"/>
      <c r="F282" s="221"/>
      <c r="G282" s="221"/>
      <c r="I282" s="12">
        <v>641</v>
      </c>
      <c r="J282" s="230">
        <v>0.1672235</v>
      </c>
      <c r="L282" s="12">
        <v>641</v>
      </c>
      <c r="M282" s="230"/>
      <c r="N282" s="230">
        <v>0.0260564</v>
      </c>
      <c r="O282" s="230">
        <v>0.232061</v>
      </c>
      <c r="P282" s="232">
        <v>0.001382</v>
      </c>
      <c r="Q282" s="230">
        <v>0.000174192</v>
      </c>
      <c r="S282" s="12">
        <v>641</v>
      </c>
      <c r="T282" s="230">
        <v>2.8870546176885e-7</v>
      </c>
      <c r="U282" s="230">
        <v>0.0414933978312615</v>
      </c>
      <c r="V282" s="230">
        <v>0.268047647484432</v>
      </c>
      <c r="W282" s="232">
        <v>0.00146418178582247</v>
      </c>
      <c r="X282" s="230">
        <v>0.000174081251401037</v>
      </c>
      <c r="Z282" s="12">
        <v>641</v>
      </c>
      <c r="AA282" s="230">
        <f ca="1" t="shared" si="60"/>
        <v>2.8870546176885e-7</v>
      </c>
      <c r="AB282" s="230">
        <f ca="1" t="shared" si="61"/>
        <v>0.0414933978312615</v>
      </c>
      <c r="AC282" s="230">
        <f ca="1" t="shared" si="62"/>
        <v>0.268047647484432</v>
      </c>
      <c r="AD282" s="230">
        <f ca="1" t="shared" si="63"/>
        <v>0.00146418178582247</v>
      </c>
      <c r="AE282" s="230">
        <f ca="1" t="shared" si="64"/>
        <v>0.000174081251401037</v>
      </c>
      <c r="AG282" s="12">
        <v>641</v>
      </c>
      <c r="AH282" s="231">
        <f ca="1" t="shared" si="65"/>
        <v>4.50398536300858e-10</v>
      </c>
      <c r="AI282" s="231">
        <f ca="1" t="shared" si="66"/>
        <v>6.47322899083643e-5</v>
      </c>
      <c r="AJ282" s="231">
        <f ca="1" t="shared" si="67"/>
        <v>0.000418171056917991</v>
      </c>
      <c r="AK282" s="231">
        <f ca="1" t="shared" si="68"/>
        <v>2.28421495448123e-6</v>
      </c>
      <c r="AL282" s="231">
        <f ca="1" t="shared" si="69"/>
        <v>2.71577615290229e-7</v>
      </c>
      <c r="AN282" s="12">
        <v>641</v>
      </c>
      <c r="AO282" s="231">
        <f ca="1" t="shared" si="70"/>
        <v>1.98175355972378e-7</v>
      </c>
      <c r="AP282" s="231">
        <f ca="1" t="shared" si="71"/>
        <v>0.035151692104712</v>
      </c>
      <c r="AQ282" s="231">
        <f ca="1" t="shared" si="72"/>
        <v>0.238054847475222</v>
      </c>
      <c r="AR282" s="231">
        <f ca="1" t="shared" si="73"/>
        <v>0.00116434231959162</v>
      </c>
      <c r="AS282" s="231">
        <f ca="1" t="shared" si="74"/>
        <v>0.000132740953124123</v>
      </c>
    </row>
    <row r="283" ht="15" hidden="1" customHeight="1" spans="3:45">
      <c r="C283" s="221"/>
      <c r="D283" s="221"/>
      <c r="E283" s="221"/>
      <c r="F283" s="221"/>
      <c r="G283" s="221"/>
      <c r="I283" s="12">
        <v>642</v>
      </c>
      <c r="J283" s="230">
        <v>0.1596464</v>
      </c>
      <c r="L283" s="12">
        <v>642</v>
      </c>
      <c r="M283" s="230"/>
      <c r="N283" s="230">
        <v>0.0242011</v>
      </c>
      <c r="O283" s="230">
        <v>0.222158</v>
      </c>
      <c r="P283" s="232">
        <v>0.001276</v>
      </c>
      <c r="Q283" s="230">
        <v>0.00016102</v>
      </c>
      <c r="S283" s="12">
        <v>642</v>
      </c>
      <c r="T283" s="230">
        <v>2.69533654643935e-7</v>
      </c>
      <c r="U283" s="230">
        <v>0.0386187310986604</v>
      </c>
      <c r="V283" s="230">
        <v>0.256419471064689</v>
      </c>
      <c r="W283" s="232">
        <v>0.00135153407610556</v>
      </c>
      <c r="X283" s="230">
        <v>0.000160937407089666</v>
      </c>
      <c r="Z283" s="12">
        <v>642</v>
      </c>
      <c r="AA283" s="230">
        <f ca="1" t="shared" si="60"/>
        <v>2.69533654643935e-7</v>
      </c>
      <c r="AB283" s="230">
        <f ca="1" t="shared" si="61"/>
        <v>0.0386187310986604</v>
      </c>
      <c r="AC283" s="230">
        <f ca="1" t="shared" si="62"/>
        <v>0.256419471064689</v>
      </c>
      <c r="AD283" s="230">
        <f ca="1" t="shared" si="63"/>
        <v>0.00135153407610556</v>
      </c>
      <c r="AE283" s="230">
        <f ca="1" t="shared" si="64"/>
        <v>0.000160937407089666</v>
      </c>
      <c r="AG283" s="12">
        <v>642</v>
      </c>
      <c r="AH283" s="231">
        <f ca="1" t="shared" si="65"/>
        <v>4.19834353027936e-10</v>
      </c>
      <c r="AI283" s="231">
        <f ca="1" t="shared" si="66"/>
        <v>6.0153786758038e-5</v>
      </c>
      <c r="AJ283" s="231">
        <f ca="1" t="shared" si="67"/>
        <v>0.000399407275801696</v>
      </c>
      <c r="AK283" s="231">
        <f ca="1" t="shared" si="68"/>
        <v>2.10519326496193e-6</v>
      </c>
      <c r="AL283" s="231">
        <f ca="1" t="shared" si="69"/>
        <v>2.50681319454308e-7</v>
      </c>
      <c r="AN283" s="12">
        <v>642</v>
      </c>
      <c r="AO283" s="231">
        <f ca="1" t="shared" si="70"/>
        <v>1.84727115332292e-7</v>
      </c>
      <c r="AP283" s="231">
        <f ca="1" t="shared" si="71"/>
        <v>0.0326654192837049</v>
      </c>
      <c r="AQ283" s="231">
        <f ca="1" t="shared" si="72"/>
        <v>0.227373072689996</v>
      </c>
      <c r="AR283" s="231">
        <f ca="1" t="shared" si="73"/>
        <v>0.00107308885466566</v>
      </c>
      <c r="AS283" s="231">
        <f ca="1" t="shared" si="74"/>
        <v>0.000122527319636475</v>
      </c>
    </row>
    <row r="284" ht="15" hidden="1" customHeight="1" spans="3:45">
      <c r="C284" s="221"/>
      <c r="D284" s="221"/>
      <c r="E284" s="221"/>
      <c r="F284" s="221"/>
      <c r="G284" s="221"/>
      <c r="I284" s="12">
        <v>643</v>
      </c>
      <c r="J284" s="230">
        <v>0.1522776</v>
      </c>
      <c r="L284" s="12">
        <v>643</v>
      </c>
      <c r="M284" s="230"/>
      <c r="N284" s="230">
        <v>0.022476</v>
      </c>
      <c r="O284" s="230">
        <v>0.212516</v>
      </c>
      <c r="P284" s="232">
        <v>0.001178</v>
      </c>
      <c r="Q284" s="230">
        <v>0.000148821</v>
      </c>
      <c r="S284" s="12">
        <v>643</v>
      </c>
      <c r="T284" s="230">
        <v>2.51690022743044e-7</v>
      </c>
      <c r="U284" s="230">
        <v>0.0359277483399823</v>
      </c>
      <c r="V284" s="230">
        <v>0.245084022680458</v>
      </c>
      <c r="W284" s="232">
        <v>0.00124776557623114</v>
      </c>
      <c r="X284" s="230">
        <v>0.000148819211790386</v>
      </c>
      <c r="Z284" s="12">
        <v>643</v>
      </c>
      <c r="AA284" s="230">
        <f ca="1" t="shared" si="60"/>
        <v>2.51690022743044e-7</v>
      </c>
      <c r="AB284" s="230">
        <f ca="1" t="shared" si="61"/>
        <v>0.0359277483399823</v>
      </c>
      <c r="AC284" s="230">
        <f ca="1" t="shared" si="62"/>
        <v>0.245084022680458</v>
      </c>
      <c r="AD284" s="230">
        <f ca="1" t="shared" si="63"/>
        <v>0.00124776557623114</v>
      </c>
      <c r="AE284" s="230">
        <f ca="1" t="shared" si="64"/>
        <v>0.000148819211790386</v>
      </c>
      <c r="AG284" s="12">
        <v>643</v>
      </c>
      <c r="AH284" s="231">
        <f ca="1" t="shared" si="65"/>
        <v>3.91430828527285e-10</v>
      </c>
      <c r="AI284" s="231">
        <f ca="1" t="shared" si="66"/>
        <v>5.58751918195681e-5</v>
      </c>
      <c r="AJ284" s="231">
        <f ca="1" t="shared" si="67"/>
        <v>0.000381157111478162</v>
      </c>
      <c r="AK284" s="231">
        <f ca="1" t="shared" si="68"/>
        <v>1.94053744359431e-6</v>
      </c>
      <c r="AL284" s="231">
        <f ca="1" t="shared" si="69"/>
        <v>2.31445119425173e-7</v>
      </c>
      <c r="AN284" s="12">
        <v>643</v>
      </c>
      <c r="AO284" s="231">
        <f ca="1" t="shared" si="70"/>
        <v>1.72229564552005e-7</v>
      </c>
      <c r="AP284" s="231">
        <f ca="1" t="shared" si="71"/>
        <v>0.0303420061597326</v>
      </c>
      <c r="AQ284" s="231">
        <f ca="1" t="shared" si="72"/>
        <v>0.216983687741987</v>
      </c>
      <c r="AR284" s="231">
        <f ca="1" t="shared" si="73"/>
        <v>0.000989158163025043</v>
      </c>
      <c r="AS284" s="231">
        <f ca="1" t="shared" si="74"/>
        <v>0.000113125103170199</v>
      </c>
    </row>
    <row r="285" ht="15" hidden="1" customHeight="1" spans="3:45">
      <c r="C285" s="221"/>
      <c r="D285" s="221"/>
      <c r="E285" s="221"/>
      <c r="F285" s="221"/>
      <c r="G285" s="221"/>
      <c r="I285" s="12">
        <v>644</v>
      </c>
      <c r="J285" s="230">
        <v>0.1451259</v>
      </c>
      <c r="L285" s="12">
        <v>644</v>
      </c>
      <c r="M285" s="230"/>
      <c r="N285" s="230">
        <v>0.020887</v>
      </c>
      <c r="O285" s="230">
        <v>0.20306</v>
      </c>
      <c r="P285" s="232">
        <v>0.001088</v>
      </c>
      <c r="Q285" s="230">
        <v>0.000137594</v>
      </c>
      <c r="S285" s="12">
        <v>644</v>
      </c>
      <c r="T285" s="230">
        <v>2.35079089526187e-7</v>
      </c>
      <c r="U285" s="230">
        <v>0.0334107327111731</v>
      </c>
      <c r="V285" s="230">
        <v>0.234047496480031</v>
      </c>
      <c r="W285" s="232">
        <v>0.00115216320058051</v>
      </c>
      <c r="X285" s="230">
        <v>0.000137644226630395</v>
      </c>
      <c r="Z285" s="12">
        <v>644</v>
      </c>
      <c r="AA285" s="230">
        <f ca="1" t="shared" si="60"/>
        <v>2.35079089526187e-7</v>
      </c>
      <c r="AB285" s="230">
        <f ca="1" t="shared" si="61"/>
        <v>0.0334107327111731</v>
      </c>
      <c r="AC285" s="230">
        <f ca="1" t="shared" si="62"/>
        <v>0.234047496480031</v>
      </c>
      <c r="AD285" s="230">
        <f ca="1" t="shared" si="63"/>
        <v>0.00115216320058051</v>
      </c>
      <c r="AE285" s="230">
        <f ca="1" t="shared" si="64"/>
        <v>0.000137644226630395</v>
      </c>
      <c r="AG285" s="12">
        <v>644</v>
      </c>
      <c r="AH285" s="231">
        <f ca="1" t="shared" si="65"/>
        <v>3.65029642121408e-10</v>
      </c>
      <c r="AI285" s="231">
        <f ca="1" t="shared" si="66"/>
        <v>5.18800197378464e-5</v>
      </c>
      <c r="AJ285" s="231">
        <f ca="1" t="shared" si="67"/>
        <v>0.000363427789565266</v>
      </c>
      <c r="AK285" s="231">
        <f ca="1" t="shared" si="68"/>
        <v>1.78907329282688e-6</v>
      </c>
      <c r="AL285" s="231">
        <f ca="1" t="shared" si="69"/>
        <v>2.1373327116521e-7</v>
      </c>
      <c r="AN285" s="12">
        <v>644</v>
      </c>
      <c r="AO285" s="231">
        <f ca="1" t="shared" si="70"/>
        <v>1.6061304253342e-7</v>
      </c>
      <c r="AP285" s="231">
        <f ca="1" t="shared" si="71"/>
        <v>0.0281725006606868</v>
      </c>
      <c r="AQ285" s="231">
        <f ca="1" t="shared" si="72"/>
        <v>0.206890806003781</v>
      </c>
      <c r="AR285" s="231">
        <f ca="1" t="shared" si="73"/>
        <v>0.00091195171610395</v>
      </c>
      <c r="AS285" s="231">
        <f ca="1" t="shared" si="74"/>
        <v>0.000104467955131305</v>
      </c>
    </row>
    <row r="286" ht="15" hidden="1" customHeight="1" spans="3:45">
      <c r="C286" s="221"/>
      <c r="D286" s="221"/>
      <c r="E286" s="221"/>
      <c r="F286" s="221"/>
      <c r="G286" s="221"/>
      <c r="I286" s="12">
        <v>645</v>
      </c>
      <c r="J286" s="230">
        <v>0.1382</v>
      </c>
      <c r="L286" s="12">
        <v>645</v>
      </c>
      <c r="M286" s="230"/>
      <c r="N286" s="230">
        <v>0.0194366</v>
      </c>
      <c r="O286" s="230">
        <v>0.19373</v>
      </c>
      <c r="P286" s="232">
        <v>0.001005</v>
      </c>
      <c r="Q286" s="230">
        <v>0.000127337</v>
      </c>
      <c r="S286" s="12">
        <v>645</v>
      </c>
      <c r="T286" s="230">
        <v>2.19611460410427e-7</v>
      </c>
      <c r="U286" s="230">
        <v>0.0310583228417201</v>
      </c>
      <c r="V286" s="230">
        <v>0.22331556794779</v>
      </c>
      <c r="W286" s="232">
        <v>0.00106407196248105</v>
      </c>
      <c r="X286" s="230">
        <v>0.000127336820009634</v>
      </c>
      <c r="Z286" s="12">
        <v>645</v>
      </c>
      <c r="AA286" s="230">
        <f ca="1" t="shared" si="60"/>
        <v>2.19611460410427e-7</v>
      </c>
      <c r="AB286" s="230">
        <f ca="1" t="shared" si="61"/>
        <v>0.0310583228417201</v>
      </c>
      <c r="AC286" s="230">
        <f ca="1" t="shared" si="62"/>
        <v>0.22331556794779</v>
      </c>
      <c r="AD286" s="230">
        <f ca="1" t="shared" si="63"/>
        <v>0.00106407196248105</v>
      </c>
      <c r="AE286" s="230">
        <f ca="1" t="shared" si="64"/>
        <v>0.000127336820009634</v>
      </c>
      <c r="AG286" s="12">
        <v>645</v>
      </c>
      <c r="AH286" s="231">
        <f ca="1" t="shared" si="65"/>
        <v>3.40482884357251e-10</v>
      </c>
      <c r="AI286" s="231">
        <f ca="1" t="shared" si="66"/>
        <v>4.81524385142947e-5</v>
      </c>
      <c r="AJ286" s="231">
        <f ca="1" t="shared" si="67"/>
        <v>0.00034622568674076</v>
      </c>
      <c r="AK286" s="231">
        <f ca="1" t="shared" si="68"/>
        <v>1.64972397283884e-6</v>
      </c>
      <c r="AL286" s="231">
        <f ca="1" t="shared" si="69"/>
        <v>1.97421426371526e-7</v>
      </c>
      <c r="AN286" s="12">
        <v>645</v>
      </c>
      <c r="AO286" s="231">
        <f ca="1" t="shared" si="70"/>
        <v>1.49812469117191e-7</v>
      </c>
      <c r="AP286" s="231">
        <f ca="1" t="shared" si="71"/>
        <v>0.0261483055078337</v>
      </c>
      <c r="AQ286" s="231">
        <f ca="1" t="shared" si="72"/>
        <v>0.197098057566522</v>
      </c>
      <c r="AR286" s="231">
        <f ca="1" t="shared" si="73"/>
        <v>0.000840920611894565</v>
      </c>
      <c r="AS286" s="231">
        <f ca="1" t="shared" si="74"/>
        <v>9.6495096901394e-5</v>
      </c>
    </row>
    <row r="287" ht="15" hidden="1" customHeight="1" spans="3:45">
      <c r="C287" s="221"/>
      <c r="D287" s="221"/>
      <c r="E287" s="221"/>
      <c r="F287" s="221"/>
      <c r="G287" s="221"/>
      <c r="I287" s="12">
        <v>646</v>
      </c>
      <c r="J287" s="230">
        <v>0.1315003</v>
      </c>
      <c r="L287" s="12">
        <v>646</v>
      </c>
      <c r="M287" s="230"/>
      <c r="N287" s="230">
        <v>0.01812</v>
      </c>
      <c r="O287" s="230">
        <v>0.184495</v>
      </c>
      <c r="P287" s="231">
        <v>0.000928</v>
      </c>
      <c r="Q287" s="230">
        <v>0.000117891</v>
      </c>
      <c r="S287" s="12">
        <v>646</v>
      </c>
      <c r="T287" s="230">
        <v>2.05205974048559e-7</v>
      </c>
      <c r="U287" s="230">
        <v>0.0288612409123016</v>
      </c>
      <c r="V287" s="230">
        <v>0.212891342179281</v>
      </c>
      <c r="W287" s="231">
        <v>0.000982892452067279</v>
      </c>
      <c r="X287" s="230">
        <v>0.000117827591388933</v>
      </c>
      <c r="Z287" s="12">
        <v>646</v>
      </c>
      <c r="AA287" s="230">
        <f ca="1" t="shared" si="60"/>
        <v>2.05205974048559e-7</v>
      </c>
      <c r="AB287" s="230">
        <f ca="1" t="shared" si="61"/>
        <v>0.0288612409123016</v>
      </c>
      <c r="AC287" s="230">
        <f ca="1" t="shared" si="62"/>
        <v>0.212891342179281</v>
      </c>
      <c r="AD287" s="230">
        <f ca="1" t="shared" si="63"/>
        <v>0.000982892452067279</v>
      </c>
      <c r="AE287" s="230">
        <f ca="1" t="shared" si="64"/>
        <v>0.000117827591388933</v>
      </c>
      <c r="AG287" s="12">
        <v>646</v>
      </c>
      <c r="AH287" s="231">
        <f ca="1" t="shared" si="65"/>
        <v>3.17656306576717e-10</v>
      </c>
      <c r="AI287" s="231">
        <f ca="1" t="shared" si="66"/>
        <v>4.46768435174947e-5</v>
      </c>
      <c r="AJ287" s="231">
        <f ca="1" t="shared" si="67"/>
        <v>0.000329553161268237</v>
      </c>
      <c r="AK287" s="231">
        <f ca="1" t="shared" si="68"/>
        <v>1.5215053437574e-6</v>
      </c>
      <c r="AL287" s="231">
        <f ca="1" t="shared" si="69"/>
        <v>1.8239565230485e-7</v>
      </c>
      <c r="AN287" s="12">
        <v>646</v>
      </c>
      <c r="AO287" s="231">
        <f ca="1" t="shared" si="70"/>
        <v>1.39768774893755e-7</v>
      </c>
      <c r="AP287" s="231">
        <f ca="1" t="shared" si="71"/>
        <v>0.0242609468900381</v>
      </c>
      <c r="AQ287" s="231">
        <f ca="1" t="shared" si="72"/>
        <v>0.187606784933642</v>
      </c>
      <c r="AR287" s="231">
        <f ca="1" t="shared" si="73"/>
        <v>0.000775563200716313</v>
      </c>
      <c r="AS287" s="231">
        <f ca="1" t="shared" si="74"/>
        <v>8.91508407523489e-5</v>
      </c>
    </row>
    <row r="288" ht="15" hidden="1" customHeight="1" spans="3:45">
      <c r="C288" s="221"/>
      <c r="D288" s="221"/>
      <c r="E288" s="221"/>
      <c r="F288" s="221"/>
      <c r="G288" s="221"/>
      <c r="I288" s="12">
        <v>647</v>
      </c>
      <c r="J288" s="230">
        <v>0.1250248</v>
      </c>
      <c r="L288" s="12">
        <v>647</v>
      </c>
      <c r="M288" s="230"/>
      <c r="N288" s="230">
        <v>0.0169149</v>
      </c>
      <c r="O288" s="230">
        <v>0.175402</v>
      </c>
      <c r="P288" s="231">
        <v>0.000857</v>
      </c>
      <c r="Q288" s="230">
        <v>0.000109096</v>
      </c>
      <c r="S288" s="12">
        <v>647</v>
      </c>
      <c r="T288" s="230">
        <v>1.91786485168173e-7</v>
      </c>
      <c r="U288" s="230">
        <v>0.0268106905475287</v>
      </c>
      <c r="V288" s="230">
        <v>0.202779010734093</v>
      </c>
      <c r="W288" s="231">
        <v>0.000908071404918604</v>
      </c>
      <c r="X288" s="230">
        <v>0.000109053096090195</v>
      </c>
      <c r="Z288" s="12">
        <v>647</v>
      </c>
      <c r="AA288" s="230">
        <f ca="1" t="shared" si="60"/>
        <v>1.91786485168173e-7</v>
      </c>
      <c r="AB288" s="230">
        <f ca="1" t="shared" si="61"/>
        <v>0.0268106905475287</v>
      </c>
      <c r="AC288" s="230">
        <f ca="1" t="shared" si="62"/>
        <v>0.202779010734093</v>
      </c>
      <c r="AD288" s="230">
        <f ca="1" t="shared" si="63"/>
        <v>0.000908071404918604</v>
      </c>
      <c r="AE288" s="230">
        <f ca="1" t="shared" si="64"/>
        <v>0.000109053096090195</v>
      </c>
      <c r="AG288" s="12">
        <v>647</v>
      </c>
      <c r="AH288" s="231">
        <f ca="1" t="shared" si="65"/>
        <v>2.96424242918351e-10</v>
      </c>
      <c r="AI288" s="231">
        <f ca="1" t="shared" si="66"/>
        <v>4.14384707071541e-5</v>
      </c>
      <c r="AJ288" s="231">
        <f ca="1" t="shared" si="67"/>
        <v>0.000313414236065059</v>
      </c>
      <c r="AK288" s="231">
        <f ca="1" t="shared" si="68"/>
        <v>1.40351067220804e-6</v>
      </c>
      <c r="AL288" s="231">
        <f ca="1" t="shared" si="69"/>
        <v>1.68551925950842e-7</v>
      </c>
      <c r="AN288" s="12">
        <v>647</v>
      </c>
      <c r="AO288" s="231">
        <f ca="1" t="shared" si="70"/>
        <v>1.30426666884074e-7</v>
      </c>
      <c r="AP288" s="231">
        <f ca="1" t="shared" si="71"/>
        <v>0.0225024074638798</v>
      </c>
      <c r="AQ288" s="231">
        <f ca="1" t="shared" si="72"/>
        <v>0.178419278256416</v>
      </c>
      <c r="AR288" s="231">
        <f ca="1" t="shared" si="73"/>
        <v>0.00071541728962257</v>
      </c>
      <c r="AS288" s="231">
        <f ca="1" t="shared" si="74"/>
        <v>8.23843426039037e-5</v>
      </c>
    </row>
    <row r="289" ht="15" hidden="1" customHeight="1" spans="3:45">
      <c r="C289" s="221"/>
      <c r="D289" s="221"/>
      <c r="E289" s="221"/>
      <c r="F289" s="221"/>
      <c r="G289" s="221"/>
      <c r="I289" s="12">
        <v>648</v>
      </c>
      <c r="J289" s="230">
        <v>0.1187792</v>
      </c>
      <c r="L289" s="12">
        <v>648</v>
      </c>
      <c r="M289" s="230"/>
      <c r="N289" s="230">
        <v>0.0157991</v>
      </c>
      <c r="O289" s="230">
        <v>0.166509</v>
      </c>
      <c r="P289" s="231">
        <v>0.000792</v>
      </c>
      <c r="Q289" s="230">
        <v>0.000100949</v>
      </c>
      <c r="S289" s="12">
        <v>648</v>
      </c>
      <c r="T289" s="230">
        <v>1.79282541455965e-7</v>
      </c>
      <c r="U289" s="230">
        <v>0.0248980881387157</v>
      </c>
      <c r="V289" s="230">
        <v>0.192981643194478</v>
      </c>
      <c r="W289" s="231">
        <v>0.000839100538879648</v>
      </c>
      <c r="X289" s="230">
        <v>0.000100954573877865</v>
      </c>
      <c r="Z289" s="12">
        <v>648</v>
      </c>
      <c r="AA289" s="230">
        <f ca="1" t="shared" si="60"/>
        <v>1.79282541455965e-7</v>
      </c>
      <c r="AB289" s="230">
        <f ca="1" t="shared" si="61"/>
        <v>0.0248980881387157</v>
      </c>
      <c r="AC289" s="230">
        <f ca="1" t="shared" si="62"/>
        <v>0.192981643194478</v>
      </c>
      <c r="AD289" s="230">
        <f ca="1" t="shared" si="63"/>
        <v>0.000839100538879648</v>
      </c>
      <c r="AE289" s="230">
        <f ca="1" t="shared" si="64"/>
        <v>0.000100954573877865</v>
      </c>
      <c r="AG289" s="12">
        <v>648</v>
      </c>
      <c r="AH289" s="231">
        <f ca="1" t="shared" si="65"/>
        <v>2.76670588666613e-10</v>
      </c>
      <c r="AI289" s="231">
        <f ca="1" t="shared" si="66"/>
        <v>3.84229755227094e-5</v>
      </c>
      <c r="AJ289" s="231">
        <f ca="1" t="shared" si="67"/>
        <v>0.000297811177769256</v>
      </c>
      <c r="AK289" s="231">
        <f ca="1" t="shared" si="68"/>
        <v>1.2949082390118e-6</v>
      </c>
      <c r="AL289" s="231">
        <f ca="1" t="shared" si="69"/>
        <v>1.55794095490532e-7</v>
      </c>
      <c r="AN289" s="12">
        <v>648</v>
      </c>
      <c r="AO289" s="231">
        <f ca="1" t="shared" si="70"/>
        <v>1.2173505901331e-7</v>
      </c>
      <c r="AP289" s="231">
        <f ca="1" t="shared" si="71"/>
        <v>0.0208648976767721</v>
      </c>
      <c r="AQ289" s="231">
        <f ca="1" t="shared" si="72"/>
        <v>0.169536827878023</v>
      </c>
      <c r="AR289" s="231">
        <f ca="1" t="shared" si="73"/>
        <v>0.000660058922962318</v>
      </c>
      <c r="AS289" s="231">
        <f ca="1" t="shared" si="74"/>
        <v>7.61486056368208e-5</v>
      </c>
    </row>
    <row r="290" ht="15" hidden="1" customHeight="1" spans="3:45">
      <c r="C290" s="221"/>
      <c r="D290" s="221"/>
      <c r="E290" s="221"/>
      <c r="F290" s="221"/>
      <c r="G290" s="221"/>
      <c r="I290" s="12">
        <v>649</v>
      </c>
      <c r="J290" s="230">
        <v>0.1127691</v>
      </c>
      <c r="L290" s="12">
        <v>649</v>
      </c>
      <c r="M290" s="230"/>
      <c r="N290" s="230">
        <v>0.0147543</v>
      </c>
      <c r="O290" s="230">
        <v>0.157865</v>
      </c>
      <c r="P290" s="231">
        <v>0.000732</v>
      </c>
      <c r="Q290" s="230">
        <v>9.34437e-5</v>
      </c>
      <c r="S290" s="12">
        <v>649</v>
      </c>
      <c r="T290" s="230">
        <v>1.67629326456993e-7</v>
      </c>
      <c r="U290" s="230">
        <v>0.0231153247887056</v>
      </c>
      <c r="V290" s="230">
        <v>0.183500816070397</v>
      </c>
      <c r="W290" s="231">
        <v>0.00077551463866854</v>
      </c>
      <c r="X290" s="230">
        <v>9.34783418224124e-5</v>
      </c>
      <c r="Z290" s="12">
        <v>649</v>
      </c>
      <c r="AA290" s="230">
        <f ca="1" t="shared" si="60"/>
        <v>1.67629326456993e-7</v>
      </c>
      <c r="AB290" s="230">
        <f ca="1" t="shared" si="61"/>
        <v>0.0231153247887056</v>
      </c>
      <c r="AC290" s="230">
        <f ca="1" t="shared" si="62"/>
        <v>0.183500816070397</v>
      </c>
      <c r="AD290" s="230">
        <f ca="1" t="shared" si="63"/>
        <v>0.00077551463866854</v>
      </c>
      <c r="AE290" s="230">
        <f ca="1" t="shared" si="64"/>
        <v>9.34783418224124e-5</v>
      </c>
      <c r="AG290" s="12">
        <v>649</v>
      </c>
      <c r="AH290" s="231">
        <f ca="1" t="shared" si="65"/>
        <v>2.58288638608618e-10</v>
      </c>
      <c r="AI290" s="231">
        <f ca="1" t="shared" si="66"/>
        <v>3.56168332645695e-5</v>
      </c>
      <c r="AJ290" s="231">
        <f ca="1" t="shared" si="67"/>
        <v>0.000282743938475188</v>
      </c>
      <c r="AK290" s="231">
        <f ca="1" t="shared" si="68"/>
        <v>1.19493780996693e-6</v>
      </c>
      <c r="AL290" s="231">
        <f ca="1" t="shared" si="69"/>
        <v>1.44034424996013e-7</v>
      </c>
      <c r="AN290" s="12">
        <v>649</v>
      </c>
      <c r="AO290" s="231">
        <f ca="1" t="shared" si="70"/>
        <v>1.13647000987792e-7</v>
      </c>
      <c r="AP290" s="231">
        <f ca="1" t="shared" si="71"/>
        <v>0.0193410731867102</v>
      </c>
      <c r="AQ290" s="231">
        <f ca="1" t="shared" si="72"/>
        <v>0.160959406526919</v>
      </c>
      <c r="AR290" s="231">
        <f ca="1" t="shared" si="73"/>
        <v>0.00060910058341712</v>
      </c>
      <c r="AS290" s="231">
        <f ca="1" t="shared" si="74"/>
        <v>7.04007465277409e-5</v>
      </c>
    </row>
    <row r="291" ht="15" hidden="1" customHeight="1" spans="3:45">
      <c r="C291" s="221"/>
      <c r="D291" s="221"/>
      <c r="E291" s="221"/>
      <c r="F291" s="221"/>
      <c r="G291" s="221"/>
      <c r="I291" s="12">
        <v>650</v>
      </c>
      <c r="J291" s="230">
        <v>0.107</v>
      </c>
      <c r="L291" s="12">
        <v>650</v>
      </c>
      <c r="M291" s="230"/>
      <c r="N291" s="230">
        <v>0.013766</v>
      </c>
      <c r="O291" s="230">
        <v>0.149509</v>
      </c>
      <c r="P291" s="231">
        <v>0.000677</v>
      </c>
      <c r="Q291" s="230">
        <v>8.65751e-5</v>
      </c>
      <c r="S291" s="12">
        <v>650</v>
      </c>
      <c r="T291" s="230">
        <v>1.56766766284493e-7</v>
      </c>
      <c r="U291" s="230">
        <v>0.0214544803535294</v>
      </c>
      <c r="V291" s="230">
        <v>0.17433757470123</v>
      </c>
      <c r="W291" s="231">
        <v>0.000716882534923488</v>
      </c>
      <c r="X291" s="230">
        <v>8.65750996290546e-5</v>
      </c>
      <c r="Z291" s="12">
        <v>650</v>
      </c>
      <c r="AA291" s="230">
        <f ca="1" t="shared" si="60"/>
        <v>1.56766766284493e-7</v>
      </c>
      <c r="AB291" s="230">
        <f ca="1" t="shared" si="61"/>
        <v>0.0214544803535294</v>
      </c>
      <c r="AC291" s="230">
        <f ca="1" t="shared" si="62"/>
        <v>0.17433757470123</v>
      </c>
      <c r="AD291" s="230">
        <f ca="1" t="shared" si="63"/>
        <v>0.000716882534923488</v>
      </c>
      <c r="AE291" s="230">
        <f ca="1" t="shared" si="64"/>
        <v>8.65750996290546e-5</v>
      </c>
      <c r="AG291" s="12">
        <v>650</v>
      </c>
      <c r="AH291" s="231">
        <f ca="1" t="shared" si="65"/>
        <v>2.41179640437682e-10</v>
      </c>
      <c r="AI291" s="231">
        <f ca="1" t="shared" si="66"/>
        <v>3.30068928515837e-5</v>
      </c>
      <c r="AJ291" s="231">
        <f ca="1" t="shared" si="67"/>
        <v>0.000268211653386508</v>
      </c>
      <c r="AK291" s="231">
        <f ca="1" t="shared" si="68"/>
        <v>1.1028962075746e-6</v>
      </c>
      <c r="AL291" s="231">
        <f ca="1" t="shared" si="69"/>
        <v>1.33192460967776e-7</v>
      </c>
      <c r="AN291" s="12">
        <v>650</v>
      </c>
      <c r="AO291" s="231">
        <f ca="1" t="shared" si="70"/>
        <v>1.0611904179258e-7</v>
      </c>
      <c r="AP291" s="231">
        <f ca="1" t="shared" si="71"/>
        <v>0.0179237925383846</v>
      </c>
      <c r="AQ291" s="231">
        <f ca="1" t="shared" si="72"/>
        <v>0.152686521895091</v>
      </c>
      <c r="AR291" s="231">
        <f ca="1" t="shared" si="73"/>
        <v>0.000562183837417284</v>
      </c>
      <c r="AS291" s="231">
        <f ca="1" t="shared" si="74"/>
        <v>6.51014414384478e-5</v>
      </c>
    </row>
    <row r="292" ht="15" hidden="1" customHeight="1" spans="3:45">
      <c r="C292" s="221"/>
      <c r="D292" s="221"/>
      <c r="E292" s="221"/>
      <c r="F292" s="221"/>
      <c r="G292" s="221"/>
      <c r="I292" s="12">
        <v>651</v>
      </c>
      <c r="J292" s="230">
        <v>0.1014762</v>
      </c>
      <c r="L292" s="12">
        <v>651</v>
      </c>
      <c r="M292" s="230"/>
      <c r="N292" s="230">
        <v>0.0128246</v>
      </c>
      <c r="O292" s="230">
        <v>0.14147</v>
      </c>
      <c r="P292" s="231">
        <v>0.000626</v>
      </c>
      <c r="Q292" s="230">
        <v>8.02405e-5</v>
      </c>
      <c r="S292" s="12">
        <v>651</v>
      </c>
      <c r="T292" s="230">
        <v>1.46639172097371e-7</v>
      </c>
      <c r="U292" s="230">
        <v>0.0199081085457941</v>
      </c>
      <c r="V292" s="230">
        <v>0.165492379338374</v>
      </c>
      <c r="W292" s="231">
        <v>0.000662809920456999</v>
      </c>
      <c r="X292" s="230">
        <v>8.01995626564924e-5</v>
      </c>
      <c r="Z292" s="12">
        <v>651</v>
      </c>
      <c r="AA292" s="230">
        <f ca="1" t="shared" si="60"/>
        <v>1.46639172097371e-7</v>
      </c>
      <c r="AB292" s="230">
        <f ca="1" t="shared" si="61"/>
        <v>0.0199081085457941</v>
      </c>
      <c r="AC292" s="230">
        <f ca="1" t="shared" si="62"/>
        <v>0.165492379338374</v>
      </c>
      <c r="AD292" s="230">
        <f ca="1" t="shared" si="63"/>
        <v>0.000662809920456999</v>
      </c>
      <c r="AE292" s="230">
        <f ca="1" t="shared" si="64"/>
        <v>8.01995626564924e-5</v>
      </c>
      <c r="AG292" s="12">
        <v>651</v>
      </c>
      <c r="AH292" s="231">
        <f ca="1" t="shared" si="65"/>
        <v>2.25252184481369e-10</v>
      </c>
      <c r="AI292" s="231">
        <f ca="1" t="shared" si="66"/>
        <v>3.05808118983012e-5</v>
      </c>
      <c r="AJ292" s="231">
        <f ca="1" t="shared" si="67"/>
        <v>0.000254212564267856</v>
      </c>
      <c r="AK292" s="231">
        <f ca="1" t="shared" si="68"/>
        <v>1.01814119885868e-6</v>
      </c>
      <c r="AL292" s="231">
        <f ca="1" t="shared" si="69"/>
        <v>1.23194412682784e-7</v>
      </c>
      <c r="AN292" s="12">
        <v>651</v>
      </c>
      <c r="AO292" s="231">
        <f ca="1" t="shared" si="70"/>
        <v>9.91109611718022e-8</v>
      </c>
      <c r="AP292" s="231">
        <f ca="1" t="shared" si="71"/>
        <v>0.0166063534239702</v>
      </c>
      <c r="AQ292" s="231">
        <f ca="1" t="shared" si="72"/>
        <v>0.144717173060922</v>
      </c>
      <c r="AR292" s="231">
        <f ca="1" t="shared" si="73"/>
        <v>0.000518981316896306</v>
      </c>
      <c r="AS292" s="231">
        <f ca="1" t="shared" si="74"/>
        <v>6.02146231441176e-5</v>
      </c>
    </row>
    <row r="293" ht="15" hidden="1" customHeight="1" spans="3:45">
      <c r="C293" s="221"/>
      <c r="D293" s="221"/>
      <c r="E293" s="221"/>
      <c r="F293" s="221"/>
      <c r="G293" s="221"/>
      <c r="I293" s="12">
        <v>652</v>
      </c>
      <c r="J293" s="230">
        <v>0.09618864</v>
      </c>
      <c r="L293" s="12">
        <v>652</v>
      </c>
      <c r="M293" s="230"/>
      <c r="N293" s="230">
        <v>0.0119304</v>
      </c>
      <c r="O293" s="230">
        <v>0.13376</v>
      </c>
      <c r="P293" s="231">
        <v>0.000579</v>
      </c>
      <c r="Q293" s="230">
        <v>7.43383e-5</v>
      </c>
      <c r="S293" s="12">
        <v>652</v>
      </c>
      <c r="T293" s="230">
        <v>1.37194278471508e-7</v>
      </c>
      <c r="U293" s="230">
        <v>0.0184690688378418</v>
      </c>
      <c r="V293" s="230">
        <v>0.15696506347543</v>
      </c>
      <c r="W293" s="231">
        <v>0.000612932994107832</v>
      </c>
      <c r="X293" s="230">
        <v>7.43102975000889e-5</v>
      </c>
      <c r="Z293" s="12">
        <v>652</v>
      </c>
      <c r="AA293" s="230">
        <f ca="1" t="shared" si="60"/>
        <v>1.37194278471508e-7</v>
      </c>
      <c r="AB293" s="230">
        <f ca="1" t="shared" si="61"/>
        <v>0.0184690688378418</v>
      </c>
      <c r="AC293" s="230">
        <f ca="1" t="shared" si="62"/>
        <v>0.15696506347543</v>
      </c>
      <c r="AD293" s="230">
        <f ca="1" t="shared" si="63"/>
        <v>0.000612932994107832</v>
      </c>
      <c r="AE293" s="230">
        <f ca="1" t="shared" si="64"/>
        <v>7.43102975000889e-5</v>
      </c>
      <c r="AG293" s="12">
        <v>652</v>
      </c>
      <c r="AH293" s="231">
        <f ca="1" t="shared" si="65"/>
        <v>2.10420672502313e-10</v>
      </c>
      <c r="AI293" s="231">
        <f ca="1" t="shared" si="66"/>
        <v>2.83267926960764e-5</v>
      </c>
      <c r="AJ293" s="231">
        <f ca="1" t="shared" si="67"/>
        <v>0.000240743962385629</v>
      </c>
      <c r="AK293" s="231">
        <f ca="1" t="shared" si="68"/>
        <v>9.40081279306491e-7</v>
      </c>
      <c r="AL293" s="231">
        <f ca="1" t="shared" si="69"/>
        <v>1.13972848926517e-7</v>
      </c>
      <c r="AN293" s="12">
        <v>652</v>
      </c>
      <c r="AO293" s="231">
        <f ca="1" t="shared" si="70"/>
        <v>9.25850959010177e-8</v>
      </c>
      <c r="AP293" s="231">
        <f ca="1" t="shared" si="71"/>
        <v>0.0153823493124692</v>
      </c>
      <c r="AQ293" s="231">
        <f ca="1" t="shared" si="72"/>
        <v>0.137049818006727</v>
      </c>
      <c r="AR293" s="231">
        <f ca="1" t="shared" si="73"/>
        <v>0.000479191511816788</v>
      </c>
      <c r="AS293" s="231">
        <f ca="1" t="shared" si="74"/>
        <v>5.57073328028512e-5</v>
      </c>
    </row>
    <row r="294" ht="15" hidden="1" customHeight="1" spans="3:45">
      <c r="C294" s="221"/>
      <c r="D294" s="221"/>
      <c r="E294" s="221"/>
      <c r="F294" s="221"/>
      <c r="G294" s="221"/>
      <c r="I294" s="12">
        <v>653</v>
      </c>
      <c r="J294" s="230">
        <v>0.09112296</v>
      </c>
      <c r="L294" s="12">
        <v>653</v>
      </c>
      <c r="M294" s="230"/>
      <c r="N294" s="230">
        <v>0.011085</v>
      </c>
      <c r="O294" s="230">
        <v>0.126383</v>
      </c>
      <c r="P294" s="231">
        <v>0.000536</v>
      </c>
      <c r="Q294" s="230">
        <v>6.8865e-5</v>
      </c>
      <c r="S294" s="12">
        <v>653</v>
      </c>
      <c r="T294" s="230">
        <v>1.28384620004389e-7</v>
      </c>
      <c r="U294" s="230">
        <v>0.0171305773424175</v>
      </c>
      <c r="V294" s="230">
        <v>0.14875411893946</v>
      </c>
      <c r="W294" s="231">
        <v>0.000566921594588069</v>
      </c>
      <c r="X294" s="230">
        <v>6.88687182199131e-5</v>
      </c>
      <c r="Z294" s="12">
        <v>653</v>
      </c>
      <c r="AA294" s="230">
        <f ca="1" t="shared" si="60"/>
        <v>1.28384620004389e-7</v>
      </c>
      <c r="AB294" s="230">
        <f ca="1" t="shared" si="61"/>
        <v>0.0171305773424175</v>
      </c>
      <c r="AC294" s="230">
        <f ca="1" t="shared" si="62"/>
        <v>0.14875411893946</v>
      </c>
      <c r="AD294" s="230">
        <f ca="1" t="shared" si="63"/>
        <v>0.000566921594588069</v>
      </c>
      <c r="AE294" s="230">
        <f ca="1" t="shared" si="64"/>
        <v>6.88687182199131e-5</v>
      </c>
      <c r="AG294" s="12">
        <v>653</v>
      </c>
      <c r="AH294" s="231">
        <f ca="1" t="shared" si="65"/>
        <v>1.9660738132372e-10</v>
      </c>
      <c r="AI294" s="231">
        <f ca="1" t="shared" si="66"/>
        <v>2.62336559608231e-5</v>
      </c>
      <c r="AJ294" s="231">
        <f ca="1" t="shared" si="67"/>
        <v>0.000227801100979265</v>
      </c>
      <c r="AK294" s="231">
        <f ca="1" t="shared" si="68"/>
        <v>8.68180083595818e-7</v>
      </c>
      <c r="AL294" s="231">
        <f ca="1" t="shared" si="69"/>
        <v>1.05465112128504e-7</v>
      </c>
      <c r="AN294" s="12">
        <v>653</v>
      </c>
      <c r="AO294" s="231">
        <f ca="1" t="shared" si="70"/>
        <v>8.65072477824367e-8</v>
      </c>
      <c r="AP294" s="231">
        <f ca="1" t="shared" si="71"/>
        <v>0.0142457094970874</v>
      </c>
      <c r="AQ294" s="231">
        <f ca="1" t="shared" si="72"/>
        <v>0.129681754514497</v>
      </c>
      <c r="AR294" s="231">
        <f ca="1" t="shared" si="73"/>
        <v>0.000442541018468543</v>
      </c>
      <c r="AS294" s="231">
        <f ca="1" t="shared" si="74"/>
        <v>5.15489448212405e-5</v>
      </c>
    </row>
    <row r="295" ht="15" hidden="1" customHeight="1" spans="3:45">
      <c r="C295" s="221"/>
      <c r="D295" s="221"/>
      <c r="E295" s="221"/>
      <c r="F295" s="221"/>
      <c r="G295" s="221"/>
      <c r="I295" s="12">
        <v>654</v>
      </c>
      <c r="J295" s="230">
        <v>0.08626485</v>
      </c>
      <c r="L295" s="12">
        <v>654</v>
      </c>
      <c r="M295" s="230"/>
      <c r="N295" s="230">
        <v>0.0102892</v>
      </c>
      <c r="O295" s="230">
        <v>0.119343</v>
      </c>
      <c r="P295" s="231">
        <v>0.000496</v>
      </c>
      <c r="Q295" s="230">
        <v>6.38172e-5</v>
      </c>
      <c r="S295" s="12">
        <v>654</v>
      </c>
      <c r="T295" s="230">
        <v>1.20165279238174e-7</v>
      </c>
      <c r="U295" s="230">
        <v>0.0158861258971534</v>
      </c>
      <c r="V295" s="230">
        <v>0.140857507758809</v>
      </c>
      <c r="W295" s="231">
        <v>0.000524466798161252</v>
      </c>
      <c r="X295" s="230">
        <v>6.38398708863642e-5</v>
      </c>
      <c r="Z295" s="12">
        <v>654</v>
      </c>
      <c r="AA295" s="230">
        <f ca="1" t="shared" si="60"/>
        <v>1.20165279238174e-7</v>
      </c>
      <c r="AB295" s="230">
        <f ca="1" t="shared" si="61"/>
        <v>0.0158861258971534</v>
      </c>
      <c r="AC295" s="230">
        <f ca="1" t="shared" si="62"/>
        <v>0.140857507758809</v>
      </c>
      <c r="AD295" s="230">
        <f ca="1" t="shared" si="63"/>
        <v>0.000524466798161252</v>
      </c>
      <c r="AE295" s="230">
        <f ca="1" t="shared" si="64"/>
        <v>6.38398708863642e-5</v>
      </c>
      <c r="AG295" s="12">
        <v>654</v>
      </c>
      <c r="AH295" s="231">
        <f ca="1" t="shared" si="65"/>
        <v>1.83738959079777e-10</v>
      </c>
      <c r="AI295" s="231">
        <f ca="1" t="shared" si="66"/>
        <v>2.42907123809685e-5</v>
      </c>
      <c r="AJ295" s="231">
        <f ca="1" t="shared" si="67"/>
        <v>0.000215378452230595</v>
      </c>
      <c r="AK295" s="231">
        <f ca="1" t="shared" si="68"/>
        <v>8.01937000246563e-7</v>
      </c>
      <c r="AL295" s="231">
        <f ca="1" t="shared" si="69"/>
        <v>9.76144814776211e-8</v>
      </c>
      <c r="AN295" s="12">
        <v>654</v>
      </c>
      <c r="AO295" s="231">
        <f ca="1" t="shared" si="70"/>
        <v>8.08451419951018e-8</v>
      </c>
      <c r="AP295" s="231">
        <f ca="1" t="shared" si="71"/>
        <v>0.013190629341688</v>
      </c>
      <c r="AQ295" s="231">
        <f ca="1" t="shared" si="72"/>
        <v>0.122609835728681</v>
      </c>
      <c r="AR295" s="231">
        <f ca="1" t="shared" si="73"/>
        <v>0.000408774658094946</v>
      </c>
      <c r="AS295" s="231">
        <f ca="1" t="shared" si="74"/>
        <v>4.77117353586345e-5</v>
      </c>
    </row>
    <row r="296" ht="15" hidden="1" customHeight="1" spans="3:45">
      <c r="C296" s="221"/>
      <c r="D296" s="221"/>
      <c r="E296" s="221"/>
      <c r="F296" s="221"/>
      <c r="G296" s="221"/>
      <c r="I296" s="12">
        <v>655</v>
      </c>
      <c r="J296" s="230">
        <v>0.0816</v>
      </c>
      <c r="L296" s="12">
        <v>655</v>
      </c>
      <c r="M296" s="230"/>
      <c r="N296" s="230">
        <v>0.00954315</v>
      </c>
      <c r="O296" s="230">
        <v>0.112638</v>
      </c>
      <c r="P296" s="231">
        <v>0.000459</v>
      </c>
      <c r="Q296" s="230">
        <v>5.91914e-5</v>
      </c>
      <c r="S296" s="12">
        <v>655</v>
      </c>
      <c r="T296" s="230">
        <v>1.12495720093046e-7</v>
      </c>
      <c r="U296" s="230">
        <v>0.0147296355030056</v>
      </c>
      <c r="V296" s="230">
        <v>0.133272946641167</v>
      </c>
      <c r="W296" s="231">
        <v>0.000485287382745341</v>
      </c>
      <c r="X296" s="230">
        <v>5.91913165799909e-5</v>
      </c>
      <c r="Z296" s="12">
        <v>655</v>
      </c>
      <c r="AA296" s="230">
        <f ca="1" t="shared" si="60"/>
        <v>1.12495720093046e-7</v>
      </c>
      <c r="AB296" s="230">
        <f ca="1" t="shared" si="61"/>
        <v>0.0147296355030056</v>
      </c>
      <c r="AC296" s="230">
        <f ca="1" t="shared" si="62"/>
        <v>0.133272946641167</v>
      </c>
      <c r="AD296" s="230">
        <f ca="1" t="shared" si="63"/>
        <v>0.000485287382745341</v>
      </c>
      <c r="AE296" s="230">
        <f ca="1" t="shared" si="64"/>
        <v>5.91913165799909e-5</v>
      </c>
      <c r="AG296" s="12">
        <v>655</v>
      </c>
      <c r="AH296" s="231">
        <f ca="1" t="shared" si="65"/>
        <v>1.7174919098175e-10</v>
      </c>
      <c r="AI296" s="231">
        <f ca="1" t="shared" si="66"/>
        <v>2.24879931343597e-5</v>
      </c>
      <c r="AJ296" s="231">
        <f ca="1" t="shared" si="67"/>
        <v>0.000203470147543766</v>
      </c>
      <c r="AK296" s="231">
        <f ca="1" t="shared" si="68"/>
        <v>7.40896767550139e-7</v>
      </c>
      <c r="AL296" s="231">
        <f ca="1" t="shared" si="69"/>
        <v>9.03684222595281e-8</v>
      </c>
      <c r="AN296" s="12">
        <v>655</v>
      </c>
      <c r="AO296" s="231">
        <f ca="1" t="shared" si="70"/>
        <v>7.55696440319698e-8</v>
      </c>
      <c r="AP296" s="231">
        <f ca="1" t="shared" si="71"/>
        <v>0.012211695458803</v>
      </c>
      <c r="AQ296" s="231">
        <f ca="1" t="shared" si="72"/>
        <v>0.115830720797091</v>
      </c>
      <c r="AR296" s="231">
        <f ca="1" t="shared" si="73"/>
        <v>0.000377660368265639</v>
      </c>
      <c r="AS296" s="231">
        <f ca="1" t="shared" si="74"/>
        <v>4.41700266431515e-5</v>
      </c>
    </row>
    <row r="297" ht="15" hidden="1" customHeight="1" spans="3:45">
      <c r="C297" s="221"/>
      <c r="D297" s="221"/>
      <c r="E297" s="221"/>
      <c r="F297" s="221"/>
      <c r="G297" s="221"/>
      <c r="I297" s="12">
        <v>656</v>
      </c>
      <c r="J297" s="230">
        <v>0.07712064</v>
      </c>
      <c r="L297" s="12">
        <v>656</v>
      </c>
      <c r="M297" s="230"/>
      <c r="N297" s="230">
        <v>0.00884609</v>
      </c>
      <c r="O297" s="230">
        <v>0.106264</v>
      </c>
      <c r="P297" s="231">
        <v>0.000425</v>
      </c>
      <c r="Q297" s="230">
        <v>5.49203e-5</v>
      </c>
      <c r="S297" s="12">
        <v>656</v>
      </c>
      <c r="T297" s="230">
        <v>1.05337013223319e-7</v>
      </c>
      <c r="U297" s="230">
        <v>0.0136553237136456</v>
      </c>
      <c r="V297" s="230">
        <v>0.125996650508956</v>
      </c>
      <c r="W297" s="231">
        <v>0.000449124761925931</v>
      </c>
      <c r="X297" s="230">
        <v>5.48936362301804e-5</v>
      </c>
      <c r="Z297" s="12">
        <v>656</v>
      </c>
      <c r="AA297" s="230">
        <f ca="1" t="shared" si="60"/>
        <v>1.05337013223319e-7</v>
      </c>
      <c r="AB297" s="230">
        <f ca="1" t="shared" si="61"/>
        <v>0.0136553237136456</v>
      </c>
      <c r="AC297" s="230">
        <f ca="1" t="shared" si="62"/>
        <v>0.125996650508956</v>
      </c>
      <c r="AD297" s="230">
        <f ca="1" t="shared" si="63"/>
        <v>0.000449124761925931</v>
      </c>
      <c r="AE297" s="230">
        <f ca="1" t="shared" si="64"/>
        <v>5.48936362301804e-5</v>
      </c>
      <c r="AG297" s="12">
        <v>656</v>
      </c>
      <c r="AH297" s="231">
        <f ca="1" t="shared" si="65"/>
        <v>1.6057471527945e-10</v>
      </c>
      <c r="AI297" s="231">
        <f ca="1" t="shared" si="66"/>
        <v>2.0816042246411e-5</v>
      </c>
      <c r="AJ297" s="231">
        <f ca="1" t="shared" si="67"/>
        <v>0.000192068064800238</v>
      </c>
      <c r="AK297" s="231">
        <f ca="1" t="shared" si="68"/>
        <v>6.84641405374895e-7</v>
      </c>
      <c r="AL297" s="231">
        <f ca="1" t="shared" si="69"/>
        <v>8.36793235216165e-8</v>
      </c>
      <c r="AN297" s="12">
        <v>656</v>
      </c>
      <c r="AO297" s="231">
        <f ca="1" t="shared" si="70"/>
        <v>7.06528747229579e-8</v>
      </c>
      <c r="AP297" s="231">
        <f ca="1" t="shared" si="71"/>
        <v>0.0113037729535035</v>
      </c>
      <c r="AQ297" s="231">
        <f ca="1" t="shared" si="72"/>
        <v>0.109339785990613</v>
      </c>
      <c r="AR297" s="231">
        <f ca="1" t="shared" si="73"/>
        <v>0.000348985090242399</v>
      </c>
      <c r="AS297" s="231">
        <f ca="1" t="shared" si="74"/>
        <v>4.09005475255045e-5</v>
      </c>
    </row>
    <row r="298" ht="15" hidden="1" customHeight="1" spans="3:45">
      <c r="C298" s="221"/>
      <c r="D298" s="221"/>
      <c r="E298" s="221"/>
      <c r="F298" s="221"/>
      <c r="G298" s="221"/>
      <c r="I298" s="12">
        <v>657</v>
      </c>
      <c r="J298" s="230">
        <v>0.07282552</v>
      </c>
      <c r="L298" s="12">
        <v>657</v>
      </c>
      <c r="M298" s="230"/>
      <c r="N298" s="230">
        <v>0.008196</v>
      </c>
      <c r="O298" s="230">
        <v>0.100208</v>
      </c>
      <c r="P298" s="232">
        <v>0.0003935</v>
      </c>
      <c r="Q298" s="230">
        <v>5.09374e-5</v>
      </c>
      <c r="S298" s="12">
        <v>657</v>
      </c>
      <c r="T298" s="230">
        <v>9.86542955939257e-8</v>
      </c>
      <c r="U298" s="230">
        <v>0.0126577058800322</v>
      </c>
      <c r="V298" s="230">
        <v>0.119024947887461</v>
      </c>
      <c r="W298" s="232">
        <v>0.000415739222962883</v>
      </c>
      <c r="X298" s="230">
        <v>5.09191329632915e-5</v>
      </c>
      <c r="Z298" s="12">
        <v>657</v>
      </c>
      <c r="AA298" s="230">
        <f ca="1" t="shared" si="60"/>
        <v>9.86542955939257e-8</v>
      </c>
      <c r="AB298" s="230">
        <f ca="1" t="shared" si="61"/>
        <v>0.0126577058800322</v>
      </c>
      <c r="AC298" s="230">
        <f ca="1" t="shared" si="62"/>
        <v>0.119024947887461</v>
      </c>
      <c r="AD298" s="230">
        <f ca="1" t="shared" si="63"/>
        <v>0.000415739222962883</v>
      </c>
      <c r="AE298" s="230">
        <f ca="1" t="shared" si="64"/>
        <v>5.09191329632915e-5</v>
      </c>
      <c r="AG298" s="12">
        <v>657</v>
      </c>
      <c r="AH298" s="231">
        <f ca="1" t="shared" si="65"/>
        <v>1.50158745196234e-10</v>
      </c>
      <c r="AI298" s="231">
        <f ca="1" t="shared" si="66"/>
        <v>1.92659145814798e-5</v>
      </c>
      <c r="AJ298" s="231">
        <f ca="1" t="shared" si="67"/>
        <v>0.000181164304242711</v>
      </c>
      <c r="AK298" s="231">
        <f ca="1" t="shared" si="68"/>
        <v>6.32784205422957e-7</v>
      </c>
      <c r="AL298" s="231">
        <f ca="1" t="shared" si="69"/>
        <v>7.7502485484462e-8</v>
      </c>
      <c r="AN298" s="12">
        <v>657</v>
      </c>
      <c r="AO298" s="231">
        <f ca="1" t="shared" si="70"/>
        <v>6.60698478863429e-8</v>
      </c>
      <c r="AP298" s="231">
        <f ca="1" t="shared" si="71"/>
        <v>0.010462004332653</v>
      </c>
      <c r="AQ298" s="231">
        <f ca="1" t="shared" si="72"/>
        <v>0.103132534165106</v>
      </c>
      <c r="AR298" s="231">
        <f ca="1" t="shared" si="73"/>
        <v>0.000322551705607949</v>
      </c>
      <c r="AS298" s="231">
        <f ca="1" t="shared" si="74"/>
        <v>3.78814497715568e-5</v>
      </c>
    </row>
    <row r="299" ht="15" hidden="1" customHeight="1" spans="3:45">
      <c r="C299" s="221"/>
      <c r="D299" s="221"/>
      <c r="E299" s="221"/>
      <c r="F299" s="221"/>
      <c r="G299" s="221"/>
      <c r="I299" s="12">
        <v>658</v>
      </c>
      <c r="J299" s="230">
        <v>0.06871008</v>
      </c>
      <c r="L299" s="12">
        <v>658</v>
      </c>
      <c r="M299" s="230"/>
      <c r="N299" s="230">
        <v>0.00759059</v>
      </c>
      <c r="O299" s="230">
        <v>0.0944558</v>
      </c>
      <c r="P299" s="232">
        <v>0.0003645</v>
      </c>
      <c r="Q299" s="230">
        <v>4.72404e-5</v>
      </c>
      <c r="S299" s="12">
        <v>658</v>
      </c>
      <c r="T299" s="230">
        <v>9.24142620675427e-8</v>
      </c>
      <c r="U299" s="230">
        <v>0.0117316203440604</v>
      </c>
      <c r="V299" s="230">
        <v>0.112353084531358</v>
      </c>
      <c r="W299" s="232">
        <v>0.000384914259297913</v>
      </c>
      <c r="X299" s="230">
        <v>4.72429490735752e-5</v>
      </c>
      <c r="Z299" s="12">
        <v>658</v>
      </c>
      <c r="AA299" s="230">
        <f ca="1" t="shared" si="60"/>
        <v>9.24142620675427e-8</v>
      </c>
      <c r="AB299" s="230">
        <f ca="1" t="shared" si="61"/>
        <v>0.0117316203440604</v>
      </c>
      <c r="AC299" s="230">
        <f ca="1" t="shared" si="62"/>
        <v>0.112353084531358</v>
      </c>
      <c r="AD299" s="230">
        <f ca="1" t="shared" si="63"/>
        <v>0.000384914259297913</v>
      </c>
      <c r="AE299" s="230">
        <f ca="1" t="shared" si="64"/>
        <v>4.72429490735752e-5</v>
      </c>
      <c r="AG299" s="12">
        <v>658</v>
      </c>
      <c r="AH299" s="231">
        <f ca="1" t="shared" si="65"/>
        <v>1.40447206789579e-10</v>
      </c>
      <c r="AI299" s="231">
        <f ca="1" t="shared" si="66"/>
        <v>1.78292102493319e-5</v>
      </c>
      <c r="AJ299" s="231">
        <f ca="1" t="shared" si="67"/>
        <v>0.00017074936858869</v>
      </c>
      <c r="AK299" s="231">
        <f ca="1" t="shared" si="68"/>
        <v>5.84976077960354e-7</v>
      </c>
      <c r="AL299" s="231">
        <f ca="1" t="shared" si="69"/>
        <v>7.17977949446432e-8</v>
      </c>
      <c r="AN299" s="12">
        <v>658</v>
      </c>
      <c r="AO299" s="231">
        <f ca="1" t="shared" si="70"/>
        <v>6.17967709874146e-8</v>
      </c>
      <c r="AP299" s="231">
        <f ca="1" t="shared" si="71"/>
        <v>0.0096818281887122</v>
      </c>
      <c r="AQ299" s="231">
        <f ca="1" t="shared" si="72"/>
        <v>0.0972035587432886</v>
      </c>
      <c r="AR299" s="231">
        <f ca="1" t="shared" si="73"/>
        <v>0.000298182271410903</v>
      </c>
      <c r="AS299" s="231">
        <f ca="1" t="shared" si="74"/>
        <v>3.50931269610613e-5</v>
      </c>
    </row>
    <row r="300" ht="15" hidden="1" customHeight="1" spans="3:45">
      <c r="C300" s="221"/>
      <c r="D300" s="221"/>
      <c r="E300" s="221"/>
      <c r="F300" s="221"/>
      <c r="G300" s="221"/>
      <c r="I300" s="12">
        <v>659</v>
      </c>
      <c r="J300" s="230">
        <v>0.06476976</v>
      </c>
      <c r="L300" s="12">
        <v>659</v>
      </c>
      <c r="M300" s="230"/>
      <c r="N300" s="230">
        <v>0.00702754</v>
      </c>
      <c r="O300" s="230">
        <v>0.0889934</v>
      </c>
      <c r="P300" s="232">
        <v>0.0003377</v>
      </c>
      <c r="Q300" s="230">
        <v>4.38269e-5</v>
      </c>
      <c r="S300" s="12">
        <v>659</v>
      </c>
      <c r="T300" s="230">
        <v>8.65862637547114e-8</v>
      </c>
      <c r="U300" s="230">
        <v>0.0108722392316166</v>
      </c>
      <c r="V300" s="230">
        <v>0.10597587230379</v>
      </c>
      <c r="W300" s="232">
        <v>0.000356446208905864</v>
      </c>
      <c r="X300" s="230">
        <v>4.38418629375731e-5</v>
      </c>
      <c r="Z300" s="12">
        <v>659</v>
      </c>
      <c r="AA300" s="230">
        <f ca="1" t="shared" si="60"/>
        <v>8.65862637547114e-8</v>
      </c>
      <c r="AB300" s="230">
        <f ca="1" t="shared" si="61"/>
        <v>0.0108722392316166</v>
      </c>
      <c r="AC300" s="230">
        <f ca="1" t="shared" si="62"/>
        <v>0.10597587230379</v>
      </c>
      <c r="AD300" s="230">
        <f ca="1" t="shared" si="63"/>
        <v>0.000356446208905864</v>
      </c>
      <c r="AE300" s="230">
        <f ca="1" t="shared" si="64"/>
        <v>4.38418629375731e-5</v>
      </c>
      <c r="AG300" s="12">
        <v>659</v>
      </c>
      <c r="AH300" s="231">
        <f ca="1" t="shared" si="65"/>
        <v>1.3139038506026e-10</v>
      </c>
      <c r="AI300" s="231">
        <f ca="1" t="shared" si="66"/>
        <v>1.64980868461557e-5</v>
      </c>
      <c r="AJ300" s="231">
        <f ca="1" t="shared" si="67"/>
        <v>0.000160813159793308</v>
      </c>
      <c r="AK300" s="231">
        <f ca="1" t="shared" si="68"/>
        <v>5.40889543104498e-7</v>
      </c>
      <c r="AL300" s="231">
        <f ca="1" t="shared" si="69"/>
        <v>6.65278648521595e-8</v>
      </c>
      <c r="AN300" s="12">
        <v>659</v>
      </c>
      <c r="AO300" s="231">
        <f ca="1" t="shared" si="70"/>
        <v>5.78117694265144e-8</v>
      </c>
      <c r="AP300" s="231">
        <f ca="1" t="shared" si="71"/>
        <v>0.00895898584699889</v>
      </c>
      <c r="AQ300" s="231">
        <f ca="1" t="shared" si="72"/>
        <v>0.091547111148135</v>
      </c>
      <c r="AR300" s="231">
        <f ca="1" t="shared" si="73"/>
        <v>0.000275709859978643</v>
      </c>
      <c r="AS300" s="231">
        <f ca="1" t="shared" si="74"/>
        <v>3.25173051554747e-5</v>
      </c>
    </row>
    <row r="301" ht="15" hidden="1" customHeight="1" spans="3:45">
      <c r="C301" s="221"/>
      <c r="D301" s="221"/>
      <c r="E301" s="221"/>
      <c r="F301" s="221"/>
      <c r="G301" s="221"/>
      <c r="I301" s="12">
        <v>660</v>
      </c>
      <c r="J301" s="230">
        <v>0.061</v>
      </c>
      <c r="L301" s="12">
        <v>660</v>
      </c>
      <c r="M301" s="230"/>
      <c r="N301" s="230">
        <v>0.00650455</v>
      </c>
      <c r="O301" s="230">
        <v>0.0838077</v>
      </c>
      <c r="P301" s="232">
        <v>0.0003129</v>
      </c>
      <c r="Q301" s="230">
        <v>4.06945e-5</v>
      </c>
      <c r="S301" s="12">
        <v>660</v>
      </c>
      <c r="T301" s="230">
        <v>8.1142428219834e-8</v>
      </c>
      <c r="U301" s="230">
        <v>0.0100749523314379</v>
      </c>
      <c r="V301" s="230">
        <v>0.099887006957201</v>
      </c>
      <c r="W301" s="232">
        <v>0.000330151291116739</v>
      </c>
      <c r="X301" s="230">
        <v>4.06945265350781e-5</v>
      </c>
      <c r="Z301" s="12">
        <v>660</v>
      </c>
      <c r="AA301" s="230">
        <f ca="1" t="shared" si="60"/>
        <v>8.1142428219834e-8</v>
      </c>
      <c r="AB301" s="230">
        <f ca="1" t="shared" si="61"/>
        <v>0.0100749523314379</v>
      </c>
      <c r="AC301" s="230">
        <f ca="1" t="shared" si="62"/>
        <v>0.099887006957201</v>
      </c>
      <c r="AD301" s="230">
        <f ca="1" t="shared" si="63"/>
        <v>0.000330151291116739</v>
      </c>
      <c r="AE301" s="230">
        <f ca="1" t="shared" si="64"/>
        <v>4.06945265350781e-5</v>
      </c>
      <c r="AG301" s="12">
        <v>660</v>
      </c>
      <c r="AH301" s="231">
        <f ca="1" t="shared" si="65"/>
        <v>1.22943073060355e-10</v>
      </c>
      <c r="AI301" s="231">
        <f ca="1" t="shared" si="66"/>
        <v>1.52650792900574e-5</v>
      </c>
      <c r="AJ301" s="231">
        <f ca="1" t="shared" si="67"/>
        <v>0.000151343949935153</v>
      </c>
      <c r="AK301" s="231">
        <f ca="1" t="shared" si="68"/>
        <v>5.00229228964756e-7</v>
      </c>
      <c r="AL301" s="231">
        <f ca="1" t="shared" si="69"/>
        <v>6.16583735379971e-8</v>
      </c>
      <c r="AN301" s="12">
        <v>660</v>
      </c>
      <c r="AO301" s="231">
        <f ca="1" t="shared" si="70"/>
        <v>5.4094952146556e-8</v>
      </c>
      <c r="AP301" s="231">
        <f ca="1" t="shared" si="71"/>
        <v>0.00828942353063243</v>
      </c>
      <c r="AQ301" s="231">
        <f ca="1" t="shared" si="72"/>
        <v>0.0861565149526264</v>
      </c>
      <c r="AR301" s="231">
        <f ca="1" t="shared" si="73"/>
        <v>0.000254983910177853</v>
      </c>
      <c r="AS301" s="231">
        <f ca="1" t="shared" si="74"/>
        <v>3.01372087046653e-5</v>
      </c>
    </row>
    <row r="302" ht="15" hidden="1" customHeight="1" spans="3:45">
      <c r="C302" s="221"/>
      <c r="D302" s="221"/>
      <c r="E302" s="221"/>
      <c r="F302" s="221"/>
      <c r="G302" s="221"/>
      <c r="I302" s="12">
        <v>661</v>
      </c>
      <c r="J302" s="230">
        <v>0.05739621</v>
      </c>
      <c r="L302" s="12">
        <v>661</v>
      </c>
      <c r="M302" s="230"/>
      <c r="N302" s="230">
        <v>0.00601952</v>
      </c>
      <c r="O302" s="230">
        <v>0.0788866</v>
      </c>
      <c r="P302" s="232">
        <v>0.0002901</v>
      </c>
      <c r="Q302" s="230">
        <v>3.7799e-5</v>
      </c>
      <c r="S302" s="12">
        <v>661</v>
      </c>
      <c r="T302" s="230">
        <v>7.60559157819021e-8</v>
      </c>
      <c r="U302" s="230">
        <v>0.00933550895763877</v>
      </c>
      <c r="V302" s="230">
        <v>0.0940807996324563</v>
      </c>
      <c r="W302" s="232">
        <v>0.00030585810961321</v>
      </c>
      <c r="X302" s="230">
        <v>3.77814829250519e-5</v>
      </c>
      <c r="Z302" s="12">
        <v>661</v>
      </c>
      <c r="AA302" s="230">
        <f ca="1" t="shared" si="60"/>
        <v>7.60559157819021e-8</v>
      </c>
      <c r="AB302" s="230">
        <f ca="1" t="shared" si="61"/>
        <v>0.00933550895763877</v>
      </c>
      <c r="AC302" s="230">
        <f ca="1" t="shared" si="62"/>
        <v>0.0940807996324563</v>
      </c>
      <c r="AD302" s="230">
        <f ca="1" t="shared" si="63"/>
        <v>0.00030585810961321</v>
      </c>
      <c r="AE302" s="230">
        <f ca="1" t="shared" si="64"/>
        <v>3.77814829250519e-5</v>
      </c>
      <c r="AG302" s="12">
        <v>661</v>
      </c>
      <c r="AH302" s="231">
        <f ca="1" t="shared" si="65"/>
        <v>1.15061899821334e-10</v>
      </c>
      <c r="AI302" s="231">
        <f ca="1" t="shared" si="66"/>
        <v>1.41233115849301e-5</v>
      </c>
      <c r="AJ302" s="231">
        <f ca="1" t="shared" si="67"/>
        <v>0.000142331013059692</v>
      </c>
      <c r="AK302" s="231">
        <f ca="1" t="shared" si="68"/>
        <v>4.62720286858109e-7</v>
      </c>
      <c r="AL302" s="231">
        <f ca="1" t="shared" si="69"/>
        <v>5.71580679652828e-8</v>
      </c>
      <c r="AN302" s="12">
        <v>661</v>
      </c>
      <c r="AO302" s="231">
        <f ca="1" t="shared" si="70"/>
        <v>5.06272359213872e-8</v>
      </c>
      <c r="AP302" s="231">
        <f ca="1" t="shared" si="71"/>
        <v>0.00766940735504901</v>
      </c>
      <c r="AQ302" s="231">
        <f ca="1" t="shared" si="72"/>
        <v>0.0810256641256824</v>
      </c>
      <c r="AR302" s="231">
        <f ca="1" t="shared" si="73"/>
        <v>0.00023586432225457</v>
      </c>
      <c r="AS302" s="231">
        <f ca="1" t="shared" si="74"/>
        <v>2.79375618360031e-5</v>
      </c>
    </row>
    <row r="303" ht="15" hidden="1" customHeight="1" spans="3:45">
      <c r="C303" s="221"/>
      <c r="D303" s="221"/>
      <c r="E303" s="221"/>
      <c r="F303" s="221"/>
      <c r="G303" s="221"/>
      <c r="I303" s="12">
        <v>662</v>
      </c>
      <c r="J303" s="230">
        <v>0.05395504</v>
      </c>
      <c r="L303" s="12">
        <v>662</v>
      </c>
      <c r="M303" s="230"/>
      <c r="N303" s="230">
        <v>0.00557093</v>
      </c>
      <c r="O303" s="230">
        <v>0.0742192</v>
      </c>
      <c r="P303" s="232">
        <v>0.0002689</v>
      </c>
      <c r="Q303" s="230">
        <v>3.50966e-5</v>
      </c>
      <c r="S303" s="12">
        <v>662</v>
      </c>
      <c r="T303" s="230">
        <v>7.13027040265963e-8</v>
      </c>
      <c r="U303" s="230">
        <v>0.00864985843921548</v>
      </c>
      <c r="V303" s="230">
        <v>0.0885500885866279</v>
      </c>
      <c r="W303" s="232">
        <v>0.000283411194166429</v>
      </c>
      <c r="X303" s="230">
        <v>3.50846380098338e-5</v>
      </c>
      <c r="Z303" s="12">
        <v>662</v>
      </c>
      <c r="AA303" s="230">
        <f ca="1" t="shared" si="60"/>
        <v>7.13027040265963e-8</v>
      </c>
      <c r="AB303" s="230">
        <f ca="1" t="shared" si="61"/>
        <v>0.00864985843921548</v>
      </c>
      <c r="AC303" s="230">
        <f ca="1" t="shared" si="62"/>
        <v>0.0885500885866279</v>
      </c>
      <c r="AD303" s="230">
        <f ca="1" t="shared" si="63"/>
        <v>0.000283411194166429</v>
      </c>
      <c r="AE303" s="230">
        <f ca="1" t="shared" si="64"/>
        <v>3.50846380098338e-5</v>
      </c>
      <c r="AG303" s="12">
        <v>662</v>
      </c>
      <c r="AH303" s="231">
        <f ca="1" t="shared" si="65"/>
        <v>1.07708012124768e-10</v>
      </c>
      <c r="AI303" s="231">
        <f ca="1" t="shared" si="66"/>
        <v>1.30662514187545e-5</v>
      </c>
      <c r="AJ303" s="231">
        <f ca="1" t="shared" si="67"/>
        <v>0.000133761463121794</v>
      </c>
      <c r="AK303" s="231">
        <f ca="1" t="shared" si="68"/>
        <v>4.28113586354122e-7</v>
      </c>
      <c r="AL303" s="231">
        <f ca="1" t="shared" si="69"/>
        <v>5.2997942613042e-8</v>
      </c>
      <c r="AN303" s="12">
        <v>662</v>
      </c>
      <c r="AO303" s="231">
        <f ca="1" t="shared" si="70"/>
        <v>4.73915253348978e-8</v>
      </c>
      <c r="AP303" s="231">
        <f ca="1" t="shared" si="71"/>
        <v>0.00709539006707481</v>
      </c>
      <c r="AQ303" s="231">
        <f ca="1" t="shared" si="72"/>
        <v>0.076147222947967</v>
      </c>
      <c r="AR303" s="231">
        <f ca="1" t="shared" si="73"/>
        <v>0.000218224105925904</v>
      </c>
      <c r="AS303" s="231">
        <f ca="1" t="shared" si="74"/>
        <v>2.59041873114418e-5</v>
      </c>
    </row>
    <row r="304" ht="15" hidden="1" customHeight="1" spans="3:45">
      <c r="C304" s="221"/>
      <c r="D304" s="221"/>
      <c r="E304" s="221"/>
      <c r="F304" s="221"/>
      <c r="G304" s="221"/>
      <c r="I304" s="12">
        <v>663</v>
      </c>
      <c r="J304" s="230">
        <v>0.05067376</v>
      </c>
      <c r="L304" s="12">
        <v>663</v>
      </c>
      <c r="M304" s="230"/>
      <c r="N304" s="230">
        <v>0.00515728</v>
      </c>
      <c r="O304" s="230">
        <v>0.0697953</v>
      </c>
      <c r="P304" s="232">
        <v>0.0002493</v>
      </c>
      <c r="Q304" s="230">
        <v>3.25857e-5</v>
      </c>
      <c r="S304" s="12">
        <v>663</v>
      </c>
      <c r="T304" s="230">
        <v>6.6859788740286e-8</v>
      </c>
      <c r="U304" s="230">
        <v>0.00801423365245625</v>
      </c>
      <c r="V304" s="230">
        <v>0.0832879168703085</v>
      </c>
      <c r="W304" s="232">
        <v>0.000262664874752954</v>
      </c>
      <c r="X304" s="230">
        <v>3.25874216498056e-5</v>
      </c>
      <c r="Z304" s="12">
        <v>663</v>
      </c>
      <c r="AA304" s="230">
        <f ca="1" t="shared" si="60"/>
        <v>6.6859788740286e-8</v>
      </c>
      <c r="AB304" s="230">
        <f ca="1" t="shared" si="61"/>
        <v>0.00801423365245625</v>
      </c>
      <c r="AC304" s="230">
        <f ca="1" t="shared" si="62"/>
        <v>0.0832879168703085</v>
      </c>
      <c r="AD304" s="230">
        <f ca="1" t="shared" si="63"/>
        <v>0.000262664874752954</v>
      </c>
      <c r="AE304" s="230">
        <f ca="1" t="shared" si="64"/>
        <v>3.25874216498056e-5</v>
      </c>
      <c r="AG304" s="12">
        <v>663</v>
      </c>
      <c r="AH304" s="231">
        <f ca="1" t="shared" si="65"/>
        <v>1.00844326908425e-10</v>
      </c>
      <c r="AI304" s="231">
        <f ca="1" t="shared" si="66"/>
        <v>1.20878335632824e-5</v>
      </c>
      <c r="AJ304" s="231">
        <f ca="1" t="shared" si="67"/>
        <v>0.000125622800709364</v>
      </c>
      <c r="AK304" s="231">
        <f ca="1" t="shared" si="68"/>
        <v>3.96176281678664e-7</v>
      </c>
      <c r="AL304" s="231">
        <f ca="1" t="shared" si="69"/>
        <v>4.91514655351517e-8</v>
      </c>
      <c r="AN304" s="12">
        <v>663</v>
      </c>
      <c r="AO304" s="231">
        <f ca="1" t="shared" si="70"/>
        <v>4.43715038397072e-8</v>
      </c>
      <c r="AP304" s="231">
        <f ca="1" t="shared" si="71"/>
        <v>0.00656407805487821</v>
      </c>
      <c r="AQ304" s="231">
        <f ca="1" t="shared" si="72"/>
        <v>0.0715140758011444</v>
      </c>
      <c r="AR304" s="231">
        <f ca="1" t="shared" si="73"/>
        <v>0.000201944571754054</v>
      </c>
      <c r="AS304" s="231">
        <f ca="1" t="shared" si="74"/>
        <v>2.40241169199863e-5</v>
      </c>
    </row>
    <row r="305" ht="15" hidden="1" customHeight="1" spans="3:45">
      <c r="C305" s="221"/>
      <c r="D305" s="221"/>
      <c r="E305" s="221"/>
      <c r="F305" s="221"/>
      <c r="G305" s="221"/>
      <c r="I305" s="12">
        <v>664</v>
      </c>
      <c r="J305" s="230">
        <v>0.04754965</v>
      </c>
      <c r="L305" s="12">
        <v>664</v>
      </c>
      <c r="M305" s="230"/>
      <c r="N305" s="230">
        <v>0.00477687</v>
      </c>
      <c r="O305" s="230">
        <v>0.065605</v>
      </c>
      <c r="P305" s="232">
        <v>0.0002313</v>
      </c>
      <c r="Q305" s="230">
        <v>3.02647e-5</v>
      </c>
      <c r="S305" s="12">
        <v>664</v>
      </c>
      <c r="T305" s="230">
        <v>6.27059858324344e-8</v>
      </c>
      <c r="U305" s="230">
        <v>0.00742511184760041</v>
      </c>
      <c r="V305" s="230">
        <v>0.0782868826518908</v>
      </c>
      <c r="W305" s="232">
        <v>0.000243488245329899</v>
      </c>
      <c r="X305" s="230">
        <v>3.02745711553093e-5</v>
      </c>
      <c r="Z305" s="12">
        <v>664</v>
      </c>
      <c r="AA305" s="230">
        <f ca="1" t="shared" si="60"/>
        <v>6.27059858324344e-8</v>
      </c>
      <c r="AB305" s="230">
        <f ca="1" t="shared" si="61"/>
        <v>0.00742511184760041</v>
      </c>
      <c r="AC305" s="230">
        <f ca="1" t="shared" si="62"/>
        <v>0.0782868826518908</v>
      </c>
      <c r="AD305" s="230">
        <f ca="1" t="shared" si="63"/>
        <v>0.000243488245329899</v>
      </c>
      <c r="AE305" s="230">
        <f ca="1" t="shared" si="64"/>
        <v>3.02745711553093e-5</v>
      </c>
      <c r="AG305" s="12">
        <v>664</v>
      </c>
      <c r="AH305" s="231">
        <f ca="1" t="shared" si="65"/>
        <v>9.44367256512566e-11</v>
      </c>
      <c r="AI305" s="231">
        <f ca="1" t="shared" si="66"/>
        <v>1.1182397360844e-5</v>
      </c>
      <c r="AJ305" s="231">
        <f ca="1" t="shared" si="67"/>
        <v>0.000117901931704655</v>
      </c>
      <c r="AK305" s="231">
        <f ca="1" t="shared" si="68"/>
        <v>3.66699164653462e-7</v>
      </c>
      <c r="AL305" s="231">
        <f ca="1" t="shared" si="69"/>
        <v>4.55942336676345e-8</v>
      </c>
      <c r="AN305" s="12">
        <v>664</v>
      </c>
      <c r="AO305" s="231">
        <f ca="1" t="shared" si="70"/>
        <v>4.15521592865529e-8</v>
      </c>
      <c r="AP305" s="231">
        <f ca="1" t="shared" si="71"/>
        <v>0.00607239740131828</v>
      </c>
      <c r="AQ305" s="231">
        <f ca="1" t="shared" si="72"/>
        <v>0.0671187685150815</v>
      </c>
      <c r="AR305" s="231">
        <f ca="1" t="shared" si="73"/>
        <v>0.000186919079190552</v>
      </c>
      <c r="AS305" s="231">
        <f ca="1" t="shared" si="74"/>
        <v>2.22854229997487e-5</v>
      </c>
    </row>
    <row r="306" ht="15" hidden="1" customHeight="1" spans="3:45">
      <c r="C306" s="221"/>
      <c r="D306" s="221"/>
      <c r="E306" s="221"/>
      <c r="F306" s="221"/>
      <c r="G306" s="221"/>
      <c r="I306" s="12">
        <v>665</v>
      </c>
      <c r="J306" s="230">
        <v>0.04458</v>
      </c>
      <c r="L306" s="12">
        <v>665</v>
      </c>
      <c r="M306" s="230"/>
      <c r="N306" s="230">
        <v>0.00442794</v>
      </c>
      <c r="O306" s="230">
        <v>0.0616384</v>
      </c>
      <c r="P306" s="232">
        <v>0.0002146</v>
      </c>
      <c r="Q306" s="230">
        <v>2.8132e-5</v>
      </c>
      <c r="S306" s="12">
        <v>665</v>
      </c>
      <c r="T306" s="230">
        <v>5.88220288738898e-8</v>
      </c>
      <c r="U306" s="230">
        <v>0.00687916933487391</v>
      </c>
      <c r="V306" s="230">
        <v>0.0735388780931165</v>
      </c>
      <c r="W306" s="232">
        <v>0.000225757402722941</v>
      </c>
      <c r="X306" s="230">
        <v>2.81320253443072e-5</v>
      </c>
      <c r="Z306" s="12">
        <v>665</v>
      </c>
      <c r="AA306" s="230">
        <f ca="1" t="shared" si="60"/>
        <v>5.88220288738898e-8</v>
      </c>
      <c r="AB306" s="230">
        <f ca="1" t="shared" si="61"/>
        <v>0.00687916933487391</v>
      </c>
      <c r="AC306" s="230">
        <f ca="1" t="shared" si="62"/>
        <v>0.0735388780931165</v>
      </c>
      <c r="AD306" s="230">
        <f ca="1" t="shared" si="63"/>
        <v>0.000225757402722941</v>
      </c>
      <c r="AE306" s="230">
        <f ca="1" t="shared" si="64"/>
        <v>2.81320253443072e-5</v>
      </c>
      <c r="AG306" s="12">
        <v>665</v>
      </c>
      <c r="AH306" s="231">
        <f ca="1" t="shared" si="65"/>
        <v>8.8454178757729e-11</v>
      </c>
      <c r="AI306" s="231">
        <f ca="1" t="shared" si="66"/>
        <v>1.03446155411638e-5</v>
      </c>
      <c r="AJ306" s="231">
        <f ca="1" t="shared" si="67"/>
        <v>0.000110584779087393</v>
      </c>
      <c r="AK306" s="231">
        <f ca="1" t="shared" si="68"/>
        <v>3.39484816124723e-7</v>
      </c>
      <c r="AL306" s="231">
        <f ca="1" t="shared" si="69"/>
        <v>4.23037975102364e-8</v>
      </c>
      <c r="AN306" s="12">
        <v>665</v>
      </c>
      <c r="AO306" s="231">
        <f ca="1" t="shared" si="70"/>
        <v>3.89198386534008e-8</v>
      </c>
      <c r="AP306" s="231">
        <f ca="1" t="shared" si="71"/>
        <v>0.005617455229212</v>
      </c>
      <c r="AQ306" s="231">
        <f ca="1" t="shared" si="72"/>
        <v>0.0629532873765896</v>
      </c>
      <c r="AR306" s="231">
        <f ca="1" t="shared" si="73"/>
        <v>0.000173046996955051</v>
      </c>
      <c r="AS306" s="231">
        <f ca="1" t="shared" si="74"/>
        <v>2.06771327462964e-5</v>
      </c>
    </row>
    <row r="307" ht="15" hidden="1" customHeight="1" spans="3:45">
      <c r="C307" s="221"/>
      <c r="D307" s="221"/>
      <c r="E307" s="221"/>
      <c r="F307" s="221"/>
      <c r="G307" s="221"/>
      <c r="I307" s="12">
        <v>666</v>
      </c>
      <c r="J307" s="230">
        <v>0.04175872</v>
      </c>
      <c r="L307" s="12">
        <v>666</v>
      </c>
      <c r="M307" s="230"/>
      <c r="N307" s="230">
        <v>0.00410832</v>
      </c>
      <c r="O307" s="230">
        <v>0.0578857</v>
      </c>
      <c r="P307" s="232">
        <v>0.0001991</v>
      </c>
      <c r="Q307" s="230">
        <v>2.61587e-5</v>
      </c>
      <c r="S307" s="12">
        <v>666</v>
      </c>
      <c r="T307" s="230">
        <v>5.51894416064556e-8</v>
      </c>
      <c r="U307" s="230">
        <v>0.00637335339104978</v>
      </c>
      <c r="V307" s="230">
        <v>0.069036060393683</v>
      </c>
      <c r="W307" s="232">
        <v>0.000209361586191212</v>
      </c>
      <c r="X307" s="230">
        <v>2.61467671924628e-5</v>
      </c>
      <c r="Z307" s="12">
        <v>666</v>
      </c>
      <c r="AA307" s="230">
        <f ca="1" t="shared" si="60"/>
        <v>5.51894416064556e-8</v>
      </c>
      <c r="AB307" s="230">
        <f ca="1" t="shared" si="61"/>
        <v>0.00637335339104978</v>
      </c>
      <c r="AC307" s="230">
        <f ca="1" t="shared" si="62"/>
        <v>0.069036060393683</v>
      </c>
      <c r="AD307" s="230">
        <f ca="1" t="shared" si="63"/>
        <v>0.000209361586191212</v>
      </c>
      <c r="AE307" s="230">
        <f ca="1" t="shared" si="64"/>
        <v>2.61467671924628e-5</v>
      </c>
      <c r="AG307" s="12">
        <v>666</v>
      </c>
      <c r="AH307" s="231">
        <f ca="1" t="shared" si="65"/>
        <v>8.28670294391225e-11</v>
      </c>
      <c r="AI307" s="231">
        <f ca="1" t="shared" si="66"/>
        <v>9.56959968626093e-6</v>
      </c>
      <c r="AJ307" s="231">
        <f ca="1" t="shared" si="67"/>
        <v>0.000103657748338863</v>
      </c>
      <c r="AK307" s="231">
        <f ca="1" t="shared" si="68"/>
        <v>3.14356736022841e-7</v>
      </c>
      <c r="AL307" s="231">
        <f ca="1" t="shared" si="69"/>
        <v>3.92594101988931e-8</v>
      </c>
      <c r="AN307" s="12">
        <v>666</v>
      </c>
      <c r="AO307" s="231">
        <f ca="1" t="shared" si="70"/>
        <v>3.64614929532139e-8</v>
      </c>
      <c r="AP307" s="231">
        <f ca="1" t="shared" si="71"/>
        <v>0.00519659697212917</v>
      </c>
      <c r="AQ307" s="231">
        <f ca="1" t="shared" si="72"/>
        <v>0.0590098933491525</v>
      </c>
      <c r="AR307" s="231">
        <f ca="1" t="shared" si="73"/>
        <v>0.000160238356938352</v>
      </c>
      <c r="AS307" s="231">
        <f ca="1" t="shared" si="74"/>
        <v>1.91891055649883e-5</v>
      </c>
    </row>
    <row r="308" ht="15" hidden="1" customHeight="1" spans="3:45">
      <c r="C308" s="221"/>
      <c r="D308" s="221"/>
      <c r="E308" s="221"/>
      <c r="F308" s="221"/>
      <c r="G308" s="221"/>
      <c r="I308" s="12">
        <v>667</v>
      </c>
      <c r="J308" s="230">
        <v>0.03908496</v>
      </c>
      <c r="L308" s="12">
        <v>667</v>
      </c>
      <c r="M308" s="230"/>
      <c r="N308" s="230">
        <v>0.0038147</v>
      </c>
      <c r="O308" s="230">
        <v>0.0543366</v>
      </c>
      <c r="P308" s="232">
        <v>0.0001848</v>
      </c>
      <c r="Q308" s="230">
        <v>2.43158e-5</v>
      </c>
      <c r="S308" s="12">
        <v>667</v>
      </c>
      <c r="T308" s="230">
        <v>5.1791203133989e-8</v>
      </c>
      <c r="U308" s="230">
        <v>0.00590475659641629</v>
      </c>
      <c r="V308" s="230">
        <v>0.0647701644918667</v>
      </c>
      <c r="W308" s="232">
        <v>0.000194196769025476</v>
      </c>
      <c r="X308" s="230">
        <v>2.43068678583294e-5</v>
      </c>
      <c r="Z308" s="12">
        <v>667</v>
      </c>
      <c r="AA308" s="230">
        <f ca="1" t="shared" si="60"/>
        <v>5.1791203133989e-8</v>
      </c>
      <c r="AB308" s="230">
        <f ca="1" t="shared" si="61"/>
        <v>0.00590475659641629</v>
      </c>
      <c r="AC308" s="230">
        <f ca="1" t="shared" si="62"/>
        <v>0.0647701644918667</v>
      </c>
      <c r="AD308" s="230">
        <f ca="1" t="shared" si="63"/>
        <v>0.000194196769025476</v>
      </c>
      <c r="AE308" s="230">
        <f ca="1" t="shared" si="64"/>
        <v>2.43068678583294e-5</v>
      </c>
      <c r="AG308" s="12">
        <v>667</v>
      </c>
      <c r="AH308" s="231">
        <f ca="1" t="shared" si="65"/>
        <v>7.76479807106282e-11</v>
      </c>
      <c r="AI308" s="231">
        <f ca="1" t="shared" si="66"/>
        <v>8.85270854035426e-6</v>
      </c>
      <c r="AJ308" s="231">
        <f ca="1" t="shared" si="67"/>
        <v>9.71066933911045e-5</v>
      </c>
      <c r="AK308" s="231">
        <f ca="1" t="shared" si="68"/>
        <v>2.9114957874884e-7</v>
      </c>
      <c r="AL308" s="231">
        <f ca="1" t="shared" si="69"/>
        <v>3.64420807471205e-8</v>
      </c>
      <c r="AN308" s="12">
        <v>667</v>
      </c>
      <c r="AO308" s="231">
        <f ca="1" t="shared" si="70"/>
        <v>3.41651115126764e-8</v>
      </c>
      <c r="AP308" s="231">
        <f ca="1" t="shared" si="71"/>
        <v>0.00480730228057447</v>
      </c>
      <c r="AQ308" s="231">
        <f ca="1" t="shared" si="72"/>
        <v>0.0552805334123734</v>
      </c>
      <c r="AR308" s="231">
        <f ca="1" t="shared" si="73"/>
        <v>0.000148408876845628</v>
      </c>
      <c r="AS308" s="231">
        <f ca="1" t="shared" si="74"/>
        <v>1.78120590941542e-5</v>
      </c>
    </row>
    <row r="309" ht="15" hidden="1" customHeight="1" spans="3:45">
      <c r="C309" s="221"/>
      <c r="D309" s="221"/>
      <c r="E309" s="221"/>
      <c r="F309" s="221"/>
      <c r="G309" s="221"/>
      <c r="I309" s="12">
        <v>668</v>
      </c>
      <c r="J309" s="230">
        <v>0.03656384</v>
      </c>
      <c r="L309" s="12">
        <v>668</v>
      </c>
      <c r="M309" s="230"/>
      <c r="N309" s="230">
        <v>0.00354392</v>
      </c>
      <c r="O309" s="230">
        <v>0.0509811</v>
      </c>
      <c r="P309" s="232">
        <v>0.0001716</v>
      </c>
      <c r="Q309" s="230">
        <v>2.26017e-5</v>
      </c>
      <c r="S309" s="12">
        <v>668</v>
      </c>
      <c r="T309" s="230">
        <v>4.86117213730175e-8</v>
      </c>
      <c r="U309" s="230">
        <v>0.0054707138593676</v>
      </c>
      <c r="V309" s="230">
        <v>0.0607327574714014</v>
      </c>
      <c r="W309" s="232">
        <v>0.000180167727202562</v>
      </c>
      <c r="X309" s="230">
        <v>2.26013301856067e-5</v>
      </c>
      <c r="Z309" s="12">
        <v>668</v>
      </c>
      <c r="AA309" s="230">
        <f ca="1" t="shared" si="60"/>
        <v>4.86117213730175e-8</v>
      </c>
      <c r="AB309" s="230">
        <f ca="1" t="shared" si="61"/>
        <v>0.0054707138593676</v>
      </c>
      <c r="AC309" s="230">
        <f ca="1" t="shared" si="62"/>
        <v>0.0607327574714014</v>
      </c>
      <c r="AD309" s="230">
        <f ca="1" t="shared" si="63"/>
        <v>0.000180167727202562</v>
      </c>
      <c r="AE309" s="230">
        <f ca="1" t="shared" si="64"/>
        <v>2.26013301856067e-5</v>
      </c>
      <c r="AG309" s="12">
        <v>668</v>
      </c>
      <c r="AH309" s="231">
        <f ca="1" t="shared" si="65"/>
        <v>7.27720379835591e-11</v>
      </c>
      <c r="AI309" s="231">
        <f ca="1" t="shared" si="66"/>
        <v>8.18969140623892e-6</v>
      </c>
      <c r="AJ309" s="231">
        <f ca="1" t="shared" si="67"/>
        <v>9.09173016038943e-5</v>
      </c>
      <c r="AK309" s="231">
        <f ca="1" t="shared" si="68"/>
        <v>2.69712166470901e-7</v>
      </c>
      <c r="AL309" s="231">
        <f ca="1" t="shared" si="69"/>
        <v>3.38343266251597e-8</v>
      </c>
      <c r="AN309" s="12">
        <v>668</v>
      </c>
      <c r="AO309" s="231">
        <f ca="1" t="shared" si="70"/>
        <v>3.2019696712766e-8</v>
      </c>
      <c r="AP309" s="231">
        <f ca="1" t="shared" si="71"/>
        <v>0.00444726289078055</v>
      </c>
      <c r="AQ309" s="231">
        <f ca="1" t="shared" si="72"/>
        <v>0.0517570597202244</v>
      </c>
      <c r="AR309" s="231">
        <f ca="1" t="shared" si="73"/>
        <v>0.000137481496176498</v>
      </c>
      <c r="AS309" s="231">
        <f ca="1" t="shared" si="74"/>
        <v>1.65374482714157e-5</v>
      </c>
    </row>
    <row r="310" ht="15" hidden="1" customHeight="1" spans="3:45">
      <c r="C310" s="221"/>
      <c r="D310" s="221"/>
      <c r="E310" s="221"/>
      <c r="F310" s="221"/>
      <c r="G310" s="221"/>
      <c r="I310" s="12">
        <v>669</v>
      </c>
      <c r="J310" s="230">
        <v>0.03420048</v>
      </c>
      <c r="L310" s="12">
        <v>669</v>
      </c>
      <c r="M310" s="230"/>
      <c r="N310" s="230">
        <v>0.00329329</v>
      </c>
      <c r="O310" s="230">
        <v>0.0478096</v>
      </c>
      <c r="P310" s="232">
        <v>0.0001593</v>
      </c>
      <c r="Q310" s="230">
        <v>2.10148e-5</v>
      </c>
      <c r="S310" s="12">
        <v>669</v>
      </c>
      <c r="T310" s="230">
        <v>4.56362551936578e-8</v>
      </c>
      <c r="U310" s="230">
        <v>0.00506871648553443</v>
      </c>
      <c r="V310" s="230">
        <v>0.0569152961530593</v>
      </c>
      <c r="W310" s="232">
        <v>0.000167186420680963</v>
      </c>
      <c r="X310" s="230">
        <v>2.10200139541986e-5</v>
      </c>
      <c r="Z310" s="12">
        <v>669</v>
      </c>
      <c r="AA310" s="230">
        <f ca="1" t="shared" si="60"/>
        <v>4.56362551936578e-8</v>
      </c>
      <c r="AB310" s="230">
        <f ca="1" t="shared" si="61"/>
        <v>0.00506871648553443</v>
      </c>
      <c r="AC310" s="230">
        <f ca="1" t="shared" si="62"/>
        <v>0.0569152961530593</v>
      </c>
      <c r="AD310" s="230">
        <f ca="1" t="shared" si="63"/>
        <v>0.000167186420680963</v>
      </c>
      <c r="AE310" s="230">
        <f ca="1" t="shared" si="64"/>
        <v>2.10200139541986e-5</v>
      </c>
      <c r="AG310" s="12">
        <v>669</v>
      </c>
      <c r="AH310" s="231">
        <f ca="1" t="shared" si="65"/>
        <v>6.82156280921641e-11</v>
      </c>
      <c r="AI310" s="231">
        <f ca="1" t="shared" si="66"/>
        <v>7.57655677957314e-6</v>
      </c>
      <c r="AJ310" s="231">
        <f ca="1" t="shared" si="67"/>
        <v>8.50751810957538e-5</v>
      </c>
      <c r="AK310" s="231">
        <f ca="1" t="shared" si="68"/>
        <v>2.49904963648674e-7</v>
      </c>
      <c r="AL310" s="231">
        <f ca="1" t="shared" si="69"/>
        <v>3.14200507536601e-8</v>
      </c>
      <c r="AN310" s="12">
        <v>669</v>
      </c>
      <c r="AO310" s="231">
        <f ca="1" t="shared" si="70"/>
        <v>3.00148763605522e-8</v>
      </c>
      <c r="AP310" s="231">
        <f ca="1" t="shared" si="71"/>
        <v>0.00411431128894778</v>
      </c>
      <c r="AQ310" s="231">
        <f ca="1" t="shared" si="72"/>
        <v>0.0484312793165127</v>
      </c>
      <c r="AR310" s="231">
        <f ca="1" t="shared" si="73"/>
        <v>0.000127385088903877</v>
      </c>
      <c r="AS310" s="231">
        <f ca="1" t="shared" si="74"/>
        <v>1.53574052110001e-5</v>
      </c>
    </row>
    <row r="311" ht="15" hidden="1" customHeight="1" spans="3:45">
      <c r="C311" s="221"/>
      <c r="D311" s="221"/>
      <c r="E311" s="221"/>
      <c r="F311" s="221"/>
      <c r="G311" s="221"/>
      <c r="I311" s="12">
        <v>670</v>
      </c>
      <c r="J311" s="230">
        <v>0.032</v>
      </c>
      <c r="L311" s="12">
        <v>670</v>
      </c>
      <c r="M311" s="230"/>
      <c r="N311" s="230">
        <v>0.0030605</v>
      </c>
      <c r="O311" s="230">
        <v>0.0448132</v>
      </c>
      <c r="P311" s="232">
        <v>0.000148</v>
      </c>
      <c r="Q311" s="230">
        <v>1.95535e-5</v>
      </c>
      <c r="S311" s="12">
        <v>670</v>
      </c>
      <c r="T311" s="230">
        <v>4.28512011483578e-8</v>
      </c>
      <c r="U311" s="230">
        <v>0.00469643158328585</v>
      </c>
      <c r="V311" s="230">
        <v>0.0533094252193603</v>
      </c>
      <c r="W311" s="232">
        <v>0.000155172944067943</v>
      </c>
      <c r="X311" s="230">
        <v>1.95534772314368e-5</v>
      </c>
      <c r="Z311" s="12">
        <v>670</v>
      </c>
      <c r="AA311" s="230">
        <f ca="1" t="shared" si="60"/>
        <v>4.28512011483578e-8</v>
      </c>
      <c r="AB311" s="230">
        <f ca="1" t="shared" si="61"/>
        <v>0.00469643158328585</v>
      </c>
      <c r="AC311" s="230">
        <f ca="1" t="shared" si="62"/>
        <v>0.0533094252193603</v>
      </c>
      <c r="AD311" s="230">
        <f ca="1" t="shared" si="63"/>
        <v>0.000155172944067943</v>
      </c>
      <c r="AE311" s="230">
        <f ca="1" t="shared" si="64"/>
        <v>1.95534772314368e-5</v>
      </c>
      <c r="AG311" s="12">
        <v>670</v>
      </c>
      <c r="AH311" s="231">
        <f ca="1" t="shared" si="65"/>
        <v>6.395701663934e-11</v>
      </c>
      <c r="AI311" s="231">
        <f ca="1" t="shared" si="66"/>
        <v>7.00959937803858e-6</v>
      </c>
      <c r="AJ311" s="231">
        <f ca="1" t="shared" si="67"/>
        <v>7.95663062975527e-5</v>
      </c>
      <c r="AK311" s="231">
        <f ca="1" t="shared" si="68"/>
        <v>2.31601409056631e-7</v>
      </c>
      <c r="AL311" s="231">
        <f ca="1" t="shared" si="69"/>
        <v>2.91842943752788e-8</v>
      </c>
      <c r="AN311" s="12">
        <v>670</v>
      </c>
      <c r="AO311" s="231">
        <f ca="1" t="shared" si="70"/>
        <v>2.81410873213096e-8</v>
      </c>
      <c r="AP311" s="231">
        <f ca="1" t="shared" si="71"/>
        <v>0.00380643538893802</v>
      </c>
      <c r="AQ311" s="231">
        <f ca="1" t="shared" si="72"/>
        <v>0.0452952077779627</v>
      </c>
      <c r="AR311" s="231">
        <f ca="1" t="shared" si="73"/>
        <v>0.000118055142451744</v>
      </c>
      <c r="AS311" s="231">
        <f ca="1" t="shared" si="74"/>
        <v>1.42646184130068e-5</v>
      </c>
    </row>
    <row r="312" ht="15" hidden="1" customHeight="1" spans="3:45">
      <c r="C312" s="221"/>
      <c r="D312" s="221"/>
      <c r="E312" s="221"/>
      <c r="F312" s="221"/>
      <c r="G312" s="221"/>
      <c r="I312" s="12">
        <v>671</v>
      </c>
      <c r="J312" s="230">
        <v>0.02996261</v>
      </c>
      <c r="L312" s="12">
        <v>671</v>
      </c>
      <c r="M312" s="230"/>
      <c r="N312" s="230">
        <v>0.00284369</v>
      </c>
      <c r="O312" s="230">
        <v>0.0419831</v>
      </c>
      <c r="P312" s="232">
        <v>0.0001375</v>
      </c>
      <c r="Q312" s="230">
        <v>1.81982e-5</v>
      </c>
      <c r="S312" s="12">
        <v>671</v>
      </c>
      <c r="T312" s="230">
        <v>4.02345362554731e-8</v>
      </c>
      <c r="U312" s="230">
        <v>0.00435067858387264</v>
      </c>
      <c r="V312" s="230">
        <v>0.0498947671279913</v>
      </c>
      <c r="W312" s="232">
        <v>0.000144019732521937</v>
      </c>
      <c r="X312" s="230">
        <v>1.81890074149662e-5</v>
      </c>
      <c r="Z312" s="12">
        <v>671</v>
      </c>
      <c r="AA312" s="230">
        <f ca="1" t="shared" si="60"/>
        <v>4.02345362554731e-8</v>
      </c>
      <c r="AB312" s="230">
        <f ca="1" t="shared" si="61"/>
        <v>0.00435067858387264</v>
      </c>
      <c r="AC312" s="230">
        <f ca="1" t="shared" si="62"/>
        <v>0.0498947671279913</v>
      </c>
      <c r="AD312" s="230">
        <f ca="1" t="shared" si="63"/>
        <v>0.000144019732521937</v>
      </c>
      <c r="AE312" s="230">
        <f ca="1" t="shared" si="64"/>
        <v>1.81890074149662e-5</v>
      </c>
      <c r="AG312" s="12">
        <v>671</v>
      </c>
      <c r="AH312" s="231">
        <f ca="1" t="shared" si="65"/>
        <v>5.99620510513757e-11</v>
      </c>
      <c r="AI312" s="231">
        <f ca="1" t="shared" si="66"/>
        <v>6.48387270323791e-6</v>
      </c>
      <c r="AJ312" s="231">
        <f ca="1" t="shared" si="67"/>
        <v>7.43588183725653e-5</v>
      </c>
      <c r="AK312" s="231">
        <f ca="1" t="shared" si="68"/>
        <v>2.14634474697373e-7</v>
      </c>
      <c r="AL312" s="231">
        <f ca="1" t="shared" si="69"/>
        <v>2.71073135841523e-8</v>
      </c>
      <c r="AN312" s="12">
        <v>671</v>
      </c>
      <c r="AO312" s="231">
        <f ca="1" t="shared" si="70"/>
        <v>2.63833024626053e-8</v>
      </c>
      <c r="AP312" s="231">
        <f ca="1" t="shared" si="71"/>
        <v>0.00352094908480776</v>
      </c>
      <c r="AQ312" s="231">
        <f ca="1" t="shared" si="72"/>
        <v>0.0423307086257532</v>
      </c>
      <c r="AR312" s="231">
        <f ca="1" t="shared" si="73"/>
        <v>0.000109406516949375</v>
      </c>
      <c r="AS312" s="231">
        <f ca="1" t="shared" si="74"/>
        <v>1.32494375059207e-5</v>
      </c>
    </row>
    <row r="313" ht="15" hidden="1" customHeight="1" spans="3:45">
      <c r="C313" s="221"/>
      <c r="D313" s="221"/>
      <c r="E313" s="221"/>
      <c r="F313" s="221"/>
      <c r="G313" s="221"/>
      <c r="I313" s="12">
        <v>672</v>
      </c>
      <c r="J313" s="230">
        <v>0.02807664</v>
      </c>
      <c r="L313" s="12">
        <v>672</v>
      </c>
      <c r="M313" s="230"/>
      <c r="N313" s="230">
        <v>0.00264175</v>
      </c>
      <c r="O313" s="230">
        <v>0.0393111</v>
      </c>
      <c r="P313" s="232">
        <v>0.0001277</v>
      </c>
      <c r="Q313" s="230">
        <v>1.69302e-5</v>
      </c>
      <c r="S313" s="12">
        <v>672</v>
      </c>
      <c r="T313" s="230">
        <v>3.77849628884826e-8</v>
      </c>
      <c r="U313" s="230">
        <v>0.00403060277907771</v>
      </c>
      <c r="V313" s="230">
        <v>0.0466760396401673</v>
      </c>
      <c r="W313" s="232">
        <v>0.000133695564716897</v>
      </c>
      <c r="X313" s="230">
        <v>1.69233368916454e-5</v>
      </c>
      <c r="Z313" s="12">
        <v>672</v>
      </c>
      <c r="AA313" s="230">
        <f ca="1" t="shared" si="60"/>
        <v>3.77849628884826e-8</v>
      </c>
      <c r="AB313" s="230">
        <f ca="1" t="shared" si="61"/>
        <v>0.00403060277907771</v>
      </c>
      <c r="AC313" s="230">
        <f ca="1" t="shared" si="62"/>
        <v>0.0466760396401673</v>
      </c>
      <c r="AD313" s="230">
        <f ca="1" t="shared" si="63"/>
        <v>0.000133695564716897</v>
      </c>
      <c r="AE313" s="230">
        <f ca="1" t="shared" si="64"/>
        <v>1.69233368916454e-5</v>
      </c>
      <c r="AG313" s="12">
        <v>672</v>
      </c>
      <c r="AH313" s="231">
        <f ca="1" t="shared" si="65"/>
        <v>5.62276233459563e-11</v>
      </c>
      <c r="AI313" s="231">
        <f ca="1" t="shared" si="66"/>
        <v>5.99792080219897e-6</v>
      </c>
      <c r="AJ313" s="231">
        <f ca="1" t="shared" si="67"/>
        <v>6.94583923216775e-5</v>
      </c>
      <c r="AK313" s="231">
        <f ca="1" t="shared" si="68"/>
        <v>1.98951733209668e-7</v>
      </c>
      <c r="AL313" s="231">
        <f ca="1" t="shared" si="69"/>
        <v>2.5183537041139e-8</v>
      </c>
      <c r="AN313" s="12">
        <v>672</v>
      </c>
      <c r="AO313" s="231">
        <f ca="1" t="shared" si="70"/>
        <v>2.47401542722208e-8</v>
      </c>
      <c r="AP313" s="231">
        <f ca="1" t="shared" si="71"/>
        <v>0.00325706174778938</v>
      </c>
      <c r="AQ313" s="231">
        <f ca="1" t="shared" si="72"/>
        <v>0.0395410125030575</v>
      </c>
      <c r="AR313" s="231">
        <f ca="1" t="shared" si="73"/>
        <v>0.000101412488381474</v>
      </c>
      <c r="AS313" s="231">
        <f ca="1" t="shared" si="74"/>
        <v>1.23091393460576e-5</v>
      </c>
    </row>
    <row r="314" ht="15" hidden="1" customHeight="1" spans="3:45">
      <c r="C314" s="221"/>
      <c r="D314" s="221"/>
      <c r="E314" s="221"/>
      <c r="F314" s="221"/>
      <c r="G314" s="221"/>
      <c r="I314" s="12">
        <v>673</v>
      </c>
      <c r="J314" s="230">
        <v>0.02632936</v>
      </c>
      <c r="L314" s="12">
        <v>673</v>
      </c>
      <c r="M314" s="230"/>
      <c r="N314" s="230">
        <v>0.00245374</v>
      </c>
      <c r="O314" s="230">
        <v>0.0367892</v>
      </c>
      <c r="P314" s="232">
        <v>0.0001187</v>
      </c>
      <c r="Q314" s="230">
        <v>1.57493e-5</v>
      </c>
      <c r="S314" s="12">
        <v>673</v>
      </c>
      <c r="T314" s="230">
        <v>3.54911441341851e-8</v>
      </c>
      <c r="U314" s="230">
        <v>0.00373430683890609</v>
      </c>
      <c r="V314" s="230">
        <v>0.0436444474918978</v>
      </c>
      <c r="W314" s="232">
        <v>0.000124137501458123</v>
      </c>
      <c r="X314" s="230">
        <v>1.57490731435678e-5</v>
      </c>
      <c r="Z314" s="12">
        <v>673</v>
      </c>
      <c r="AA314" s="230">
        <f ca="1" t="shared" si="60"/>
        <v>3.54911441341851e-8</v>
      </c>
      <c r="AB314" s="230">
        <f ca="1" t="shared" si="61"/>
        <v>0.00373430683890609</v>
      </c>
      <c r="AC314" s="230">
        <f ca="1" t="shared" si="62"/>
        <v>0.0436444474918978</v>
      </c>
      <c r="AD314" s="230">
        <f ca="1" t="shared" si="63"/>
        <v>0.000124137501458123</v>
      </c>
      <c r="AE314" s="230">
        <f ca="1" t="shared" si="64"/>
        <v>1.57490731435678e-5</v>
      </c>
      <c r="AG314" s="12">
        <v>673</v>
      </c>
      <c r="AH314" s="231">
        <f ca="1" t="shared" si="65"/>
        <v>5.27357267967089e-11</v>
      </c>
      <c r="AI314" s="231">
        <f ca="1" t="shared" si="66"/>
        <v>5.54874716033594e-6</v>
      </c>
      <c r="AJ314" s="231">
        <f ca="1" t="shared" si="67"/>
        <v>6.48505906268912e-5</v>
      </c>
      <c r="AK314" s="231">
        <f ca="1" t="shared" si="68"/>
        <v>1.8445393975947e-7</v>
      </c>
      <c r="AL314" s="231">
        <f ca="1" t="shared" si="69"/>
        <v>2.34012973901453e-8</v>
      </c>
      <c r="AN314" s="12">
        <v>673</v>
      </c>
      <c r="AO314" s="231">
        <f ca="1" t="shared" si="70"/>
        <v>2.32037197905519e-8</v>
      </c>
      <c r="AP314" s="231">
        <f ca="1" t="shared" si="71"/>
        <v>0.00301314617516445</v>
      </c>
      <c r="AQ314" s="231">
        <f ca="1" t="shared" si="72"/>
        <v>0.0369179004738968</v>
      </c>
      <c r="AR314" s="231">
        <f ca="1" t="shared" si="73"/>
        <v>9.40224682690292e-5</v>
      </c>
      <c r="AS314" s="231">
        <f ca="1" t="shared" si="74"/>
        <v>1.14380211954851e-5</v>
      </c>
    </row>
    <row r="315" ht="15" hidden="1" customHeight="1" spans="3:45">
      <c r="C315" s="221"/>
      <c r="D315" s="221"/>
      <c r="E315" s="221"/>
      <c r="F315" s="221"/>
      <c r="G315" s="221"/>
      <c r="I315" s="12">
        <v>674</v>
      </c>
      <c r="J315" s="230">
        <v>0.02470805</v>
      </c>
      <c r="L315" s="12">
        <v>674</v>
      </c>
      <c r="M315" s="230"/>
      <c r="N315" s="230">
        <v>0.00227875</v>
      </c>
      <c r="O315" s="230">
        <v>0.0344098</v>
      </c>
      <c r="P315" s="232">
        <v>0.0001104</v>
      </c>
      <c r="Q315" s="230">
        <v>1.46553e-5</v>
      </c>
      <c r="S315" s="12">
        <v>674</v>
      </c>
      <c r="T315" s="230">
        <v>3.3343025149877e-8</v>
      </c>
      <c r="U315" s="230">
        <v>0.00346003904786588</v>
      </c>
      <c r="V315" s="230">
        <v>0.0407915304651856</v>
      </c>
      <c r="W315" s="232">
        <v>0.000115286379330389</v>
      </c>
      <c r="X315" s="230">
        <v>1.46594271633128e-5</v>
      </c>
      <c r="Z315" s="12">
        <v>674</v>
      </c>
      <c r="AA315" s="230">
        <f ca="1" t="shared" si="60"/>
        <v>3.3343025149877e-8</v>
      </c>
      <c r="AB315" s="230">
        <f ca="1" t="shared" si="61"/>
        <v>0.00346003904786588</v>
      </c>
      <c r="AC315" s="230">
        <f ca="1" t="shared" si="62"/>
        <v>0.0407915304651856</v>
      </c>
      <c r="AD315" s="230">
        <f ca="1" t="shared" si="63"/>
        <v>0.000115286379330389</v>
      </c>
      <c r="AE315" s="230">
        <f ca="1" t="shared" si="64"/>
        <v>1.46594271633128e-5</v>
      </c>
      <c r="AG315" s="12">
        <v>674</v>
      </c>
      <c r="AH315" s="231">
        <f ca="1" t="shared" si="65"/>
        <v>4.94703637238531e-11</v>
      </c>
      <c r="AI315" s="231">
        <f ca="1" t="shared" si="66"/>
        <v>5.13358909178914e-6</v>
      </c>
      <c r="AJ315" s="231">
        <f ca="1" t="shared" si="67"/>
        <v>6.05215585536878e-5</v>
      </c>
      <c r="AK315" s="231">
        <f ca="1" t="shared" si="68"/>
        <v>1.71048040549539e-7</v>
      </c>
      <c r="AL315" s="231">
        <f ca="1" t="shared" si="69"/>
        <v>2.17498919336985e-8</v>
      </c>
      <c r="AN315" s="12">
        <v>674</v>
      </c>
      <c r="AO315" s="231">
        <f ca="1" t="shared" si="70"/>
        <v>2.17669600384954e-8</v>
      </c>
      <c r="AP315" s="231">
        <f ca="1" t="shared" si="71"/>
        <v>0.00278770214064933</v>
      </c>
      <c r="AQ315" s="231">
        <f ca="1" t="shared" si="72"/>
        <v>0.0344534853670811</v>
      </c>
      <c r="AR315" s="231">
        <f ca="1" t="shared" si="73"/>
        <v>8.7189023915782e-5</v>
      </c>
      <c r="AS315" s="231">
        <f ca="1" t="shared" si="74"/>
        <v>1.06308518194345e-5</v>
      </c>
    </row>
    <row r="316" ht="15" hidden="1" customHeight="1" spans="3:45">
      <c r="C316" s="221"/>
      <c r="D316" s="221"/>
      <c r="E316" s="221"/>
      <c r="F316" s="221"/>
      <c r="G316" s="221"/>
      <c r="I316" s="12">
        <v>675</v>
      </c>
      <c r="J316" s="230">
        <v>0.0232</v>
      </c>
      <c r="L316" s="12">
        <v>675</v>
      </c>
      <c r="M316" s="230"/>
      <c r="N316" s="230">
        <v>0.00211596</v>
      </c>
      <c r="O316" s="230">
        <v>0.032166</v>
      </c>
      <c r="P316" s="232">
        <v>0.0001026</v>
      </c>
      <c r="Q316" s="230">
        <v>1.3648e-5</v>
      </c>
      <c r="S316" s="12">
        <v>675</v>
      </c>
      <c r="T316" s="230">
        <v>3.13306929208094e-8</v>
      </c>
      <c r="U316" s="230">
        <v>0.0032061585857986</v>
      </c>
      <c r="V316" s="230">
        <v>0.0381088637425267</v>
      </c>
      <c r="W316" s="232">
        <v>0.000107088787167782</v>
      </c>
      <c r="X316" s="230">
        <v>1.36480309913052e-5</v>
      </c>
      <c r="Z316" s="12">
        <v>675</v>
      </c>
      <c r="AA316" s="230">
        <f ca="1" t="shared" si="60"/>
        <v>3.13306929208094e-8</v>
      </c>
      <c r="AB316" s="230">
        <f ca="1" t="shared" si="61"/>
        <v>0.0032061585857986</v>
      </c>
      <c r="AC316" s="230">
        <f ca="1" t="shared" si="62"/>
        <v>0.0381088637425267</v>
      </c>
      <c r="AD316" s="230">
        <f ca="1" t="shared" si="63"/>
        <v>0.000107088787167782</v>
      </c>
      <c r="AE316" s="230">
        <f ca="1" t="shared" si="64"/>
        <v>1.36480309913052e-5</v>
      </c>
      <c r="AG316" s="12">
        <v>675</v>
      </c>
      <c r="AH316" s="231">
        <f ca="1" t="shared" si="65"/>
        <v>4.64158413641621e-11</v>
      </c>
      <c r="AI316" s="231">
        <f ca="1" t="shared" si="66"/>
        <v>4.74986457155348e-6</v>
      </c>
      <c r="AJ316" s="231">
        <f ca="1" t="shared" si="67"/>
        <v>5.64575759148544e-5</v>
      </c>
      <c r="AK316" s="231">
        <f ca="1" t="shared" si="68"/>
        <v>1.58650055063381e-7</v>
      </c>
      <c r="AL316" s="231">
        <f ca="1" t="shared" si="69"/>
        <v>2.0219305172304e-8</v>
      </c>
      <c r="AN316" s="12">
        <v>675</v>
      </c>
      <c r="AO316" s="231">
        <f ca="1" t="shared" si="70"/>
        <v>2.04229702002313e-8</v>
      </c>
      <c r="AP316" s="231">
        <f ca="1" t="shared" si="71"/>
        <v>0.00257932752254997</v>
      </c>
      <c r="AQ316" s="231">
        <f ca="1" t="shared" si="72"/>
        <v>0.0321399566060048</v>
      </c>
      <c r="AR316" s="231">
        <f ca="1" t="shared" si="73"/>
        <v>8.08693475863296e-5</v>
      </c>
      <c r="AS316" s="231">
        <f ca="1" t="shared" si="74"/>
        <v>9.88273586985762e-6</v>
      </c>
    </row>
    <row r="317" ht="15" hidden="1" customHeight="1" spans="3:45">
      <c r="C317" s="221"/>
      <c r="D317" s="221"/>
      <c r="E317" s="221"/>
      <c r="F317" s="221"/>
      <c r="G317" s="221"/>
      <c r="I317" s="12">
        <v>676</v>
      </c>
      <c r="J317" s="230">
        <v>0.02180077</v>
      </c>
      <c r="L317" s="12">
        <v>676</v>
      </c>
      <c r="M317" s="230"/>
      <c r="N317" s="230">
        <v>0.00196456</v>
      </c>
      <c r="O317" s="230">
        <v>0.0300509</v>
      </c>
      <c r="P317" s="231">
        <v>9.54e-5</v>
      </c>
      <c r="Q317" s="230">
        <v>1.27143e-5</v>
      </c>
      <c r="S317" s="12">
        <v>676</v>
      </c>
      <c r="T317" s="230">
        <v>2.94454367239228e-8</v>
      </c>
      <c r="U317" s="230">
        <v>0.00297115972884501</v>
      </c>
      <c r="V317" s="230">
        <v>0.0355883620406967</v>
      </c>
      <c r="W317" s="231">
        <v>9.94944830803218e-5</v>
      </c>
      <c r="X317" s="230">
        <v>1.27091059433161e-5</v>
      </c>
      <c r="Z317" s="12">
        <v>676</v>
      </c>
      <c r="AA317" s="230">
        <f ca="1" t="shared" si="60"/>
        <v>2.94454367239228e-8</v>
      </c>
      <c r="AB317" s="230">
        <f ca="1" t="shared" si="61"/>
        <v>0.00297115972884501</v>
      </c>
      <c r="AC317" s="230">
        <f ca="1" t="shared" si="62"/>
        <v>0.0355883620406967</v>
      </c>
      <c r="AD317" s="230">
        <f ca="1" t="shared" si="63"/>
        <v>9.94944830803218e-5</v>
      </c>
      <c r="AE317" s="230">
        <f ca="1" t="shared" si="64"/>
        <v>1.27091059433161e-5</v>
      </c>
      <c r="AG317" s="12">
        <v>676</v>
      </c>
      <c r="AH317" s="231">
        <f ca="1" t="shared" si="65"/>
        <v>4.35583383489982e-11</v>
      </c>
      <c r="AI317" s="231">
        <f ca="1" t="shared" si="66"/>
        <v>4.39520669947487e-6</v>
      </c>
      <c r="AJ317" s="231">
        <f ca="1" t="shared" si="67"/>
        <v>5.2645505977362e-5</v>
      </c>
      <c r="AK317" s="231">
        <f ca="1" t="shared" si="68"/>
        <v>1.47181187988642e-7</v>
      </c>
      <c r="AL317" s="231">
        <f ca="1" t="shared" si="69"/>
        <v>1.880045257887e-8</v>
      </c>
      <c r="AN317" s="12">
        <v>676</v>
      </c>
      <c r="AO317" s="231">
        <f ca="1" t="shared" si="70"/>
        <v>1.91656688735592e-8</v>
      </c>
      <c r="AP317" s="231">
        <f ca="1" t="shared" si="71"/>
        <v>0.00238673701880806</v>
      </c>
      <c r="AQ317" s="231">
        <f ca="1" t="shared" si="72"/>
        <v>0.0299698357606672</v>
      </c>
      <c r="AR317" s="231">
        <f ca="1" t="shared" si="73"/>
        <v>7.50232746207832e-5</v>
      </c>
      <c r="AS317" s="231">
        <f ca="1" t="shared" si="74"/>
        <v>9.18923303681377e-6</v>
      </c>
    </row>
    <row r="318" ht="15" hidden="1" customHeight="1" spans="3:45">
      <c r="C318" s="221"/>
      <c r="D318" s="221"/>
      <c r="E318" s="221"/>
      <c r="F318" s="221"/>
      <c r="G318" s="221"/>
      <c r="I318" s="12">
        <v>677</v>
      </c>
      <c r="J318" s="230">
        <v>0.02050112</v>
      </c>
      <c r="L318" s="12">
        <v>677</v>
      </c>
      <c r="M318" s="230"/>
      <c r="N318" s="230">
        <v>0.00182378</v>
      </c>
      <c r="O318" s="230">
        <v>0.0280594</v>
      </c>
      <c r="P318" s="231">
        <v>8.88e-5</v>
      </c>
      <c r="Q318" s="230">
        <v>1.18407e-5</v>
      </c>
      <c r="S318" s="12">
        <v>677</v>
      </c>
      <c r="T318" s="230">
        <v>2.76787835836399e-8</v>
      </c>
      <c r="U318" s="230">
        <v>0.00275363897480896</v>
      </c>
      <c r="V318" s="230">
        <v>0.0332217878074247</v>
      </c>
      <c r="W318" s="231">
        <v>9.24581075560478e-5</v>
      </c>
      <c r="X318" s="230">
        <v>1.18372276523686e-5</v>
      </c>
      <c r="Z318" s="12">
        <v>677</v>
      </c>
      <c r="AA318" s="230">
        <f ca="1" t="shared" si="60"/>
        <v>2.76787835836399e-8</v>
      </c>
      <c r="AB318" s="230">
        <f ca="1" t="shared" si="61"/>
        <v>0.00275363897480896</v>
      </c>
      <c r="AC318" s="230">
        <f ca="1" t="shared" si="62"/>
        <v>0.0332217878074247</v>
      </c>
      <c r="AD318" s="230">
        <f ca="1" t="shared" si="63"/>
        <v>9.24581075560478e-5</v>
      </c>
      <c r="AE318" s="230">
        <f ca="1" t="shared" si="64"/>
        <v>1.18372276523686e-5</v>
      </c>
      <c r="AG318" s="12">
        <v>677</v>
      </c>
      <c r="AH318" s="231">
        <f ca="1" t="shared" si="65"/>
        <v>4.08844661501328e-11</v>
      </c>
      <c r="AI318" s="231">
        <f ca="1" t="shared" si="66"/>
        <v>4.06741355215504e-6</v>
      </c>
      <c r="AJ318" s="231">
        <f ca="1" t="shared" si="67"/>
        <v>4.90720647081606e-5</v>
      </c>
      <c r="AK318" s="231">
        <f ca="1" t="shared" si="68"/>
        <v>1.36570321353099e-7</v>
      </c>
      <c r="AL318" s="231">
        <f ca="1" t="shared" si="69"/>
        <v>1.74848266652417e-8</v>
      </c>
      <c r="AN318" s="12">
        <v>677</v>
      </c>
      <c r="AO318" s="231">
        <f ca="1" t="shared" si="70"/>
        <v>1.79891651060584e-8</v>
      </c>
      <c r="AP318" s="231">
        <f ca="1" t="shared" si="71"/>
        <v>0.00220873491499043</v>
      </c>
      <c r="AQ318" s="231">
        <f ca="1" t="shared" si="72"/>
        <v>0.0279355605466649</v>
      </c>
      <c r="AR318" s="231">
        <f ca="1" t="shared" si="73"/>
        <v>6.96145537615367e-5</v>
      </c>
      <c r="AS318" s="231">
        <f ca="1" t="shared" si="74"/>
        <v>8.54618505385249e-6</v>
      </c>
    </row>
    <row r="319" ht="15" hidden="1" customHeight="1" spans="3:45">
      <c r="C319" s="221"/>
      <c r="D319" s="221"/>
      <c r="E319" s="221"/>
      <c r="F319" s="221"/>
      <c r="G319" s="221"/>
      <c r="I319" s="12">
        <v>678</v>
      </c>
      <c r="J319" s="230">
        <v>0.01928108</v>
      </c>
      <c r="L319" s="12">
        <v>678</v>
      </c>
      <c r="M319" s="230"/>
      <c r="N319" s="230">
        <v>0.00169287</v>
      </c>
      <c r="O319" s="230">
        <v>0.0261861</v>
      </c>
      <c r="P319" s="231">
        <v>8.26e-5</v>
      </c>
      <c r="Q319" s="230">
        <v>1.10269e-5</v>
      </c>
      <c r="S319" s="12">
        <v>678</v>
      </c>
      <c r="T319" s="230">
        <v>2.60229184054062e-8</v>
      </c>
      <c r="U319" s="230">
        <v>0.00255228401212263</v>
      </c>
      <c r="V319" s="230">
        <v>0.0310013781074026</v>
      </c>
      <c r="W319" s="231">
        <v>8.59369626608177e-5</v>
      </c>
      <c r="X319" s="230">
        <v>1.10274983127066e-5</v>
      </c>
      <c r="Z319" s="12">
        <v>678</v>
      </c>
      <c r="AA319" s="230">
        <f ca="1" t="shared" si="60"/>
        <v>2.60229184054062e-8</v>
      </c>
      <c r="AB319" s="230">
        <f ca="1" t="shared" si="61"/>
        <v>0.00255228401212263</v>
      </c>
      <c r="AC319" s="230">
        <f ca="1" t="shared" si="62"/>
        <v>0.0310013781074026</v>
      </c>
      <c r="AD319" s="230">
        <f ca="1" t="shared" si="63"/>
        <v>8.59369626608177e-5</v>
      </c>
      <c r="AE319" s="230">
        <f ca="1" t="shared" si="64"/>
        <v>1.10274983127066e-5</v>
      </c>
      <c r="AG319" s="12">
        <v>678</v>
      </c>
      <c r="AH319" s="231">
        <f ca="1" t="shared" si="65"/>
        <v>3.83818855536965e-11</v>
      </c>
      <c r="AI319" s="231">
        <f ca="1" t="shared" si="66"/>
        <v>3.76443069634606e-6</v>
      </c>
      <c r="AJ319" s="231">
        <f ca="1" t="shared" si="67"/>
        <v>4.57247464710953e-5</v>
      </c>
      <c r="AK319" s="231">
        <f ca="1" t="shared" si="68"/>
        <v>1.26750682390587e-7</v>
      </c>
      <c r="AL319" s="231">
        <f ca="1" t="shared" si="69"/>
        <v>1.62647467739035e-8</v>
      </c>
      <c r="AN319" s="12">
        <v>678</v>
      </c>
      <c r="AO319" s="231">
        <f ca="1" t="shared" si="70"/>
        <v>1.68880296436264e-8</v>
      </c>
      <c r="AP319" s="231">
        <f ca="1" t="shared" si="71"/>
        <v>0.00204420558850623</v>
      </c>
      <c r="AQ319" s="231">
        <f ca="1" t="shared" si="72"/>
        <v>0.0260300118024535</v>
      </c>
      <c r="AR319" s="231">
        <f ca="1" t="shared" si="73"/>
        <v>6.46091486508079e-5</v>
      </c>
      <c r="AS319" s="231">
        <f ca="1" t="shared" si="74"/>
        <v>7.94983779050856e-6</v>
      </c>
    </row>
    <row r="320" ht="15" hidden="1" customHeight="1" spans="3:45">
      <c r="C320" s="221"/>
      <c r="D320" s="221"/>
      <c r="E320" s="221"/>
      <c r="F320" s="221"/>
      <c r="G320" s="221"/>
      <c r="I320" s="12">
        <v>679</v>
      </c>
      <c r="J320" s="230">
        <v>0.01812069</v>
      </c>
      <c r="L320" s="12">
        <v>679</v>
      </c>
      <c r="M320" s="230"/>
      <c r="N320" s="230">
        <v>0.00157115</v>
      </c>
      <c r="O320" s="230">
        <v>0.024426</v>
      </c>
      <c r="P320" s="231">
        <v>7.69e-5</v>
      </c>
      <c r="Q320" s="230">
        <v>1.02723e-5</v>
      </c>
      <c r="S320" s="12">
        <v>679</v>
      </c>
      <c r="T320" s="230">
        <v>2.44706778673263e-8</v>
      </c>
      <c r="U320" s="230">
        <v>0.0023658979066604</v>
      </c>
      <c r="V320" s="230">
        <v>0.0289195812388751</v>
      </c>
      <c r="W320" s="231">
        <v>7.98923139557013e-5</v>
      </c>
      <c r="X320" s="230">
        <v>1.02752879218487e-5</v>
      </c>
      <c r="Z320" s="12">
        <v>679</v>
      </c>
      <c r="AA320" s="230">
        <f ca="1" t="shared" si="60"/>
        <v>2.44706778673263e-8</v>
      </c>
      <c r="AB320" s="230">
        <f ca="1" t="shared" si="61"/>
        <v>0.0023658979066604</v>
      </c>
      <c r="AC320" s="230">
        <f ca="1" t="shared" si="62"/>
        <v>0.0289195812388751</v>
      </c>
      <c r="AD320" s="230">
        <f ca="1" t="shared" si="63"/>
        <v>7.98923139557013e-5</v>
      </c>
      <c r="AE320" s="230">
        <f ca="1" t="shared" si="64"/>
        <v>1.02752879218487e-5</v>
      </c>
      <c r="AG320" s="12">
        <v>679</v>
      </c>
      <c r="AH320" s="231">
        <f ca="1" t="shared" si="65"/>
        <v>3.60392899371521e-11</v>
      </c>
      <c r="AI320" s="231">
        <f ca="1" t="shared" si="66"/>
        <v>3.48438572409485e-6</v>
      </c>
      <c r="AJ320" s="231">
        <f ca="1" t="shared" si="67"/>
        <v>4.25914303959869e-5</v>
      </c>
      <c r="AK320" s="231">
        <f ca="1" t="shared" si="68"/>
        <v>1.17661728948014e-7</v>
      </c>
      <c r="AL320" s="231">
        <f ca="1" t="shared" si="69"/>
        <v>1.51329719025754e-8</v>
      </c>
      <c r="AN320" s="12">
        <v>679</v>
      </c>
      <c r="AO320" s="231">
        <f ca="1" t="shared" si="70"/>
        <v>1.58572875723469e-8</v>
      </c>
      <c r="AP320" s="231">
        <f ca="1" t="shared" si="71"/>
        <v>0.00189213226228862</v>
      </c>
      <c r="AQ320" s="231">
        <f ca="1" t="shared" si="72"/>
        <v>0.024246289404617</v>
      </c>
      <c r="AR320" s="231">
        <f ca="1" t="shared" si="73"/>
        <v>5.99761988869407e-5</v>
      </c>
      <c r="AS320" s="231">
        <f ca="1" t="shared" si="74"/>
        <v>7.39665200978257e-6</v>
      </c>
    </row>
    <row r="321" ht="15" hidden="1" customHeight="1" spans="3:45">
      <c r="C321" s="221"/>
      <c r="D321" s="221"/>
      <c r="E321" s="221"/>
      <c r="F321" s="221"/>
      <c r="G321" s="221"/>
      <c r="I321" s="12">
        <v>680</v>
      </c>
      <c r="J321" s="230">
        <v>0.017</v>
      </c>
      <c r="L321" s="12">
        <v>680</v>
      </c>
      <c r="M321" s="230"/>
      <c r="N321" s="230">
        <v>0.00145798</v>
      </c>
      <c r="O321" s="230">
        <v>0.0227738</v>
      </c>
      <c r="P321" s="231">
        <v>7.15e-5</v>
      </c>
      <c r="Q321" s="230">
        <v>9.57637e-6</v>
      </c>
      <c r="S321" s="12">
        <v>680</v>
      </c>
      <c r="T321" s="230">
        <v>2.30152660722032e-8</v>
      </c>
      <c r="U321" s="230">
        <v>0.00219336545929381</v>
      </c>
      <c r="V321" s="230">
        <v>0.0269689476336068</v>
      </c>
      <c r="W321" s="231">
        <v>7.42882281318786e-5</v>
      </c>
      <c r="X321" s="230">
        <v>9.57637182007829e-6</v>
      </c>
      <c r="Z321" s="12">
        <v>680</v>
      </c>
      <c r="AA321" s="230">
        <f ca="1" t="shared" si="60"/>
        <v>2.30152660722032e-8</v>
      </c>
      <c r="AB321" s="230">
        <f ca="1" t="shared" si="61"/>
        <v>0.00219336545929381</v>
      </c>
      <c r="AC321" s="230">
        <f ca="1" t="shared" si="62"/>
        <v>0.0269689476336068</v>
      </c>
      <c r="AD321" s="230">
        <f ca="1" t="shared" si="63"/>
        <v>7.42882281318786e-5</v>
      </c>
      <c r="AE321" s="230">
        <f ca="1" t="shared" si="64"/>
        <v>9.57637182007829e-6</v>
      </c>
      <c r="AG321" s="12">
        <v>680</v>
      </c>
      <c r="AH321" s="231">
        <f ca="1" t="shared" si="65"/>
        <v>3.38459795179459e-11</v>
      </c>
      <c r="AI321" s="231">
        <f ca="1" t="shared" si="66"/>
        <v>3.22553744013796e-6</v>
      </c>
      <c r="AJ321" s="231">
        <f ca="1" t="shared" si="67"/>
        <v>3.96602171082453e-5</v>
      </c>
      <c r="AK321" s="231">
        <f ca="1" t="shared" si="68"/>
        <v>1.09247394311586e-7</v>
      </c>
      <c r="AL321" s="231">
        <f ca="1" t="shared" si="69"/>
        <v>1.40828997354093e-8</v>
      </c>
      <c r="AN321" s="12">
        <v>680</v>
      </c>
      <c r="AO321" s="231">
        <f ca="1" t="shared" si="70"/>
        <v>1.48922309878962e-8</v>
      </c>
      <c r="AP321" s="231">
        <f ca="1" t="shared" si="71"/>
        <v>0.00175156941193424</v>
      </c>
      <c r="AQ321" s="231">
        <f ca="1" t="shared" si="72"/>
        <v>0.0225776193219156</v>
      </c>
      <c r="AR321" s="231">
        <f ca="1" t="shared" si="73"/>
        <v>5.56871253524304e-5</v>
      </c>
      <c r="AS321" s="231">
        <f ca="1" t="shared" si="74"/>
        <v>6.88340065005696e-6</v>
      </c>
    </row>
    <row r="322" ht="15" hidden="1" customHeight="1" spans="3:45">
      <c r="C322" s="221"/>
      <c r="D322" s="221"/>
      <c r="E322" s="221"/>
      <c r="F322" s="221"/>
      <c r="G322" s="221"/>
      <c r="I322" s="12">
        <v>681</v>
      </c>
      <c r="J322" s="230">
        <v>0.01590379</v>
      </c>
      <c r="L322" s="12">
        <v>681</v>
      </c>
      <c r="M322" s="230"/>
      <c r="N322" s="230">
        <v>0.00135274</v>
      </c>
      <c r="O322" s="230">
        <v>0.0212238</v>
      </c>
      <c r="P322" s="231">
        <v>6.66e-5</v>
      </c>
      <c r="Q322" s="230">
        <v>8.93033e-6</v>
      </c>
      <c r="S322" s="12">
        <v>681</v>
      </c>
      <c r="T322" s="230">
        <v>2.16503539103937e-8</v>
      </c>
      <c r="U322" s="230">
        <v>0.00203364432907833</v>
      </c>
      <c r="V322" s="230">
        <v>0.0251422997613471</v>
      </c>
      <c r="W322" s="231">
        <v>6.90914011314102e-5</v>
      </c>
      <c r="X322" s="230">
        <v>8.92684512273219e-6</v>
      </c>
      <c r="Z322" s="12">
        <v>681</v>
      </c>
      <c r="AA322" s="230">
        <f ca="1" t="shared" si="60"/>
        <v>2.16503539103937e-8</v>
      </c>
      <c r="AB322" s="230">
        <f ca="1" t="shared" si="61"/>
        <v>0.00203364432907833</v>
      </c>
      <c r="AC322" s="230">
        <f ca="1" t="shared" si="62"/>
        <v>0.0251422997613471</v>
      </c>
      <c r="AD322" s="230">
        <f ca="1" t="shared" si="63"/>
        <v>6.90914011314102e-5</v>
      </c>
      <c r="AE322" s="230">
        <f ca="1" t="shared" si="64"/>
        <v>8.92684512273219e-6</v>
      </c>
      <c r="AG322" s="12">
        <v>681</v>
      </c>
      <c r="AH322" s="231">
        <f ca="1" t="shared" si="65"/>
        <v>3.17920028052771e-11</v>
      </c>
      <c r="AI322" s="231">
        <f ca="1" t="shared" si="66"/>
        <v>2.98626186355115e-6</v>
      </c>
      <c r="AJ322" s="231">
        <f ca="1" t="shared" si="67"/>
        <v>3.69196765952233e-5</v>
      </c>
      <c r="AK322" s="231">
        <f ca="1" t="shared" si="68"/>
        <v>1.01455801955081e-7</v>
      </c>
      <c r="AL322" s="231">
        <f ca="1" t="shared" si="69"/>
        <v>1.31084363035715e-8</v>
      </c>
      <c r="AN322" s="12">
        <v>681</v>
      </c>
      <c r="AO322" s="231">
        <f ca="1" t="shared" si="70"/>
        <v>1.39884812343219e-8</v>
      </c>
      <c r="AP322" s="231">
        <f ca="1" t="shared" si="71"/>
        <v>0.00162163516415367</v>
      </c>
      <c r="AQ322" s="231">
        <f ca="1" t="shared" si="72"/>
        <v>0.0210174947197124</v>
      </c>
      <c r="AR322" s="231">
        <f ca="1" t="shared" si="73"/>
        <v>5.17154848113825e-5</v>
      </c>
      <c r="AS322" s="231">
        <f ca="1" t="shared" si="74"/>
        <v>6.40710511815713e-6</v>
      </c>
    </row>
    <row r="323" ht="15" hidden="1" customHeight="1" spans="3:45">
      <c r="C323" s="221"/>
      <c r="D323" s="221"/>
      <c r="E323" s="221"/>
      <c r="F323" s="221"/>
      <c r="G323" s="221"/>
      <c r="I323" s="12">
        <v>682</v>
      </c>
      <c r="J323" s="230">
        <v>0.01483718</v>
      </c>
      <c r="L323" s="12">
        <v>682</v>
      </c>
      <c r="M323" s="230"/>
      <c r="N323" s="230">
        <v>0.00125476</v>
      </c>
      <c r="O323" s="230">
        <v>0.0197679</v>
      </c>
      <c r="P323" s="231">
        <v>6.2e-5</v>
      </c>
      <c r="Q323" s="230">
        <v>8.32543e-6</v>
      </c>
      <c r="S323" s="12">
        <v>682</v>
      </c>
      <c r="T323" s="230">
        <v>2.03701393512379e-8</v>
      </c>
      <c r="U323" s="230">
        <v>0.00188577554740385</v>
      </c>
      <c r="V323" s="230">
        <v>0.0234328439300449</v>
      </c>
      <c r="W323" s="231">
        <v>6.4271287514308e-5</v>
      </c>
      <c r="X323" s="230">
        <v>8.32307867733275e-6</v>
      </c>
      <c r="Z323" s="12">
        <v>682</v>
      </c>
      <c r="AA323" s="230">
        <f ca="1" t="shared" si="60"/>
        <v>2.03701393512379e-8</v>
      </c>
      <c r="AB323" s="230">
        <f ca="1" t="shared" si="61"/>
        <v>0.00188577554740385</v>
      </c>
      <c r="AC323" s="230">
        <f ca="1" t="shared" si="62"/>
        <v>0.0234328439300449</v>
      </c>
      <c r="AD323" s="230">
        <f ca="1" t="shared" si="63"/>
        <v>6.4271287514308e-5</v>
      </c>
      <c r="AE323" s="230">
        <f ca="1" t="shared" si="64"/>
        <v>8.32307867733275e-6</v>
      </c>
      <c r="AG323" s="12">
        <v>682</v>
      </c>
      <c r="AH323" s="231">
        <f ca="1" t="shared" si="65"/>
        <v>2.98682395179441e-11</v>
      </c>
      <c r="AI323" s="231">
        <f ca="1" t="shared" si="66"/>
        <v>2.76506678504963e-6</v>
      </c>
      <c r="AJ323" s="231">
        <f ca="1" t="shared" si="67"/>
        <v>3.43590086950805e-5</v>
      </c>
      <c r="AK323" s="231">
        <f ca="1" t="shared" si="68"/>
        <v>9.4239424507783e-8</v>
      </c>
      <c r="AL323" s="231">
        <f ca="1" t="shared" si="69"/>
        <v>1.22039276793735e-8</v>
      </c>
      <c r="AN323" s="12">
        <v>682</v>
      </c>
      <c r="AO323" s="231">
        <f ca="1" t="shared" si="70"/>
        <v>1.31420253878954e-8</v>
      </c>
      <c r="AP323" s="231">
        <f ca="1" t="shared" si="71"/>
        <v>0.00150151920184847</v>
      </c>
      <c r="AQ323" s="231">
        <f ca="1" t="shared" si="72"/>
        <v>0.0195597673224699</v>
      </c>
      <c r="AR323" s="231">
        <f ca="1" t="shared" si="73"/>
        <v>4.8037050940896e-5</v>
      </c>
      <c r="AS323" s="231">
        <f ca="1" t="shared" si="74"/>
        <v>5.96500190299812e-6</v>
      </c>
    </row>
    <row r="324" ht="15" hidden="1" customHeight="1" spans="3:45">
      <c r="C324" s="221"/>
      <c r="D324" s="221"/>
      <c r="E324" s="221"/>
      <c r="F324" s="221"/>
      <c r="G324" s="221"/>
      <c r="I324" s="12">
        <v>683</v>
      </c>
      <c r="J324" s="230">
        <v>0.01381068</v>
      </c>
      <c r="L324" s="12">
        <v>683</v>
      </c>
      <c r="M324" s="230"/>
      <c r="N324" s="230">
        <v>0.0011634</v>
      </c>
      <c r="O324" s="230">
        <v>0.0183986</v>
      </c>
      <c r="P324" s="231">
        <v>5.78e-5</v>
      </c>
      <c r="Q324" s="230">
        <v>7.76135e-6</v>
      </c>
      <c r="S324" s="12">
        <v>683</v>
      </c>
      <c r="T324" s="230">
        <v>1.91691122269321e-8</v>
      </c>
      <c r="U324" s="230">
        <v>0.00174887592781136</v>
      </c>
      <c r="V324" s="230">
        <v>0.0218339343429294</v>
      </c>
      <c r="W324" s="231">
        <v>5.97996992773704e-5</v>
      </c>
      <c r="X324" s="230">
        <v>7.76175624919487e-6</v>
      </c>
      <c r="Z324" s="12">
        <v>683</v>
      </c>
      <c r="AA324" s="230">
        <f ca="1" t="shared" si="60"/>
        <v>1.91691122269321e-8</v>
      </c>
      <c r="AB324" s="230">
        <f ca="1" t="shared" si="61"/>
        <v>0.00174887592781136</v>
      </c>
      <c r="AC324" s="230">
        <f ca="1" t="shared" si="62"/>
        <v>0.0218339343429294</v>
      </c>
      <c r="AD324" s="230">
        <f ca="1" t="shared" si="63"/>
        <v>5.97996992773704e-5</v>
      </c>
      <c r="AE324" s="230">
        <f ca="1" t="shared" si="64"/>
        <v>7.76175624919487e-6</v>
      </c>
      <c r="AG324" s="12">
        <v>683</v>
      </c>
      <c r="AH324" s="231">
        <f ca="1" t="shared" si="65"/>
        <v>2.80660501126385e-11</v>
      </c>
      <c r="AI324" s="231">
        <f ca="1" t="shared" si="66"/>
        <v>2.56057968932849e-6</v>
      </c>
      <c r="AJ324" s="231">
        <f ca="1" t="shared" si="67"/>
        <v>3.19676930350357e-5</v>
      </c>
      <c r="AK324" s="231">
        <f ca="1" t="shared" si="68"/>
        <v>8.75544645349493e-8</v>
      </c>
      <c r="AL324" s="231">
        <f ca="1" t="shared" si="69"/>
        <v>1.13642111994068e-8</v>
      </c>
      <c r="AN324" s="12">
        <v>683</v>
      </c>
      <c r="AO324" s="231">
        <f ca="1" t="shared" si="70"/>
        <v>1.23490620495609e-8</v>
      </c>
      <c r="AP324" s="231">
        <f ca="1" t="shared" si="71"/>
        <v>0.00139047620555787</v>
      </c>
      <c r="AQ324" s="231">
        <f ca="1" t="shared" si="72"/>
        <v>0.018198448131915</v>
      </c>
      <c r="AR324" s="231">
        <f ca="1" t="shared" si="73"/>
        <v>4.46294986937328e-5</v>
      </c>
      <c r="AS324" s="231">
        <f ca="1" t="shared" si="74"/>
        <v>5.55456761228645e-6</v>
      </c>
    </row>
    <row r="325" ht="15" hidden="1" customHeight="1" spans="3:45">
      <c r="C325" s="221"/>
      <c r="D325" s="221"/>
      <c r="E325" s="221"/>
      <c r="F325" s="221"/>
      <c r="G325" s="221"/>
      <c r="I325" s="12">
        <v>684</v>
      </c>
      <c r="J325" s="230">
        <v>0.01283478</v>
      </c>
      <c r="L325" s="12">
        <v>684</v>
      </c>
      <c r="M325" s="230"/>
      <c r="N325" s="230">
        <v>0.00107812</v>
      </c>
      <c r="O325" s="230">
        <v>0.0171092</v>
      </c>
      <c r="P325" s="231">
        <v>5.38e-5</v>
      </c>
      <c r="Q325" s="230">
        <v>7.23773e-6</v>
      </c>
      <c r="S325" s="12">
        <v>684</v>
      </c>
      <c r="T325" s="230">
        <v>1.80421795306639e-8</v>
      </c>
      <c r="U325" s="230">
        <v>0.00162212007850651</v>
      </c>
      <c r="V325" s="230">
        <v>0.0203391594028352</v>
      </c>
      <c r="W325" s="231">
        <v>5.56506190844708e-5</v>
      </c>
      <c r="X325" s="230">
        <v>7.23975717513527e-6</v>
      </c>
      <c r="Z325" s="12">
        <v>684</v>
      </c>
      <c r="AA325" s="230">
        <f ca="1" t="shared" si="60"/>
        <v>1.80421795306639e-8</v>
      </c>
      <c r="AB325" s="230">
        <f ca="1" t="shared" si="61"/>
        <v>0.00162212007850651</v>
      </c>
      <c r="AC325" s="230">
        <f ca="1" t="shared" si="62"/>
        <v>0.0203391594028352</v>
      </c>
      <c r="AD325" s="230">
        <f ca="1" t="shared" si="63"/>
        <v>5.56506190844708e-5</v>
      </c>
      <c r="AE325" s="230">
        <f ca="1" t="shared" si="64"/>
        <v>7.23975717513527e-6</v>
      </c>
      <c r="AG325" s="12">
        <v>684</v>
      </c>
      <c r="AH325" s="231">
        <f ca="1" t="shared" si="65"/>
        <v>2.6377455454187e-11</v>
      </c>
      <c r="AI325" s="231">
        <f ca="1" t="shared" si="66"/>
        <v>2.37152058261186e-6</v>
      </c>
      <c r="AJ325" s="231">
        <f ca="1" t="shared" si="67"/>
        <v>2.97356131620398e-5</v>
      </c>
      <c r="AK325" s="231">
        <f ca="1" t="shared" si="68"/>
        <v>8.13605542170626e-8</v>
      </c>
      <c r="AL325" s="231">
        <f ca="1" t="shared" si="69"/>
        <v>1.05844403145252e-8</v>
      </c>
      <c r="AN325" s="12">
        <v>684</v>
      </c>
      <c r="AO325" s="231">
        <f ca="1" t="shared" si="70"/>
        <v>1.16060803998423e-8</v>
      </c>
      <c r="AP325" s="231">
        <f ca="1" t="shared" si="71"/>
        <v>0.00128781109795388</v>
      </c>
      <c r="AQ325" s="231">
        <f ca="1" t="shared" si="72"/>
        <v>0.0169277780916813</v>
      </c>
      <c r="AR325" s="231">
        <f ca="1" t="shared" si="73"/>
        <v>4.14722512145836e-5</v>
      </c>
      <c r="AS325" s="231">
        <f ca="1" t="shared" si="74"/>
        <v>5.17343336318051e-6</v>
      </c>
    </row>
    <row r="326" ht="15" hidden="1" customHeight="1" spans="3:45">
      <c r="C326" s="221"/>
      <c r="D326" s="221"/>
      <c r="E326" s="221"/>
      <c r="F326" s="221"/>
      <c r="G326" s="221"/>
      <c r="I326" s="12">
        <v>685</v>
      </c>
      <c r="J326" s="230">
        <v>0.01192</v>
      </c>
      <c r="L326" s="12">
        <v>685</v>
      </c>
      <c r="M326" s="230"/>
      <c r="N326" s="230">
        <v>0.000998424</v>
      </c>
      <c r="O326" s="230">
        <v>0.0158939</v>
      </c>
      <c r="P326" s="231">
        <v>5.01e-5</v>
      </c>
      <c r="Q326" s="230">
        <v>6.75425e-6</v>
      </c>
      <c r="S326" s="12">
        <v>685</v>
      </c>
      <c r="T326" s="230">
        <v>1.69845482451799e-8</v>
      </c>
      <c r="U326" s="230">
        <v>0.00150474878039663</v>
      </c>
      <c r="V326" s="230">
        <v>0.018942443476243</v>
      </c>
      <c r="W326" s="231">
        <v>5.17999093822964e-5</v>
      </c>
      <c r="X326" s="230">
        <v>6.75424795555789e-6</v>
      </c>
      <c r="Z326" s="12">
        <v>685</v>
      </c>
      <c r="AA326" s="230">
        <f ca="1" t="shared" si="60"/>
        <v>1.69845482451799e-8</v>
      </c>
      <c r="AB326" s="230">
        <f ca="1" t="shared" si="61"/>
        <v>0.00150474878039663</v>
      </c>
      <c r="AC326" s="230">
        <f ca="1" t="shared" si="62"/>
        <v>0.018942443476243</v>
      </c>
      <c r="AD326" s="230">
        <f ca="1" t="shared" si="63"/>
        <v>5.17999093822964e-5</v>
      </c>
      <c r="AE326" s="230">
        <f ca="1" t="shared" si="64"/>
        <v>6.75424795555789e-6</v>
      </c>
      <c r="AG326" s="12">
        <v>685</v>
      </c>
      <c r="AH326" s="231">
        <f ca="1" t="shared" si="65"/>
        <v>2.47949609418685e-11</v>
      </c>
      <c r="AI326" s="231">
        <f ca="1" t="shared" si="66"/>
        <v>2.19671354802428e-6</v>
      </c>
      <c r="AJ326" s="231">
        <f ca="1" t="shared" si="67"/>
        <v>2.76532021550993e-5</v>
      </c>
      <c r="AK326" s="231">
        <f ca="1" t="shared" si="68"/>
        <v>7.5620305667586e-8</v>
      </c>
      <c r="AL326" s="231">
        <f ca="1" t="shared" si="69"/>
        <v>9.86021599351517e-9</v>
      </c>
      <c r="AN326" s="12">
        <v>685</v>
      </c>
      <c r="AO326" s="231">
        <f ca="1" t="shared" si="70"/>
        <v>1.09097828144221e-8</v>
      </c>
      <c r="AP326" s="231">
        <f ca="1" t="shared" si="71"/>
        <v>0.00119288531877537</v>
      </c>
      <c r="AQ326" s="231">
        <f ca="1" t="shared" si="72"/>
        <v>0.0157423109809454</v>
      </c>
      <c r="AR326" s="231">
        <f ca="1" t="shared" si="73"/>
        <v>3.85462506216806e-5</v>
      </c>
      <c r="AS326" s="231">
        <f ca="1" t="shared" si="74"/>
        <v>4.81944900941184e-6</v>
      </c>
    </row>
    <row r="327" ht="15" hidden="1" customHeight="1" spans="3:45">
      <c r="C327" s="221"/>
      <c r="D327" s="221"/>
      <c r="E327" s="221"/>
      <c r="F327" s="221"/>
      <c r="G327" s="221"/>
      <c r="I327" s="12">
        <v>686</v>
      </c>
      <c r="J327" s="230">
        <v>0.01106831</v>
      </c>
      <c r="L327" s="12">
        <v>686</v>
      </c>
      <c r="M327" s="230"/>
      <c r="N327" s="230">
        <v>0.000923962</v>
      </c>
      <c r="O327" s="230">
        <v>0.0147492</v>
      </c>
      <c r="P327" s="231">
        <v>4.67e-5</v>
      </c>
      <c r="Q327" s="230">
        <v>6.30499e-6</v>
      </c>
      <c r="S327" s="12">
        <v>686</v>
      </c>
      <c r="T327" s="230">
        <v>1.59917871239433e-8</v>
      </c>
      <c r="U327" s="230">
        <v>0.00139605973049894</v>
      </c>
      <c r="V327" s="230">
        <v>0.0176380268749783</v>
      </c>
      <c r="W327" s="231">
        <v>4.82255289726998e-5</v>
      </c>
      <c r="X327" s="230">
        <v>6.30257467435612e-6</v>
      </c>
      <c r="Z327" s="12">
        <v>686</v>
      </c>
      <c r="AA327" s="230">
        <f ca="1" t="shared" si="60"/>
        <v>1.59917871239433e-8</v>
      </c>
      <c r="AB327" s="230">
        <f ca="1" t="shared" si="61"/>
        <v>0.00139605973049894</v>
      </c>
      <c r="AC327" s="230">
        <f ca="1" t="shared" si="62"/>
        <v>0.0176380268749783</v>
      </c>
      <c r="AD327" s="230">
        <f ca="1" t="shared" si="63"/>
        <v>4.82255289726998e-5</v>
      </c>
      <c r="AE327" s="230">
        <f ca="1" t="shared" si="64"/>
        <v>6.30257467435612e-6</v>
      </c>
      <c r="AG327" s="12">
        <v>686</v>
      </c>
      <c r="AH327" s="231">
        <f ca="1" t="shared" si="65"/>
        <v>2.33116430378182e-11</v>
      </c>
      <c r="AI327" s="231">
        <f ca="1" t="shared" si="66"/>
        <v>2.03507249343869e-6</v>
      </c>
      <c r="AJ327" s="231">
        <f ca="1" t="shared" si="67"/>
        <v>2.57114094387439e-5</v>
      </c>
      <c r="AK327" s="231">
        <f ca="1" t="shared" si="68"/>
        <v>7.0299604916472e-8</v>
      </c>
      <c r="AL327" s="231">
        <f ca="1" t="shared" si="69"/>
        <v>9.18742663900309e-9</v>
      </c>
      <c r="AN327" s="12">
        <v>686</v>
      </c>
      <c r="AO327" s="231">
        <f ca="1" t="shared" si="70"/>
        <v>1.025712293664e-8</v>
      </c>
      <c r="AP327" s="231">
        <f ca="1" t="shared" si="71"/>
        <v>0.00110510908545631</v>
      </c>
      <c r="AQ327" s="231">
        <f ca="1" t="shared" si="72"/>
        <v>0.0146368945221226</v>
      </c>
      <c r="AR327" s="231">
        <f ca="1" t="shared" si="73"/>
        <v>3.5834107860225e-5</v>
      </c>
      <c r="AS327" s="231">
        <f ca="1" t="shared" si="74"/>
        <v>4.49060489582664e-6</v>
      </c>
    </row>
    <row r="328" ht="15" hidden="1" customHeight="1" spans="3:45">
      <c r="C328" s="221"/>
      <c r="D328" s="221"/>
      <c r="E328" s="221"/>
      <c r="F328" s="221"/>
      <c r="G328" s="221"/>
      <c r="I328" s="12">
        <v>687</v>
      </c>
      <c r="J328" s="230">
        <v>0.01027339</v>
      </c>
      <c r="L328" s="12">
        <v>687</v>
      </c>
      <c r="M328" s="230"/>
      <c r="N328" s="230">
        <v>0.000854713</v>
      </c>
      <c r="O328" s="230">
        <v>0.0136773</v>
      </c>
      <c r="P328" s="231">
        <v>4.36e-5</v>
      </c>
      <c r="Q328" s="230">
        <v>5.88407e-6</v>
      </c>
      <c r="S328" s="12">
        <v>687</v>
      </c>
      <c r="T328" s="230">
        <v>1.50597235627316e-8</v>
      </c>
      <c r="U328" s="230">
        <v>0.00129540031999781</v>
      </c>
      <c r="V328" s="230">
        <v>0.0164203345029282</v>
      </c>
      <c r="W328" s="231">
        <v>4.4906995542718e-5</v>
      </c>
      <c r="X328" s="230">
        <v>5.88229769806184e-6</v>
      </c>
      <c r="Z328" s="12">
        <v>687</v>
      </c>
      <c r="AA328" s="230">
        <f ca="1" t="shared" si="60"/>
        <v>1.50597235627316e-8</v>
      </c>
      <c r="AB328" s="230">
        <f ca="1" t="shared" si="61"/>
        <v>0.00129540031999781</v>
      </c>
      <c r="AC328" s="230">
        <f ca="1" t="shared" si="62"/>
        <v>0.0164203345029282</v>
      </c>
      <c r="AD328" s="230">
        <f ca="1" t="shared" si="63"/>
        <v>4.4906995542718e-5</v>
      </c>
      <c r="AE328" s="230">
        <f ca="1" t="shared" si="64"/>
        <v>5.88229769806184e-6</v>
      </c>
      <c r="AG328" s="12">
        <v>687</v>
      </c>
      <c r="AH328" s="231">
        <f ca="1" t="shared" si="65"/>
        <v>2.19209949966981e-11</v>
      </c>
      <c r="AI328" s="231">
        <f ca="1" t="shared" si="66"/>
        <v>1.88558998544077e-6</v>
      </c>
      <c r="AJ328" s="231">
        <f ca="1" t="shared" si="67"/>
        <v>2.39015058266786e-5</v>
      </c>
      <c r="AK328" s="231">
        <f ca="1" t="shared" si="68"/>
        <v>6.53668057390364e-8</v>
      </c>
      <c r="AL328" s="231">
        <f ca="1" t="shared" si="69"/>
        <v>8.56229650372902e-9</v>
      </c>
      <c r="AN328" s="12">
        <v>687</v>
      </c>
      <c r="AO328" s="231">
        <f ca="1" t="shared" si="70"/>
        <v>9.64523779854717e-9</v>
      </c>
      <c r="AP328" s="231">
        <f ca="1" t="shared" si="71"/>
        <v>0.00102393532961327</v>
      </c>
      <c r="AQ328" s="231">
        <f ca="1" t="shared" si="72"/>
        <v>0.0136065593968498</v>
      </c>
      <c r="AR328" s="231">
        <f ca="1" t="shared" si="73"/>
        <v>3.33196917694507e-5</v>
      </c>
      <c r="AS328" s="231">
        <f ca="1" t="shared" si="74"/>
        <v>4.18505552315757e-6</v>
      </c>
    </row>
    <row r="329" ht="15" hidden="1" customHeight="1" spans="3:45">
      <c r="C329" s="221"/>
      <c r="D329" s="221"/>
      <c r="E329" s="221"/>
      <c r="F329" s="221"/>
      <c r="G329" s="221"/>
      <c r="I329" s="12">
        <v>688</v>
      </c>
      <c r="J329" s="230">
        <v>0.009533311</v>
      </c>
      <c r="L329" s="12">
        <v>688</v>
      </c>
      <c r="M329" s="230"/>
      <c r="N329" s="230">
        <v>0.000790652</v>
      </c>
      <c r="O329" s="230">
        <v>0.0126804</v>
      </c>
      <c r="P329" s="231">
        <v>4.06e-5</v>
      </c>
      <c r="Q329" s="230">
        <v>5.49115e-6</v>
      </c>
      <c r="S329" s="12">
        <v>688</v>
      </c>
      <c r="T329" s="230">
        <v>1.41845316279142e-8</v>
      </c>
      <c r="U329" s="230">
        <v>0.00120217308365468</v>
      </c>
      <c r="V329" s="230">
        <v>0.0152840693644138</v>
      </c>
      <c r="W329" s="231">
        <v>4.18251974621965e-5</v>
      </c>
      <c r="X329" s="230">
        <v>5.4911587576895e-6</v>
      </c>
      <c r="Z329" s="12">
        <v>688</v>
      </c>
      <c r="AA329" s="230">
        <f ca="1" t="shared" si="60"/>
        <v>1.41845316279142e-8</v>
      </c>
      <c r="AB329" s="230">
        <f ca="1" t="shared" si="61"/>
        <v>0.00120217308365468</v>
      </c>
      <c r="AC329" s="230">
        <f ca="1" t="shared" si="62"/>
        <v>0.0152840693644138</v>
      </c>
      <c r="AD329" s="230">
        <f ca="1" t="shared" si="63"/>
        <v>4.18251974621965e-5</v>
      </c>
      <c r="AE329" s="230">
        <f ca="1" t="shared" si="64"/>
        <v>5.4911587576895e-6</v>
      </c>
      <c r="AG329" s="12">
        <v>688</v>
      </c>
      <c r="AH329" s="231">
        <f ca="1" t="shared" si="65"/>
        <v>2.0617051784759e-11</v>
      </c>
      <c r="AI329" s="231">
        <f ca="1" t="shared" si="66"/>
        <v>1.74734459833529e-6</v>
      </c>
      <c r="AJ329" s="231">
        <f ca="1" t="shared" si="67"/>
        <v>2.22152170994387e-5</v>
      </c>
      <c r="AK329" s="231">
        <f ca="1" t="shared" si="68"/>
        <v>6.07924381717972e-8</v>
      </c>
      <c r="AL329" s="231">
        <f ca="1" t="shared" si="69"/>
        <v>7.98133540361846e-9</v>
      </c>
      <c r="AN329" s="12">
        <v>688</v>
      </c>
      <c r="AO329" s="231">
        <f ca="1" t="shared" si="70"/>
        <v>9.07150278529396e-9</v>
      </c>
      <c r="AP329" s="231">
        <f ca="1" t="shared" si="71"/>
        <v>0.000948863687789566</v>
      </c>
      <c r="AQ329" s="231">
        <f ca="1" t="shared" si="72"/>
        <v>0.012646595288571</v>
      </c>
      <c r="AR329" s="231">
        <f ca="1" t="shared" si="73"/>
        <v>3.09879805031992e-5</v>
      </c>
      <c r="AS329" s="231">
        <f ca="1" t="shared" si="74"/>
        <v>3.90109496891859e-6</v>
      </c>
    </row>
    <row r="330" ht="15" hidden="1" customHeight="1" spans="3:45">
      <c r="C330" s="221"/>
      <c r="D330" s="221"/>
      <c r="E330" s="221"/>
      <c r="F330" s="221"/>
      <c r="G330" s="221"/>
      <c r="I330" s="12">
        <v>689</v>
      </c>
      <c r="J330" s="230">
        <v>0.008846157</v>
      </c>
      <c r="L330" s="12">
        <v>689</v>
      </c>
      <c r="M330" s="230"/>
      <c r="N330" s="230">
        <v>0.000731684</v>
      </c>
      <c r="O330" s="230">
        <v>0.011759</v>
      </c>
      <c r="P330" s="232">
        <v>3.789e-5</v>
      </c>
      <c r="Q330" s="230">
        <v>5.12592e-6</v>
      </c>
      <c r="S330" s="12">
        <v>689</v>
      </c>
      <c r="T330" s="230">
        <v>1.33625702067581e-8</v>
      </c>
      <c r="U330" s="230">
        <v>0.00111581449803672</v>
      </c>
      <c r="V330" s="230">
        <v>0.0142241721576428</v>
      </c>
      <c r="W330" s="232">
        <v>3.89627857160806e-5</v>
      </c>
      <c r="X330" s="230">
        <v>5.12704347410318e-6</v>
      </c>
      <c r="Z330" s="12">
        <v>689</v>
      </c>
      <c r="AA330" s="230">
        <f ca="1" t="shared" si="60"/>
        <v>1.33625702067581e-8</v>
      </c>
      <c r="AB330" s="230">
        <f ca="1" t="shared" si="61"/>
        <v>0.00111581449803672</v>
      </c>
      <c r="AC330" s="230">
        <f ca="1" t="shared" si="62"/>
        <v>0.0142241721576428</v>
      </c>
      <c r="AD330" s="230">
        <f ca="1" t="shared" si="63"/>
        <v>3.89627857160806e-5</v>
      </c>
      <c r="AE330" s="230">
        <f ca="1" t="shared" si="64"/>
        <v>5.12704347410318e-6</v>
      </c>
      <c r="AG330" s="12">
        <v>689</v>
      </c>
      <c r="AH330" s="231">
        <f ca="1" t="shared" si="65"/>
        <v>1.93941512434806e-11</v>
      </c>
      <c r="AI330" s="231">
        <f ca="1" t="shared" si="66"/>
        <v>1.61946951819553e-6</v>
      </c>
      <c r="AJ330" s="231">
        <f ca="1" t="shared" si="67"/>
        <v>2.06446620575367e-5</v>
      </c>
      <c r="AK330" s="231">
        <f ca="1" t="shared" si="68"/>
        <v>5.65497615618006e-8</v>
      </c>
      <c r="AL330" s="231">
        <f ca="1" t="shared" si="69"/>
        <v>7.44128225559242e-9</v>
      </c>
      <c r="AN330" s="12">
        <v>689</v>
      </c>
      <c r="AO330" s="231">
        <f ca="1" t="shared" si="70"/>
        <v>8.53342654713144e-9</v>
      </c>
      <c r="AP330" s="231">
        <f ca="1" t="shared" si="71"/>
        <v>0.000879423452455679</v>
      </c>
      <c r="AQ330" s="231">
        <f ca="1" t="shared" si="72"/>
        <v>0.0117525156176656</v>
      </c>
      <c r="AR330" s="231">
        <f ca="1" t="shared" si="73"/>
        <v>2.88253434380363e-5</v>
      </c>
      <c r="AS330" s="231">
        <f ca="1" t="shared" si="74"/>
        <v>3.63712928997245e-6</v>
      </c>
    </row>
    <row r="331" ht="15" hidden="1" customHeight="1" spans="3:45">
      <c r="C331" s="221"/>
      <c r="D331" s="221"/>
      <c r="E331" s="221"/>
      <c r="F331" s="221"/>
      <c r="G331" s="221"/>
      <c r="I331" s="12">
        <v>690</v>
      </c>
      <c r="J331" s="230">
        <v>0.00821</v>
      </c>
      <c r="L331" s="12">
        <v>690</v>
      </c>
      <c r="M331" s="230"/>
      <c r="N331" s="230">
        <v>0.000677653</v>
      </c>
      <c r="O331" s="230">
        <v>0.0109123</v>
      </c>
      <c r="P331" s="232">
        <v>3.533e-5</v>
      </c>
      <c r="Q331" s="230">
        <v>4.78804e-6</v>
      </c>
      <c r="S331" s="12">
        <v>690</v>
      </c>
      <c r="T331" s="230">
        <v>1.25904716656266e-8</v>
      </c>
      <c r="U331" s="230">
        <v>0.00103581453277316</v>
      </c>
      <c r="V331" s="230">
        <v>0.0132359159297889</v>
      </c>
      <c r="W331" s="232">
        <v>3.63036256270437e-5</v>
      </c>
      <c r="X331" s="230">
        <v>4.78804253670872e-6</v>
      </c>
      <c r="Z331" s="12">
        <v>690</v>
      </c>
      <c r="AA331" s="230">
        <f ca="1" t="shared" si="60"/>
        <v>1.25904716656266e-8</v>
      </c>
      <c r="AB331" s="230">
        <f ca="1" t="shared" si="61"/>
        <v>0.00103581453277316</v>
      </c>
      <c r="AC331" s="230">
        <f ca="1" t="shared" si="62"/>
        <v>0.0132359159297889</v>
      </c>
      <c r="AD331" s="230">
        <f ca="1" t="shared" si="63"/>
        <v>3.63036256270437e-5</v>
      </c>
      <c r="AE331" s="230">
        <f ca="1" t="shared" si="64"/>
        <v>4.78804253670872e-6</v>
      </c>
      <c r="AG331" s="12">
        <v>690</v>
      </c>
      <c r="AH331" s="231">
        <f ca="1" t="shared" si="65"/>
        <v>1.82470603849661e-11</v>
      </c>
      <c r="AI331" s="231">
        <f ca="1" t="shared" si="66"/>
        <v>1.50118048227994e-6</v>
      </c>
      <c r="AJ331" s="231">
        <f ca="1" t="shared" si="67"/>
        <v>1.91824868547665e-5</v>
      </c>
      <c r="AK331" s="231">
        <f ca="1" t="shared" si="68"/>
        <v>5.26139501841213e-8</v>
      </c>
      <c r="AL331" s="231">
        <f ca="1" t="shared" si="69"/>
        <v>6.93919208218655e-9</v>
      </c>
      <c r="AN331" s="12">
        <v>690</v>
      </c>
      <c r="AO331" s="231">
        <f ca="1" t="shared" si="70"/>
        <v>8.02870656938508e-9</v>
      </c>
      <c r="AP331" s="231">
        <f ca="1" t="shared" si="71"/>
        <v>0.000815188744000993</v>
      </c>
      <c r="AQ331" s="231">
        <f ca="1" t="shared" si="72"/>
        <v>0.0109201340142066</v>
      </c>
      <c r="AR331" s="231">
        <f ca="1" t="shared" si="73"/>
        <v>2.68191260546977e-5</v>
      </c>
      <c r="AS331" s="231">
        <f ca="1" t="shared" si="74"/>
        <v>3.39171904840697e-6</v>
      </c>
    </row>
    <row r="332" ht="15" hidden="1" customHeight="1" spans="3:45">
      <c r="C332" s="221"/>
      <c r="D332" s="221"/>
      <c r="E332" s="221"/>
      <c r="F332" s="221"/>
      <c r="G332" s="221"/>
      <c r="I332" s="12">
        <v>691</v>
      </c>
      <c r="J332" s="230">
        <v>0.007623781</v>
      </c>
      <c r="L332" s="12">
        <v>691</v>
      </c>
      <c r="M332" s="230"/>
      <c r="N332" s="230">
        <v>0.000628297</v>
      </c>
      <c r="O332" s="230">
        <v>0.0101373</v>
      </c>
      <c r="P332" s="232">
        <v>3.295e-5</v>
      </c>
      <c r="Q332" s="230">
        <v>4.47347e-6</v>
      </c>
      <c r="S332" s="12">
        <v>691</v>
      </c>
      <c r="T332" s="230">
        <v>1.18631494061162e-8</v>
      </c>
      <c r="U332" s="230">
        <v>0.00096153921275444</v>
      </c>
      <c r="V332" s="230">
        <v>0.0123127766053699</v>
      </c>
      <c r="W332" s="232">
        <v>3.38272739062722e-5</v>
      </c>
      <c r="X332" s="230">
        <v>4.4716211332802e-6</v>
      </c>
      <c r="Z332" s="12">
        <v>691</v>
      </c>
      <c r="AA332" s="230">
        <f ca="1" t="shared" si="60"/>
        <v>1.18631494061162e-8</v>
      </c>
      <c r="AB332" s="230">
        <f ca="1" t="shared" si="61"/>
        <v>0.00096153921275444</v>
      </c>
      <c r="AC332" s="230">
        <f ca="1" t="shared" si="62"/>
        <v>0.0123127766053699</v>
      </c>
      <c r="AD332" s="230">
        <f ca="1" t="shared" si="63"/>
        <v>3.38272739062722e-5</v>
      </c>
      <c r="AE332" s="230">
        <f ca="1" t="shared" si="64"/>
        <v>4.4716211332802e-6</v>
      </c>
      <c r="AG332" s="12">
        <v>691</v>
      </c>
      <c r="AH332" s="231">
        <f ca="1" t="shared" si="65"/>
        <v>1.71680888655806e-11</v>
      </c>
      <c r="AI332" s="231">
        <f ca="1" t="shared" si="66"/>
        <v>1.39151839761858e-6</v>
      </c>
      <c r="AJ332" s="231">
        <f ca="1" t="shared" si="67"/>
        <v>1.78187794578436e-5</v>
      </c>
      <c r="AK332" s="231">
        <f ca="1" t="shared" si="68"/>
        <v>4.89540866950394e-8</v>
      </c>
      <c r="AL332" s="231">
        <f ca="1" t="shared" si="69"/>
        <v>6.47123174136064e-9</v>
      </c>
      <c r="AN332" s="12">
        <v>691</v>
      </c>
      <c r="AO332" s="231">
        <f ca="1" t="shared" si="70"/>
        <v>7.55395910085547e-9</v>
      </c>
      <c r="AP332" s="231">
        <f ca="1" t="shared" si="71"/>
        <v>0.000755638744440744</v>
      </c>
      <c r="AQ332" s="231">
        <f ca="1" t="shared" si="72"/>
        <v>0.010143807793143</v>
      </c>
      <c r="AR332" s="231">
        <f ca="1" t="shared" si="73"/>
        <v>2.49535687279206e-5</v>
      </c>
      <c r="AS332" s="231">
        <f ca="1" t="shared" si="74"/>
        <v>3.16299069169341e-6</v>
      </c>
    </row>
    <row r="333" ht="15" hidden="1" customHeight="1" spans="3:45">
      <c r="C333" s="221"/>
      <c r="D333" s="221"/>
      <c r="E333" s="221"/>
      <c r="F333" s="221"/>
      <c r="G333" s="221"/>
      <c r="I333" s="12">
        <v>692</v>
      </c>
      <c r="J333" s="230">
        <v>0.007085424</v>
      </c>
      <c r="L333" s="12">
        <v>692</v>
      </c>
      <c r="M333" s="230"/>
      <c r="N333" s="230">
        <v>0.000583108</v>
      </c>
      <c r="O333" s="230">
        <v>0.00942568</v>
      </c>
      <c r="P333" s="232">
        <v>3.075e-5</v>
      </c>
      <c r="Q333" s="230">
        <v>4.17829e-6</v>
      </c>
      <c r="S333" s="12">
        <v>692</v>
      </c>
      <c r="T333" s="230">
        <v>1.11797733733675e-8</v>
      </c>
      <c r="U333" s="230">
        <v>0.000892729734023722</v>
      </c>
      <c r="V333" s="230">
        <v>0.0114527557834903</v>
      </c>
      <c r="W333" s="232">
        <v>3.15261545313139e-5</v>
      </c>
      <c r="X333" s="230">
        <v>4.17693772202525e-6</v>
      </c>
      <c r="Z333" s="12">
        <v>692</v>
      </c>
      <c r="AA333" s="230">
        <f ca="1" t="shared" si="60"/>
        <v>1.11797733733675e-8</v>
      </c>
      <c r="AB333" s="230">
        <f ca="1" t="shared" si="61"/>
        <v>0.000892729734023722</v>
      </c>
      <c r="AC333" s="230">
        <f ca="1" t="shared" si="62"/>
        <v>0.0114527557834903</v>
      </c>
      <c r="AD333" s="230">
        <f ca="1" t="shared" si="63"/>
        <v>3.15261545313139e-5</v>
      </c>
      <c r="AE333" s="230">
        <f ca="1" t="shared" si="64"/>
        <v>4.17693772202525e-6</v>
      </c>
      <c r="AG333" s="12">
        <v>692</v>
      </c>
      <c r="AH333" s="231">
        <f ca="1" t="shared" si="65"/>
        <v>1.61557418690282e-11</v>
      </c>
      <c r="AI333" s="231">
        <f ca="1" t="shared" si="66"/>
        <v>1.29007186997648e-6</v>
      </c>
      <c r="AJ333" s="231">
        <f ca="1" t="shared" si="67"/>
        <v>1.65502251206507e-5</v>
      </c>
      <c r="AK333" s="231">
        <f ca="1" t="shared" si="68"/>
        <v>4.55580267793554e-8</v>
      </c>
      <c r="AL333" s="231">
        <f ca="1" t="shared" si="69"/>
        <v>6.03603717055672e-9</v>
      </c>
      <c r="AN333" s="12">
        <v>692</v>
      </c>
      <c r="AO333" s="231">
        <f ca="1" t="shared" si="70"/>
        <v>7.1085264223724e-9</v>
      </c>
      <c r="AP333" s="231">
        <f ca="1" t="shared" si="71"/>
        <v>0.000700550053621749</v>
      </c>
      <c r="AQ333" s="231">
        <f ca="1" t="shared" si="72"/>
        <v>0.00942164994826448</v>
      </c>
      <c r="AR333" s="231">
        <f ca="1" t="shared" si="73"/>
        <v>2.3222481085778e-5</v>
      </c>
      <c r="AS333" s="231">
        <f ca="1" t="shared" si="74"/>
        <v>2.95027749712021e-6</v>
      </c>
    </row>
    <row r="334" ht="15" hidden="1" customHeight="1" spans="3:45">
      <c r="C334" s="221"/>
      <c r="D334" s="221"/>
      <c r="E334" s="221"/>
      <c r="F334" s="221"/>
      <c r="G334" s="221"/>
      <c r="I334" s="12">
        <v>693</v>
      </c>
      <c r="J334" s="230">
        <v>0.006591476</v>
      </c>
      <c r="L334" s="12">
        <v>693</v>
      </c>
      <c r="M334" s="230"/>
      <c r="N334" s="230">
        <v>0.000541584</v>
      </c>
      <c r="O334" s="230">
        <v>0.00876917</v>
      </c>
      <c r="P334" s="232">
        <v>2.87e-5</v>
      </c>
      <c r="Q334" s="230">
        <v>3.90243e-6</v>
      </c>
      <c r="S334" s="12">
        <v>693</v>
      </c>
      <c r="T334" s="230">
        <v>1.0537631323738e-8</v>
      </c>
      <c r="U334" s="230">
        <v>0.00082897226392421</v>
      </c>
      <c r="V334" s="230">
        <v>0.0106517508619791</v>
      </c>
      <c r="W334" s="232">
        <v>2.9387524215875e-5</v>
      </c>
      <c r="X334" s="230">
        <v>3.90245586419787e-6</v>
      </c>
      <c r="Z334" s="12">
        <v>693</v>
      </c>
      <c r="AA334" s="230">
        <f ca="1" t="shared" si="60"/>
        <v>1.0537631323738e-8</v>
      </c>
      <c r="AB334" s="230">
        <f ca="1" t="shared" si="61"/>
        <v>0.00082897226392421</v>
      </c>
      <c r="AC334" s="230">
        <f ca="1" t="shared" si="62"/>
        <v>0.0106517508619791</v>
      </c>
      <c r="AD334" s="230">
        <f ca="1" t="shared" si="63"/>
        <v>2.9387524215875e-5</v>
      </c>
      <c r="AE334" s="230">
        <f ca="1" t="shared" si="64"/>
        <v>3.90245586419787e-6</v>
      </c>
      <c r="AG334" s="12">
        <v>693</v>
      </c>
      <c r="AH334" s="231">
        <f ca="1" t="shared" si="65"/>
        <v>1.52058172059711e-11</v>
      </c>
      <c r="AI334" s="231">
        <f ca="1" t="shared" si="66"/>
        <v>1.19620817305081e-6</v>
      </c>
      <c r="AJ334" s="231">
        <f ca="1" t="shared" si="67"/>
        <v>1.53704918643277e-5</v>
      </c>
      <c r="AK334" s="231">
        <f ca="1" t="shared" si="68"/>
        <v>4.24062398497475e-8</v>
      </c>
      <c r="AL334" s="231">
        <f ca="1" t="shared" si="69"/>
        <v>5.63124944328697e-9</v>
      </c>
      <c r="AN334" s="12">
        <v>693</v>
      </c>
      <c r="AO334" s="231">
        <f ca="1" t="shared" si="70"/>
        <v>6.6905595706273e-9</v>
      </c>
      <c r="AP334" s="231">
        <f ca="1" t="shared" si="71"/>
        <v>0.000649579081038949</v>
      </c>
      <c r="AQ334" s="231">
        <f ca="1" t="shared" si="72"/>
        <v>0.00875005583444589</v>
      </c>
      <c r="AR334" s="231">
        <f ca="1" t="shared" si="73"/>
        <v>2.16159077213586e-5</v>
      </c>
      <c r="AS334" s="231">
        <f ca="1" t="shared" si="74"/>
        <v>2.75242647514511e-6</v>
      </c>
    </row>
    <row r="335" ht="15" hidden="1" customHeight="1" spans="3:45">
      <c r="C335" s="221"/>
      <c r="D335" s="221"/>
      <c r="E335" s="221"/>
      <c r="F335" s="221"/>
      <c r="G335" s="221"/>
      <c r="I335" s="12">
        <v>694</v>
      </c>
      <c r="J335" s="230">
        <v>0.006138485</v>
      </c>
      <c r="L335" s="12">
        <v>694</v>
      </c>
      <c r="M335" s="230"/>
      <c r="N335" s="230">
        <v>0.000503294</v>
      </c>
      <c r="O335" s="230">
        <v>0.00816076</v>
      </c>
      <c r="P335" s="232">
        <v>2.679e-5</v>
      </c>
      <c r="Q335" s="230">
        <v>3.64583e-6</v>
      </c>
      <c r="S335" s="12">
        <v>694</v>
      </c>
      <c r="T335" s="230">
        <v>9.93406506132398e-9</v>
      </c>
      <c r="U335" s="230">
        <v>0.000769890569630959</v>
      </c>
      <c r="V335" s="230">
        <v>0.00990594699914231</v>
      </c>
      <c r="W335" s="232">
        <v>2.73993335909824e-5</v>
      </c>
      <c r="X335" s="230">
        <v>3.64671648265362e-6</v>
      </c>
      <c r="Z335" s="12">
        <v>694</v>
      </c>
      <c r="AA335" s="230">
        <f ca="1" t="shared" si="60"/>
        <v>9.93406506132398e-9</v>
      </c>
      <c r="AB335" s="230">
        <f ca="1" t="shared" si="61"/>
        <v>0.000769890569630959</v>
      </c>
      <c r="AC335" s="230">
        <f ca="1" t="shared" si="62"/>
        <v>0.00990594699914231</v>
      </c>
      <c r="AD335" s="230">
        <f ca="1" t="shared" si="63"/>
        <v>2.73993335909824e-5</v>
      </c>
      <c r="AE335" s="230">
        <f ca="1" t="shared" si="64"/>
        <v>3.64671648265362e-6</v>
      </c>
      <c r="AG335" s="12">
        <v>694</v>
      </c>
      <c r="AH335" s="231">
        <f ca="1" t="shared" si="65"/>
        <v>1.43142147857694e-11</v>
      </c>
      <c r="AI335" s="231">
        <f ca="1" t="shared" si="66"/>
        <v>1.1093524058083e-6</v>
      </c>
      <c r="AJ335" s="231">
        <f ca="1" t="shared" si="67"/>
        <v>1.42736988460264e-5</v>
      </c>
      <c r="AK335" s="231">
        <f ca="1" t="shared" si="68"/>
        <v>3.94803077679862e-8</v>
      </c>
      <c r="AL335" s="231">
        <f ca="1" t="shared" si="69"/>
        <v>5.25463470123e-9</v>
      </c>
      <c r="AN335" s="12">
        <v>694</v>
      </c>
      <c r="AO335" s="231">
        <f ca="1" t="shared" si="70"/>
        <v>6.29825450573855e-9</v>
      </c>
      <c r="AP335" s="231">
        <f ca="1" t="shared" si="71"/>
        <v>0.000602413637147666</v>
      </c>
      <c r="AQ335" s="231">
        <f ca="1" t="shared" si="72"/>
        <v>0.00812567762757536</v>
      </c>
      <c r="AR335" s="231">
        <f ca="1" t="shared" si="73"/>
        <v>2.01244602810194e-5</v>
      </c>
      <c r="AS335" s="231">
        <f ca="1" t="shared" si="74"/>
        <v>2.56834576669713e-6</v>
      </c>
    </row>
    <row r="336" ht="15" hidden="1" customHeight="1" spans="3:45">
      <c r="C336" s="221"/>
      <c r="D336" s="221"/>
      <c r="E336" s="221"/>
      <c r="F336" s="221"/>
      <c r="G336" s="221"/>
      <c r="I336" s="12">
        <v>695</v>
      </c>
      <c r="J336" s="230">
        <v>0.005723</v>
      </c>
      <c r="L336" s="12">
        <v>695</v>
      </c>
      <c r="M336" s="230"/>
      <c r="N336" s="230">
        <v>0.00046787</v>
      </c>
      <c r="O336" s="230">
        <v>0.00759453</v>
      </c>
      <c r="P336" s="232">
        <v>2.501e-5</v>
      </c>
      <c r="Q336" s="230">
        <v>3.40841e-6</v>
      </c>
      <c r="S336" s="12">
        <v>695</v>
      </c>
      <c r="T336" s="230">
        <v>9.36670839596412e-9</v>
      </c>
      <c r="U336" s="230">
        <v>0.000715134944477534</v>
      </c>
      <c r="V336" s="230">
        <v>0.00921168333404727</v>
      </c>
      <c r="W336" s="232">
        <v>2.55507704353413e-5</v>
      </c>
      <c r="X336" s="230">
        <v>3.40841132774249e-6</v>
      </c>
      <c r="Z336" s="12">
        <v>695</v>
      </c>
      <c r="AA336" s="230">
        <f ca="1" t="shared" si="60"/>
        <v>9.36670839596412e-9</v>
      </c>
      <c r="AB336" s="230">
        <f ca="1" t="shared" si="61"/>
        <v>0.000715134944477534</v>
      </c>
      <c r="AC336" s="230">
        <f ca="1" t="shared" si="62"/>
        <v>0.00921168333404727</v>
      </c>
      <c r="AD336" s="230">
        <f ca="1" t="shared" si="63"/>
        <v>2.55507704353413e-5</v>
      </c>
      <c r="AE336" s="230">
        <f ca="1" t="shared" si="64"/>
        <v>3.40841132774249e-6</v>
      </c>
      <c r="AG336" s="12">
        <v>695</v>
      </c>
      <c r="AH336" s="231">
        <f ca="1" t="shared" si="65"/>
        <v>1.34772782675743e-11</v>
      </c>
      <c r="AI336" s="231">
        <f ca="1" t="shared" si="66"/>
        <v>1.02897114313314e-6</v>
      </c>
      <c r="AJ336" s="231">
        <f ca="1" t="shared" si="67"/>
        <v>1.32542206245284e-5</v>
      </c>
      <c r="AK336" s="231">
        <f ca="1" t="shared" si="68"/>
        <v>3.6763698468117e-8</v>
      </c>
      <c r="AL336" s="231">
        <f ca="1" t="shared" si="69"/>
        <v>4.90418896078056e-9</v>
      </c>
      <c r="AN336" s="12">
        <v>695</v>
      </c>
      <c r="AO336" s="231">
        <f ca="1" t="shared" si="70"/>
        <v>5.93000243773268e-9</v>
      </c>
      <c r="AP336" s="231">
        <f ca="1" t="shared" si="71"/>
        <v>0.00055876405514547</v>
      </c>
      <c r="AQ336" s="231">
        <f ca="1" t="shared" si="72"/>
        <v>0.00754531289762085</v>
      </c>
      <c r="AR336" s="231">
        <f ca="1" t="shared" si="73"/>
        <v>1.87397118065256e-5</v>
      </c>
      <c r="AS336" s="231">
        <f ca="1" t="shared" si="74"/>
        <v>2.39705587023112e-6</v>
      </c>
    </row>
    <row r="337" ht="15" hidden="1" customHeight="1" spans="3:45">
      <c r="C337" s="221"/>
      <c r="D337" s="221"/>
      <c r="E337" s="221"/>
      <c r="F337" s="221"/>
      <c r="G337" s="221"/>
      <c r="I337" s="12">
        <v>696</v>
      </c>
      <c r="J337" s="230">
        <v>0.005343059</v>
      </c>
      <c r="L337" s="12">
        <v>696</v>
      </c>
      <c r="M337" s="230"/>
      <c r="N337" s="230">
        <v>0.000435007</v>
      </c>
      <c r="O337" s="230">
        <v>0.00706588</v>
      </c>
      <c r="P337" s="232">
        <v>2.336e-5</v>
      </c>
      <c r="Q337" s="230">
        <v>3.18739e-6</v>
      </c>
      <c r="S337" s="12">
        <v>696</v>
      </c>
      <c r="T337" s="230">
        <v>8.83328005992252e-9</v>
      </c>
      <c r="U337" s="230">
        <v>0.000664380687949172</v>
      </c>
      <c r="V337" s="230">
        <v>0.0085655844253886</v>
      </c>
      <c r="W337" s="232">
        <v>2.38316987256543e-5</v>
      </c>
      <c r="X337" s="230">
        <v>3.18630246837731e-6</v>
      </c>
      <c r="Z337" s="12">
        <v>696</v>
      </c>
      <c r="AA337" s="230">
        <f ca="1" t="shared" si="60"/>
        <v>8.83328005992252e-9</v>
      </c>
      <c r="AB337" s="230">
        <f ca="1" t="shared" si="61"/>
        <v>0.000664380687949172</v>
      </c>
      <c r="AC337" s="230">
        <f ca="1" t="shared" si="62"/>
        <v>0.0085655844253886</v>
      </c>
      <c r="AD337" s="230">
        <f ca="1" t="shared" si="63"/>
        <v>2.38316987256543e-5</v>
      </c>
      <c r="AE337" s="230">
        <f ca="1" t="shared" si="64"/>
        <v>3.18630246837731e-6</v>
      </c>
      <c r="AG337" s="12">
        <v>696</v>
      </c>
      <c r="AH337" s="231">
        <f ca="1" t="shared" si="65"/>
        <v>1.26914943389691e-11</v>
      </c>
      <c r="AI337" s="231">
        <f ca="1" t="shared" si="66"/>
        <v>9.5456995394996e-7</v>
      </c>
      <c r="AJ337" s="231">
        <f ca="1" t="shared" si="67"/>
        <v>1.23068741744089e-5</v>
      </c>
      <c r="AK337" s="231">
        <f ca="1" t="shared" si="68"/>
        <v>3.42409464449056e-8</v>
      </c>
      <c r="AL337" s="231">
        <f ca="1" t="shared" si="69"/>
        <v>4.57802078789843e-9</v>
      </c>
      <c r="AN337" s="12">
        <v>696</v>
      </c>
      <c r="AO337" s="231">
        <f ca="1" t="shared" si="70"/>
        <v>5.58425750914642e-9</v>
      </c>
      <c r="AP337" s="231">
        <f ca="1" t="shared" si="71"/>
        <v>0.000518361843234012</v>
      </c>
      <c r="AQ337" s="231">
        <f ca="1" t="shared" si="72"/>
        <v>0.0070060110713502</v>
      </c>
      <c r="AR337" s="231">
        <f ca="1" t="shared" si="73"/>
        <v>1.74537790020415e-5</v>
      </c>
      <c r="AS337" s="231">
        <f ca="1" t="shared" si="74"/>
        <v>2.23763229586599e-6</v>
      </c>
    </row>
    <row r="338" ht="15" hidden="1" customHeight="1" spans="3:45">
      <c r="C338" s="221"/>
      <c r="D338" s="221"/>
      <c r="E338" s="221"/>
      <c r="F338" s="221"/>
      <c r="G338" s="221"/>
      <c r="I338" s="12">
        <v>697</v>
      </c>
      <c r="J338" s="230">
        <v>0.004995796</v>
      </c>
      <c r="L338" s="12">
        <v>697</v>
      </c>
      <c r="M338" s="230"/>
      <c r="N338" s="230">
        <v>0.00040449</v>
      </c>
      <c r="O338" s="230">
        <v>0.00657252</v>
      </c>
      <c r="P338" s="232">
        <v>2.182e-5</v>
      </c>
      <c r="Q338" s="230">
        <v>2.97998e-6</v>
      </c>
      <c r="S338" s="12">
        <v>697</v>
      </c>
      <c r="T338" s="230">
        <v>8.33163047794265e-9</v>
      </c>
      <c r="U338" s="230">
        <v>0.000617329456126992</v>
      </c>
      <c r="V338" s="230">
        <v>0.00796441717074096</v>
      </c>
      <c r="W338" s="232">
        <v>2.2232638168869e-5</v>
      </c>
      <c r="X338" s="230">
        <v>2.97924349663283e-6</v>
      </c>
      <c r="Z338" s="12">
        <v>697</v>
      </c>
      <c r="AA338" s="230">
        <f ca="1" t="shared" si="60"/>
        <v>8.33163047794265e-9</v>
      </c>
      <c r="AB338" s="230">
        <f ca="1" t="shared" si="61"/>
        <v>0.000617329456126992</v>
      </c>
      <c r="AC338" s="230">
        <f ca="1" t="shared" si="62"/>
        <v>0.00796441717074096</v>
      </c>
      <c r="AD338" s="230">
        <f ca="1" t="shared" si="63"/>
        <v>2.2232638168869e-5</v>
      </c>
      <c r="AE338" s="230">
        <f ca="1" t="shared" si="64"/>
        <v>2.97924349663283e-6</v>
      </c>
      <c r="AG338" s="12">
        <v>697</v>
      </c>
      <c r="AH338" s="231">
        <f ca="1" t="shared" si="65"/>
        <v>1.19535587918833e-11</v>
      </c>
      <c r="AI338" s="231">
        <f ca="1" t="shared" si="66"/>
        <v>8.85695059005727e-7</v>
      </c>
      <c r="AJ338" s="231">
        <f ca="1" t="shared" si="67"/>
        <v>1.14267104314791e-5</v>
      </c>
      <c r="AK338" s="231">
        <f ca="1" t="shared" si="68"/>
        <v>3.18976157372583e-8</v>
      </c>
      <c r="AL338" s="231">
        <f ca="1" t="shared" si="69"/>
        <v>4.27438091339e-9</v>
      </c>
      <c r="AN338" s="12">
        <v>697</v>
      </c>
      <c r="AO338" s="231">
        <f ca="1" t="shared" si="70"/>
        <v>5.25956586842865e-9</v>
      </c>
      <c r="AP338" s="231">
        <f ca="1" t="shared" si="71"/>
        <v>0.000480960584847335</v>
      </c>
      <c r="AQ338" s="231">
        <f ca="1" t="shared" si="72"/>
        <v>0.00650495476410448</v>
      </c>
      <c r="AR338" s="231">
        <f ca="1" t="shared" si="73"/>
        <v>1.62593033655172e-5</v>
      </c>
      <c r="AS338" s="231">
        <f ca="1" t="shared" si="74"/>
        <v>2.08922004065981e-6</v>
      </c>
    </row>
    <row r="339" ht="15" hidden="1" customHeight="1" spans="3:45">
      <c r="C339" s="221"/>
      <c r="D339" s="221"/>
      <c r="E339" s="221"/>
      <c r="F339" s="221"/>
      <c r="G339" s="221"/>
      <c r="I339" s="12">
        <v>698</v>
      </c>
      <c r="J339" s="230">
        <v>0.004676404</v>
      </c>
      <c r="L339" s="12">
        <v>698</v>
      </c>
      <c r="M339" s="230"/>
      <c r="N339" s="230">
        <v>0.000376138</v>
      </c>
      <c r="O339" s="230">
        <v>0.00611262</v>
      </c>
      <c r="P339" s="232">
        <v>2.038e-5</v>
      </c>
      <c r="Q339" s="230">
        <v>2.78604e-6</v>
      </c>
      <c r="S339" s="12">
        <v>698</v>
      </c>
      <c r="T339" s="230">
        <v>7.85982723463395e-9</v>
      </c>
      <c r="U339" s="230">
        <v>0.000573706803309933</v>
      </c>
      <c r="V339" s="230">
        <v>0.00740518648766084</v>
      </c>
      <c r="W339" s="232">
        <v>2.07449312553359e-5</v>
      </c>
      <c r="X339" s="230">
        <v>2.78617890675766e-6</v>
      </c>
      <c r="Z339" s="12">
        <v>698</v>
      </c>
      <c r="AA339" s="230">
        <f ca="1" t="shared" si="60"/>
        <v>7.85982723463395e-9</v>
      </c>
      <c r="AB339" s="230">
        <f ca="1" t="shared" si="61"/>
        <v>0.000573706803309933</v>
      </c>
      <c r="AC339" s="230">
        <f ca="1" t="shared" si="62"/>
        <v>0.00740518648766084</v>
      </c>
      <c r="AD339" s="230">
        <f ca="1" t="shared" si="63"/>
        <v>2.07449312553359e-5</v>
      </c>
      <c r="AE339" s="230">
        <f ca="1" t="shared" si="64"/>
        <v>2.78617890675766e-6</v>
      </c>
      <c r="AG339" s="12">
        <v>698</v>
      </c>
      <c r="AH339" s="231">
        <f ca="1" t="shared" si="65"/>
        <v>1.12604974708223e-11</v>
      </c>
      <c r="AI339" s="231">
        <f ca="1" t="shared" si="66"/>
        <v>8.21929517636007e-7</v>
      </c>
      <c r="AJ339" s="231">
        <f ca="1" t="shared" si="67"/>
        <v>1.06091496957892e-5</v>
      </c>
      <c r="AK339" s="231">
        <f ca="1" t="shared" si="68"/>
        <v>2.97205318844354e-8</v>
      </c>
      <c r="AL339" s="231">
        <f ca="1" t="shared" si="69"/>
        <v>3.99166032486771e-9</v>
      </c>
      <c r="AN339" s="12">
        <v>698</v>
      </c>
      <c r="AO339" s="231">
        <f ca="1" t="shared" si="70"/>
        <v>4.9546188871618e-9</v>
      </c>
      <c r="AP339" s="231">
        <f ca="1" t="shared" si="71"/>
        <v>0.000446333867944662</v>
      </c>
      <c r="AQ339" s="231">
        <f ca="1" t="shared" si="72"/>
        <v>0.0060395368615102</v>
      </c>
      <c r="AR339" s="231">
        <f ca="1" t="shared" si="73"/>
        <v>1.51495694246863e-5</v>
      </c>
      <c r="AS339" s="231">
        <f ca="1" t="shared" si="74"/>
        <v>1.95103265600311e-6</v>
      </c>
    </row>
    <row r="340" ht="15" hidden="1" customHeight="1" spans="3:45">
      <c r="C340" s="221"/>
      <c r="D340" s="221"/>
      <c r="E340" s="221"/>
      <c r="F340" s="221"/>
      <c r="G340" s="221"/>
      <c r="I340" s="12">
        <v>699</v>
      </c>
      <c r="J340" s="230">
        <v>0.004380075</v>
      </c>
      <c r="L340" s="12">
        <v>699</v>
      </c>
      <c r="M340" s="230"/>
      <c r="N340" s="230">
        <v>0.000349784</v>
      </c>
      <c r="O340" s="230">
        <v>0.0056844</v>
      </c>
      <c r="P340" s="232">
        <v>1.905e-5</v>
      </c>
      <c r="Q340" s="230">
        <v>2.60548e-6</v>
      </c>
      <c r="S340" s="12">
        <v>699</v>
      </c>
      <c r="T340" s="230">
        <v>7.41598768590524e-9</v>
      </c>
      <c r="U340" s="230">
        <v>0.000533255078277117</v>
      </c>
      <c r="V340" s="230">
        <v>0.00688503258505845</v>
      </c>
      <c r="W340" s="232">
        <v>1.93606083674028e-5</v>
      </c>
      <c r="X340" s="230">
        <v>2.60613554739013e-6</v>
      </c>
      <c r="Z340" s="12">
        <v>699</v>
      </c>
      <c r="AA340" s="230">
        <f ca="1" t="shared" si="60"/>
        <v>7.41598768590524e-9</v>
      </c>
      <c r="AB340" s="230">
        <f ca="1" t="shared" si="61"/>
        <v>0.000533255078277117</v>
      </c>
      <c r="AC340" s="230">
        <f ca="1" t="shared" si="62"/>
        <v>0.00688503258505845</v>
      </c>
      <c r="AD340" s="230">
        <f ca="1" t="shared" si="63"/>
        <v>1.93606083674028e-5</v>
      </c>
      <c r="AE340" s="230">
        <f ca="1" t="shared" si="64"/>
        <v>2.60613554739013e-6</v>
      </c>
      <c r="AG340" s="12">
        <v>699</v>
      </c>
      <c r="AH340" s="231">
        <f ca="1" t="shared" si="65"/>
        <v>1.06094244433551e-11</v>
      </c>
      <c r="AI340" s="231">
        <f ca="1" t="shared" si="66"/>
        <v>7.6288280154094e-7</v>
      </c>
      <c r="AJ340" s="231">
        <f ca="1" t="shared" si="67"/>
        <v>9.84983202440408e-6</v>
      </c>
      <c r="AK340" s="231">
        <f ca="1" t="shared" si="68"/>
        <v>2.76975799247536e-8</v>
      </c>
      <c r="AL340" s="231">
        <f ca="1" t="shared" si="69"/>
        <v>3.72837703489289e-9</v>
      </c>
      <c r="AN340" s="12">
        <v>699</v>
      </c>
      <c r="AO340" s="231">
        <f ca="1" t="shared" si="70"/>
        <v>4.66814675507626e-9</v>
      </c>
      <c r="AP340" s="231">
        <f ca="1" t="shared" si="71"/>
        <v>0.000414269623239177</v>
      </c>
      <c r="AQ340" s="231">
        <f ca="1" t="shared" si="72"/>
        <v>0.00560727535164136</v>
      </c>
      <c r="AR340" s="231">
        <f ca="1" t="shared" si="73"/>
        <v>1.4118401770111e-5</v>
      </c>
      <c r="AS340" s="231">
        <f ca="1" t="shared" si="74"/>
        <v>1.82234578018838e-6</v>
      </c>
    </row>
    <row r="341" ht="15" hidden="1" customHeight="1" spans="3:45">
      <c r="C341" s="221"/>
      <c r="D341" s="221"/>
      <c r="E341" s="221"/>
      <c r="F341" s="221"/>
      <c r="G341" s="221"/>
      <c r="I341" s="12">
        <v>700</v>
      </c>
      <c r="J341" s="230">
        <v>0.004102</v>
      </c>
      <c r="L341" s="12">
        <v>700</v>
      </c>
      <c r="M341" s="230"/>
      <c r="N341" s="230">
        <v>0.000325278</v>
      </c>
      <c r="O341" s="230">
        <v>0.00528607</v>
      </c>
      <c r="P341" s="232">
        <v>1.78e-5</v>
      </c>
      <c r="Q341" s="230">
        <v>2.43819e-6</v>
      </c>
      <c r="S341" s="12">
        <v>700</v>
      </c>
      <c r="T341" s="230">
        <v>6.9984038455838e-9</v>
      </c>
      <c r="U341" s="230">
        <v>0.00049574004287829</v>
      </c>
      <c r="V341" s="230">
        <v>0.00640134154953199</v>
      </c>
      <c r="W341" s="232">
        <v>1.80721989948484e-5</v>
      </c>
      <c r="X341" s="230">
        <v>2.4381869362594e-6</v>
      </c>
      <c r="Z341" s="12">
        <v>700</v>
      </c>
      <c r="AA341" s="230">
        <f ca="1" t="shared" ref="AA341:AA404" si="75">OFFSET(M341,0,$AA$8)</f>
        <v>6.9984038455838e-9</v>
      </c>
      <c r="AB341" s="230">
        <f ca="1" t="shared" ref="AB341:AB404" si="76">OFFSET(N341,0,$AA$8)</f>
        <v>0.00049574004287829</v>
      </c>
      <c r="AC341" s="230">
        <f ca="1" t="shared" ref="AC341:AC404" si="77">OFFSET(O341,0,$AA$8)</f>
        <v>0.00640134154953199</v>
      </c>
      <c r="AD341" s="230">
        <f ca="1" t="shared" ref="AD341:AD404" si="78">OFFSET(P341,0,$AA$8)</f>
        <v>1.80721989948484e-5</v>
      </c>
      <c r="AE341" s="230">
        <f ca="1" t="shared" ref="AE341:AE404" si="79">OFFSET(Q341,0,$AA$8)</f>
        <v>2.4381869362594e-6</v>
      </c>
      <c r="AG341" s="12">
        <v>700</v>
      </c>
      <c r="AH341" s="231">
        <f ca="1" t="shared" ref="AH341:AH404" si="80">AA341/$Z341</f>
        <v>9.99771977940543e-12</v>
      </c>
      <c r="AI341" s="231">
        <f ca="1" t="shared" ref="AI341:AI404" si="81">AB341/$Z341</f>
        <v>7.082000612547e-7</v>
      </c>
      <c r="AJ341" s="231">
        <f ca="1" t="shared" ref="AJ341:AJ404" si="82">AC341/$Z341</f>
        <v>9.14477364218856e-6</v>
      </c>
      <c r="AK341" s="231">
        <f ca="1" t="shared" ref="AK341:AK404" si="83">AD341/$Z341</f>
        <v>2.58174271354977e-8</v>
      </c>
      <c r="AL341" s="231">
        <f ca="1" t="shared" ref="AL341:AL404" si="84">AE341/$Z341</f>
        <v>3.48312419465629e-9</v>
      </c>
      <c r="AN341" s="12">
        <v>700</v>
      </c>
      <c r="AO341" s="231">
        <f ca="1" t="shared" ref="AO341:AO404" si="85">IF(AH341=0,"",AH341/AH$11)</f>
        <v>4.39899670293839e-9</v>
      </c>
      <c r="AP341" s="231">
        <f ca="1" t="shared" ref="AP341:AP404" si="86">IF(AI341=0,"",AI341/AI$11)</f>
        <v>0.000384575156185642</v>
      </c>
      <c r="AQ341" s="231">
        <f ca="1" t="shared" ref="AQ341:AQ404" si="87">IF(AJ341=0,"",AJ341/AJ$11)</f>
        <v>0.00520590236596302</v>
      </c>
      <c r="AR341" s="231">
        <f ca="1" t="shared" ref="AR341:AR404" si="88">IF(AK341=0,"",AK341/AK$11)</f>
        <v>1.31600237262522e-5</v>
      </c>
      <c r="AS341" s="231">
        <f ca="1" t="shared" ref="AS341:AS404" si="89">IF(AL341=0,"",AL341/AL$11)</f>
        <v>1.70247177755892e-6</v>
      </c>
    </row>
    <row r="342" ht="15" hidden="1" customHeight="1" spans="3:45">
      <c r="C342" s="221"/>
      <c r="D342" s="221"/>
      <c r="E342" s="221"/>
      <c r="F342" s="221"/>
      <c r="G342" s="221"/>
      <c r="I342" s="12">
        <v>701</v>
      </c>
      <c r="J342" s="230">
        <v>0.003838453</v>
      </c>
      <c r="L342" s="12">
        <v>701</v>
      </c>
      <c r="M342" s="230"/>
      <c r="N342" s="230">
        <v>0.000302477</v>
      </c>
      <c r="O342" s="230">
        <v>0.00491573</v>
      </c>
      <c r="P342" s="232">
        <v>1.664e-5</v>
      </c>
      <c r="Q342" s="230">
        <v>2.28225e-6</v>
      </c>
      <c r="S342" s="12">
        <v>701</v>
      </c>
      <c r="T342" s="230">
        <v>6.60544377144723e-9</v>
      </c>
      <c r="U342" s="230">
        <v>0.000460942762198586</v>
      </c>
      <c r="V342" s="230">
        <v>0.00595158992615093</v>
      </c>
      <c r="W342" s="232">
        <v>1.68728326862208e-5</v>
      </c>
      <c r="X342" s="230">
        <v>2.28150276794508e-6</v>
      </c>
      <c r="Z342" s="12">
        <v>701</v>
      </c>
      <c r="AA342" s="230">
        <f ca="1" t="shared" si="75"/>
        <v>6.60544377144723e-9</v>
      </c>
      <c r="AB342" s="230">
        <f ca="1" t="shared" si="76"/>
        <v>0.000460942762198586</v>
      </c>
      <c r="AC342" s="230">
        <f ca="1" t="shared" si="77"/>
        <v>0.00595158992615093</v>
      </c>
      <c r="AD342" s="230">
        <f ca="1" t="shared" si="78"/>
        <v>1.68728326862208e-5</v>
      </c>
      <c r="AE342" s="230">
        <f ca="1" t="shared" si="79"/>
        <v>2.28150276794508e-6</v>
      </c>
      <c r="AG342" s="12">
        <v>701</v>
      </c>
      <c r="AH342" s="231">
        <f ca="1" t="shared" si="80"/>
        <v>9.42288697781345e-12</v>
      </c>
      <c r="AI342" s="231">
        <f ca="1" t="shared" si="81"/>
        <v>6.57550302708397e-7</v>
      </c>
      <c r="AJ342" s="231">
        <f ca="1" t="shared" si="82"/>
        <v>8.49014254800418e-6</v>
      </c>
      <c r="AK342" s="231">
        <f ca="1" t="shared" si="83"/>
        <v>2.40696614639384e-8</v>
      </c>
      <c r="AL342" s="231">
        <f ca="1" t="shared" si="84"/>
        <v>3.25464018251795e-9</v>
      </c>
      <c r="AN342" s="12">
        <v>701</v>
      </c>
      <c r="AO342" s="231">
        <f ca="1" t="shared" si="85"/>
        <v>4.14607027023792e-9</v>
      </c>
      <c r="AP342" s="231">
        <f ca="1" t="shared" si="86"/>
        <v>0.000357070726478025</v>
      </c>
      <c r="AQ342" s="231">
        <f ca="1" t="shared" si="87"/>
        <v>0.00483323643727068</v>
      </c>
      <c r="AR342" s="231">
        <f ca="1" t="shared" si="88"/>
        <v>1.22691279144838e-5</v>
      </c>
      <c r="AS342" s="231">
        <f ca="1" t="shared" si="89"/>
        <v>1.59079399619076e-6</v>
      </c>
    </row>
    <row r="343" ht="15" hidden="1" customHeight="1" spans="3:45">
      <c r="C343" s="221"/>
      <c r="D343" s="221"/>
      <c r="E343" s="221"/>
      <c r="F343" s="221"/>
      <c r="G343" s="221"/>
      <c r="I343" s="12">
        <v>702</v>
      </c>
      <c r="J343" s="230">
        <v>0.003589099</v>
      </c>
      <c r="L343" s="12">
        <v>702</v>
      </c>
      <c r="M343" s="230"/>
      <c r="N343" s="230">
        <v>0.000281237</v>
      </c>
      <c r="O343" s="230">
        <v>0.00457086</v>
      </c>
      <c r="P343" s="232">
        <v>1.556e-5</v>
      </c>
      <c r="Q343" s="230">
        <v>2.1358e-6</v>
      </c>
      <c r="S343" s="12">
        <v>702</v>
      </c>
      <c r="T343" s="230">
        <v>6.23559643381481e-9</v>
      </c>
      <c r="U343" s="230">
        <v>0.000428661026878526</v>
      </c>
      <c r="V343" s="230">
        <v>0.00553347560950178</v>
      </c>
      <c r="W343" s="232">
        <v>1.57561098498279e-5</v>
      </c>
      <c r="X343" s="230">
        <v>2.13529557467199e-6</v>
      </c>
      <c r="Z343" s="12">
        <v>702</v>
      </c>
      <c r="AA343" s="230">
        <f ca="1" t="shared" si="75"/>
        <v>6.23559643381481e-9</v>
      </c>
      <c r="AB343" s="230">
        <f ca="1" t="shared" si="76"/>
        <v>0.000428661026878526</v>
      </c>
      <c r="AC343" s="230">
        <f ca="1" t="shared" si="77"/>
        <v>0.00553347560950178</v>
      </c>
      <c r="AD343" s="230">
        <f ca="1" t="shared" si="78"/>
        <v>1.57561098498279e-5</v>
      </c>
      <c r="AE343" s="230">
        <f ca="1" t="shared" si="79"/>
        <v>2.13529557467199e-6</v>
      </c>
      <c r="AG343" s="12">
        <v>702</v>
      </c>
      <c r="AH343" s="231">
        <f ca="1" t="shared" si="80"/>
        <v>8.8826160025852e-12</v>
      </c>
      <c r="AI343" s="231">
        <f ca="1" t="shared" si="81"/>
        <v>6.10628243416704e-7</v>
      </c>
      <c r="AJ343" s="231">
        <f ca="1" t="shared" si="82"/>
        <v>7.88244388817917e-6</v>
      </c>
      <c r="AK343" s="231">
        <f ca="1" t="shared" si="83"/>
        <v>2.24446009256808e-8</v>
      </c>
      <c r="AL343" s="231">
        <f ca="1" t="shared" si="84"/>
        <v>3.04173158785184e-9</v>
      </c>
      <c r="AN343" s="12">
        <v>702</v>
      </c>
      <c r="AO343" s="231">
        <f ca="1" t="shared" si="85"/>
        <v>3.90835104113749e-9</v>
      </c>
      <c r="AP343" s="231">
        <f ca="1" t="shared" si="86"/>
        <v>0.00033159055601788</v>
      </c>
      <c r="AQ343" s="231">
        <f ca="1" t="shared" si="87"/>
        <v>0.00448728802840242</v>
      </c>
      <c r="AR343" s="231">
        <f ca="1" t="shared" si="88"/>
        <v>1.14407790969263e-5</v>
      </c>
      <c r="AS343" s="231">
        <f ca="1" t="shared" si="89"/>
        <v>1.48672912415006e-6</v>
      </c>
    </row>
    <row r="344" ht="15" hidden="1" customHeight="1" spans="3:45">
      <c r="C344" s="221"/>
      <c r="D344" s="221"/>
      <c r="E344" s="221"/>
      <c r="F344" s="221"/>
      <c r="G344" s="221"/>
      <c r="I344" s="12">
        <v>703</v>
      </c>
      <c r="J344" s="230">
        <v>0.003354219</v>
      </c>
      <c r="L344" s="12">
        <v>703</v>
      </c>
      <c r="M344" s="230"/>
      <c r="N344" s="230">
        <v>0.000261427</v>
      </c>
      <c r="O344" s="230">
        <v>0.00424908</v>
      </c>
      <c r="P344" s="232">
        <v>1.454e-5</v>
      </c>
      <c r="Q344" s="230">
        <v>1.99874e-6</v>
      </c>
      <c r="S344" s="12">
        <v>703</v>
      </c>
      <c r="T344" s="230">
        <v>5.88743330069012e-9</v>
      </c>
      <c r="U344" s="230">
        <v>0.000398708964159873</v>
      </c>
      <c r="V344" s="230">
        <v>0.0051447941174106</v>
      </c>
      <c r="W344" s="232">
        <v>1.47161769084339e-5</v>
      </c>
      <c r="X344" s="230">
        <v>1.99883985369628e-6</v>
      </c>
      <c r="Z344" s="12">
        <v>703</v>
      </c>
      <c r="AA344" s="230">
        <f ca="1" t="shared" si="75"/>
        <v>5.88743330069012e-9</v>
      </c>
      <c r="AB344" s="230">
        <f ca="1" t="shared" si="76"/>
        <v>0.000398708964159873</v>
      </c>
      <c r="AC344" s="230">
        <f ca="1" t="shared" si="77"/>
        <v>0.0051447941174106</v>
      </c>
      <c r="AD344" s="230">
        <f ca="1" t="shared" si="78"/>
        <v>1.47161769084339e-5</v>
      </c>
      <c r="AE344" s="230">
        <f ca="1" t="shared" si="79"/>
        <v>1.99883985369628e-6</v>
      </c>
      <c r="AG344" s="12">
        <v>703</v>
      </c>
      <c r="AH344" s="231">
        <f ca="1" t="shared" si="80"/>
        <v>8.37472731250373e-12</v>
      </c>
      <c r="AI344" s="231">
        <f ca="1" t="shared" si="81"/>
        <v>5.67153576329834e-7</v>
      </c>
      <c r="AJ344" s="231">
        <f ca="1" t="shared" si="82"/>
        <v>7.31834156103926e-6</v>
      </c>
      <c r="AK344" s="231">
        <f ca="1" t="shared" si="83"/>
        <v>2.09333953178292e-8</v>
      </c>
      <c r="AL344" s="231">
        <f ca="1" t="shared" si="84"/>
        <v>2.84329993413411e-9</v>
      </c>
      <c r="AN344" s="12">
        <v>703</v>
      </c>
      <c r="AO344" s="231">
        <f ca="1" t="shared" si="85"/>
        <v>3.68488001750164e-9</v>
      </c>
      <c r="AP344" s="231">
        <f ca="1" t="shared" si="86"/>
        <v>0.000307982429162552</v>
      </c>
      <c r="AQ344" s="231">
        <f ca="1" t="shared" si="87"/>
        <v>0.00416615797593672</v>
      </c>
      <c r="AR344" s="231">
        <f ca="1" t="shared" si="88"/>
        <v>1.06704660231178e-5</v>
      </c>
      <c r="AS344" s="231">
        <f ca="1" t="shared" si="89"/>
        <v>1.38974025112996e-6</v>
      </c>
    </row>
    <row r="345" ht="15" hidden="1" customHeight="1" spans="3:45">
      <c r="C345" s="221"/>
      <c r="D345" s="221"/>
      <c r="E345" s="221"/>
      <c r="F345" s="221"/>
      <c r="G345" s="221"/>
      <c r="I345" s="12">
        <v>704</v>
      </c>
      <c r="J345" s="230">
        <v>0.003134093</v>
      </c>
      <c r="L345" s="12">
        <v>704</v>
      </c>
      <c r="M345" s="230"/>
      <c r="N345" s="230">
        <v>0.00024293</v>
      </c>
      <c r="O345" s="230">
        <v>0.00394832</v>
      </c>
      <c r="P345" s="232">
        <v>1.36e-5</v>
      </c>
      <c r="Q345" s="230">
        <v>1.87101e-6</v>
      </c>
      <c r="S345" s="12">
        <v>704</v>
      </c>
      <c r="T345" s="230">
        <v>5.55963141164179e-9</v>
      </c>
      <c r="U345" s="230">
        <v>0.000370913807060128</v>
      </c>
      <c r="V345" s="230">
        <v>0.00478353548528995</v>
      </c>
      <c r="W345" s="232">
        <v>1.3747508598902e-5</v>
      </c>
      <c r="X345" s="230">
        <v>1.87145332474263e-6</v>
      </c>
      <c r="Z345" s="12">
        <v>704</v>
      </c>
      <c r="AA345" s="230">
        <f ca="1" t="shared" si="75"/>
        <v>5.55963141164179e-9</v>
      </c>
      <c r="AB345" s="230">
        <f ca="1" t="shared" si="76"/>
        <v>0.000370913807060128</v>
      </c>
      <c r="AC345" s="230">
        <f ca="1" t="shared" si="77"/>
        <v>0.00478353548528995</v>
      </c>
      <c r="AD345" s="230">
        <f ca="1" t="shared" si="78"/>
        <v>1.3747508598902e-5</v>
      </c>
      <c r="AE345" s="230">
        <f ca="1" t="shared" si="79"/>
        <v>1.87145332474263e-6</v>
      </c>
      <c r="AG345" s="12">
        <v>704</v>
      </c>
      <c r="AH345" s="231">
        <f ca="1" t="shared" si="80"/>
        <v>7.89720370971845e-12</v>
      </c>
      <c r="AI345" s="231">
        <f ca="1" t="shared" si="81"/>
        <v>5.26866203210409e-7</v>
      </c>
      <c r="AJ345" s="231">
        <f ca="1" t="shared" si="82"/>
        <v>6.79479472342322e-6</v>
      </c>
      <c r="AK345" s="231">
        <f ca="1" t="shared" si="83"/>
        <v>1.95277110779858e-8</v>
      </c>
      <c r="AL345" s="231">
        <f ca="1" t="shared" si="84"/>
        <v>2.65831438173669e-9</v>
      </c>
      <c r="AN345" s="12">
        <v>704</v>
      </c>
      <c r="AO345" s="231">
        <f ca="1" t="shared" si="85"/>
        <v>3.47476963227612e-9</v>
      </c>
      <c r="AP345" s="231">
        <f ca="1" t="shared" si="86"/>
        <v>0.000286105104297228</v>
      </c>
      <c r="AQ345" s="231">
        <f ca="1" t="shared" si="87"/>
        <v>0.0038681152001086</v>
      </c>
      <c r="AR345" s="231">
        <f ca="1" t="shared" si="88"/>
        <v>9.95394079189046e-6</v>
      </c>
      <c r="AS345" s="231">
        <f ca="1" t="shared" si="89"/>
        <v>1.29932352619781e-6</v>
      </c>
    </row>
    <row r="346" ht="15" hidden="1" customHeight="1" spans="3:45">
      <c r="C346" s="221"/>
      <c r="D346" s="221"/>
      <c r="E346" s="221"/>
      <c r="F346" s="221"/>
      <c r="G346" s="221"/>
      <c r="I346" s="12">
        <v>705</v>
      </c>
      <c r="J346" s="230">
        <v>0.002929</v>
      </c>
      <c r="L346" s="12">
        <v>705</v>
      </c>
      <c r="M346" s="230"/>
      <c r="N346" s="230">
        <v>0.000225641</v>
      </c>
      <c r="O346" s="230">
        <v>0.00366675</v>
      </c>
      <c r="P346" s="232">
        <v>1.273e-5</v>
      </c>
      <c r="Q346" s="230">
        <v>1.75252e-6</v>
      </c>
      <c r="S346" s="12">
        <v>705</v>
      </c>
      <c r="T346" s="230">
        <v>5.25095141562095e-9</v>
      </c>
      <c r="U346" s="230">
        <v>0.00034511671981733</v>
      </c>
      <c r="V346" s="230">
        <v>0.00444776671027528</v>
      </c>
      <c r="W346" s="232">
        <v>1.28450855183011e-5</v>
      </c>
      <c r="X346" s="230">
        <v>1.75252006902218e-6</v>
      </c>
      <c r="Z346" s="12">
        <v>705</v>
      </c>
      <c r="AA346" s="230">
        <f ca="1" t="shared" si="75"/>
        <v>5.25095141562095e-9</v>
      </c>
      <c r="AB346" s="230">
        <f ca="1" t="shared" si="76"/>
        <v>0.00034511671981733</v>
      </c>
      <c r="AC346" s="230">
        <f ca="1" t="shared" si="77"/>
        <v>0.00444776671027528</v>
      </c>
      <c r="AD346" s="230">
        <f ca="1" t="shared" si="78"/>
        <v>1.28450855183011e-5</v>
      </c>
      <c r="AE346" s="230">
        <f ca="1" t="shared" si="79"/>
        <v>1.75252006902218e-6</v>
      </c>
      <c r="AG346" s="12">
        <v>705</v>
      </c>
      <c r="AH346" s="231">
        <f ca="1" t="shared" si="80"/>
        <v>7.44815803634177e-12</v>
      </c>
      <c r="AI346" s="231">
        <f ca="1" t="shared" si="81"/>
        <v>4.89527262152241e-7</v>
      </c>
      <c r="AJ346" s="231">
        <f ca="1" t="shared" si="82"/>
        <v>6.30888895074508e-6</v>
      </c>
      <c r="AK346" s="231">
        <f ca="1" t="shared" si="83"/>
        <v>1.82199794585831e-8</v>
      </c>
      <c r="AL346" s="231">
        <f ca="1" t="shared" si="84"/>
        <v>2.48584406953501e-9</v>
      </c>
      <c r="AN346" s="12">
        <v>705</v>
      </c>
      <c r="AO346" s="231">
        <f ca="1" t="shared" si="85"/>
        <v>3.27718953599038e-9</v>
      </c>
      <c r="AP346" s="231">
        <f ca="1" t="shared" si="86"/>
        <v>0.000265828871810308</v>
      </c>
      <c r="AQ346" s="231">
        <f ca="1" t="shared" si="87"/>
        <v>0.00359150058824436</v>
      </c>
      <c r="AR346" s="231">
        <f ca="1" t="shared" si="88"/>
        <v>9.28734535429758e-6</v>
      </c>
      <c r="AS346" s="231">
        <f ca="1" t="shared" si="89"/>
        <v>1.21502396563645e-6</v>
      </c>
    </row>
    <row r="347" ht="15" hidden="1" customHeight="1" spans="3:45">
      <c r="C347" s="221"/>
      <c r="D347" s="221"/>
      <c r="E347" s="221"/>
      <c r="F347" s="221"/>
      <c r="G347" s="221"/>
      <c r="I347" s="12">
        <v>706</v>
      </c>
      <c r="J347" s="230">
        <v>0.002738139</v>
      </c>
      <c r="L347" s="12">
        <v>706</v>
      </c>
      <c r="M347" s="230"/>
      <c r="N347" s="230">
        <v>0.000209478</v>
      </c>
      <c r="O347" s="230">
        <v>0.00340297</v>
      </c>
      <c r="P347" s="232">
        <v>1.191e-5</v>
      </c>
      <c r="Q347" s="230">
        <v>1.64197e-6</v>
      </c>
      <c r="S347" s="12">
        <v>706</v>
      </c>
      <c r="T347" s="230">
        <v>4.96022069527682e-9</v>
      </c>
      <c r="U347" s="230">
        <v>0.00032117002091677</v>
      </c>
      <c r="V347" s="230">
        <v>0.00413573782575858</v>
      </c>
      <c r="W347" s="232">
        <v>1.20041938493406e-5</v>
      </c>
      <c r="X347" s="230">
        <v>1.64145129156641e-6</v>
      </c>
      <c r="Z347" s="12">
        <v>706</v>
      </c>
      <c r="AA347" s="230">
        <f ca="1" t="shared" si="75"/>
        <v>4.96022069527682e-9</v>
      </c>
      <c r="AB347" s="230">
        <f ca="1" t="shared" si="76"/>
        <v>0.00032117002091677</v>
      </c>
      <c r="AC347" s="230">
        <f ca="1" t="shared" si="77"/>
        <v>0.00413573782575858</v>
      </c>
      <c r="AD347" s="230">
        <f ca="1" t="shared" si="78"/>
        <v>1.20041938493406e-5</v>
      </c>
      <c r="AE347" s="230">
        <f ca="1" t="shared" si="79"/>
        <v>1.64145129156641e-6</v>
      </c>
      <c r="AG347" s="12">
        <v>706</v>
      </c>
      <c r="AH347" s="231">
        <f ca="1" t="shared" si="80"/>
        <v>7.02580835025045e-12</v>
      </c>
      <c r="AI347" s="231">
        <f ca="1" t="shared" si="81"/>
        <v>4.54915043791459e-7</v>
      </c>
      <c r="AJ347" s="231">
        <f ca="1" t="shared" si="82"/>
        <v>5.85798558889317e-6</v>
      </c>
      <c r="AK347" s="231">
        <f ca="1" t="shared" si="83"/>
        <v>1.70031074353266e-8</v>
      </c>
      <c r="AL347" s="231">
        <f ca="1" t="shared" si="84"/>
        <v>2.32500182941418e-9</v>
      </c>
      <c r="AN347" s="12">
        <v>706</v>
      </c>
      <c r="AO347" s="231">
        <f ca="1" t="shared" si="85"/>
        <v>3.0913556741102e-9</v>
      </c>
      <c r="AP347" s="231">
        <f ca="1" t="shared" si="86"/>
        <v>0.000247033336466175</v>
      </c>
      <c r="AQ347" s="231">
        <f ca="1" t="shared" si="87"/>
        <v>0.00333481201724943</v>
      </c>
      <c r="AR347" s="231">
        <f ca="1" t="shared" si="88"/>
        <v>8.66706415378053e-6</v>
      </c>
      <c r="AS347" s="231">
        <f ca="1" t="shared" si="89"/>
        <v>1.13640794187676e-6</v>
      </c>
    </row>
    <row r="348" ht="15" hidden="1" customHeight="1" spans="3:45">
      <c r="C348" s="221"/>
      <c r="D348" s="221"/>
      <c r="E348" s="221"/>
      <c r="F348" s="221"/>
      <c r="G348" s="221"/>
      <c r="I348" s="12">
        <v>707</v>
      </c>
      <c r="J348" s="230">
        <v>0.002559876</v>
      </c>
      <c r="L348" s="12">
        <v>707</v>
      </c>
      <c r="M348" s="230"/>
      <c r="N348" s="230">
        <v>0.0001944</v>
      </c>
      <c r="O348" s="230">
        <v>0.00315632</v>
      </c>
      <c r="P348" s="232">
        <v>1.114e-5</v>
      </c>
      <c r="Q348" s="230">
        <v>1.53806e-6</v>
      </c>
      <c r="S348" s="12">
        <v>707</v>
      </c>
      <c r="T348" s="230">
        <v>4.68636380403776e-9</v>
      </c>
      <c r="U348" s="230">
        <v>0.000298937914225657</v>
      </c>
      <c r="V348" s="230">
        <v>0.00384577613421483</v>
      </c>
      <c r="W348" s="232">
        <v>1.12204945724589e-5</v>
      </c>
      <c r="X348" s="230">
        <v>1.53770844680714e-6</v>
      </c>
      <c r="Z348" s="12">
        <v>707</v>
      </c>
      <c r="AA348" s="230">
        <f ca="1" t="shared" si="75"/>
        <v>4.68636380403776e-9</v>
      </c>
      <c r="AB348" s="230">
        <f ca="1" t="shared" si="76"/>
        <v>0.000298937914225657</v>
      </c>
      <c r="AC348" s="230">
        <f ca="1" t="shared" si="77"/>
        <v>0.00384577613421483</v>
      </c>
      <c r="AD348" s="230">
        <f ca="1" t="shared" si="78"/>
        <v>1.12204945724589e-5</v>
      </c>
      <c r="AE348" s="230">
        <f ca="1" t="shared" si="79"/>
        <v>1.53770844680714e-6</v>
      </c>
      <c r="AG348" s="12">
        <v>707</v>
      </c>
      <c r="AH348" s="231">
        <f ca="1" t="shared" si="80"/>
        <v>6.62852023201946e-12</v>
      </c>
      <c r="AI348" s="231">
        <f ca="1" t="shared" si="81"/>
        <v>4.22825904138129e-7</v>
      </c>
      <c r="AJ348" s="231">
        <f ca="1" t="shared" si="82"/>
        <v>5.43957020398137e-6</v>
      </c>
      <c r="AK348" s="231">
        <f ca="1" t="shared" si="83"/>
        <v>1.58705722382728e-8</v>
      </c>
      <c r="AL348" s="231">
        <f ca="1" t="shared" si="84"/>
        <v>2.17497658671448e-9</v>
      </c>
      <c r="AN348" s="12">
        <v>707</v>
      </c>
      <c r="AO348" s="231">
        <f ca="1" t="shared" si="85"/>
        <v>2.91654890208856e-9</v>
      </c>
      <c r="AP348" s="231">
        <f ca="1" t="shared" si="86"/>
        <v>0.000229607913101796</v>
      </c>
      <c r="AQ348" s="231">
        <f ca="1" t="shared" si="87"/>
        <v>0.00309661807965226</v>
      </c>
      <c r="AR348" s="231">
        <f ca="1" t="shared" si="88"/>
        <v>8.08977231188545e-6</v>
      </c>
      <c r="AS348" s="231">
        <f ca="1" t="shared" si="89"/>
        <v>1.06307902009742e-6</v>
      </c>
    </row>
    <row r="349" ht="15" hidden="1" customHeight="1" spans="3:45">
      <c r="C349" s="221"/>
      <c r="D349" s="221"/>
      <c r="E349" s="221"/>
      <c r="F349" s="221"/>
      <c r="G349" s="221"/>
      <c r="I349" s="12">
        <v>708</v>
      </c>
      <c r="J349" s="230">
        <v>0.002393244</v>
      </c>
      <c r="L349" s="12">
        <v>708</v>
      </c>
      <c r="M349" s="230"/>
      <c r="N349" s="230">
        <v>0.00018037</v>
      </c>
      <c r="O349" s="230">
        <v>0.00292624</v>
      </c>
      <c r="P349" s="232">
        <v>1.043e-5</v>
      </c>
      <c r="Q349" s="230">
        <v>1.44073e-6</v>
      </c>
      <c r="S349" s="12">
        <v>708</v>
      </c>
      <c r="T349" s="230">
        <v>4.42835062655341e-9</v>
      </c>
      <c r="U349" s="230">
        <v>0.000278293459761736</v>
      </c>
      <c r="V349" s="230">
        <v>0.00357633341097531</v>
      </c>
      <c r="W349" s="232">
        <v>1.04899640540593e-5</v>
      </c>
      <c r="X349" s="230">
        <v>1.44079104322885e-6</v>
      </c>
      <c r="Z349" s="12">
        <v>708</v>
      </c>
      <c r="AA349" s="230">
        <f ca="1" t="shared" si="75"/>
        <v>4.42835062655341e-9</v>
      </c>
      <c r="AB349" s="230">
        <f ca="1" t="shared" si="76"/>
        <v>0.000278293459761736</v>
      </c>
      <c r="AC349" s="230">
        <f ca="1" t="shared" si="77"/>
        <v>0.00357633341097531</v>
      </c>
      <c r="AD349" s="230">
        <f ca="1" t="shared" si="78"/>
        <v>1.04899640540593e-5</v>
      </c>
      <c r="AE349" s="230">
        <f ca="1" t="shared" si="79"/>
        <v>1.44079104322885e-6</v>
      </c>
      <c r="AG349" s="12">
        <v>708</v>
      </c>
      <c r="AH349" s="231">
        <f ca="1" t="shared" si="80"/>
        <v>6.25473252338052e-12</v>
      </c>
      <c r="AI349" s="231">
        <f ca="1" t="shared" si="81"/>
        <v>3.93069858420531e-7</v>
      </c>
      <c r="AJ349" s="231">
        <f ca="1" t="shared" si="82"/>
        <v>5.05131837708377e-6</v>
      </c>
      <c r="AK349" s="231">
        <f ca="1" t="shared" si="83"/>
        <v>1.48163334096883e-8</v>
      </c>
      <c r="AL349" s="231">
        <f ca="1" t="shared" si="84"/>
        <v>2.03501559778086e-9</v>
      </c>
      <c r="AN349" s="12">
        <v>708</v>
      </c>
      <c r="AO349" s="231">
        <f ca="1" t="shared" si="85"/>
        <v>2.75208231028743e-9</v>
      </c>
      <c r="AP349" s="231">
        <f ca="1" t="shared" si="86"/>
        <v>0.000213449433944031</v>
      </c>
      <c r="AQ349" s="231">
        <f ca="1" t="shared" si="87"/>
        <v>0.00287559553898367</v>
      </c>
      <c r="AR349" s="231">
        <f ca="1" t="shared" si="88"/>
        <v>7.5523908011526e-6</v>
      </c>
      <c r="AS349" s="231">
        <f ca="1" t="shared" si="89"/>
        <v>9.94669276343731e-7</v>
      </c>
    </row>
    <row r="350" ht="15" hidden="1" customHeight="1" spans="3:45">
      <c r="C350" s="221"/>
      <c r="D350" s="221"/>
      <c r="E350" s="221"/>
      <c r="F350" s="221"/>
      <c r="G350" s="221"/>
      <c r="I350" s="12">
        <v>709</v>
      </c>
      <c r="J350" s="230">
        <v>0.002237275</v>
      </c>
      <c r="L350" s="12">
        <v>709</v>
      </c>
      <c r="M350" s="230"/>
      <c r="N350" s="230">
        <v>0.000167347</v>
      </c>
      <c r="O350" s="230">
        <v>0.00271213</v>
      </c>
      <c r="P350" s="231">
        <v>9.76e-6</v>
      </c>
      <c r="Q350" s="230">
        <v>1.34993e-6</v>
      </c>
      <c r="S350" s="12">
        <v>709</v>
      </c>
      <c r="T350" s="230">
        <v>4.18521718581124e-9</v>
      </c>
      <c r="U350" s="230">
        <v>0.000259121232075342</v>
      </c>
      <c r="V350" s="230">
        <v>0.00332595983283714</v>
      </c>
      <c r="W350" s="231">
        <v>9.80887048034217e-6</v>
      </c>
      <c r="X350" s="230">
        <v>1.35023387662787e-6</v>
      </c>
      <c r="Z350" s="12">
        <v>709</v>
      </c>
      <c r="AA350" s="230">
        <f ca="1" t="shared" si="75"/>
        <v>4.18521718581124e-9</v>
      </c>
      <c r="AB350" s="230">
        <f ca="1" t="shared" si="76"/>
        <v>0.000259121232075342</v>
      </c>
      <c r="AC350" s="230">
        <f ca="1" t="shared" si="77"/>
        <v>0.00332595983283714</v>
      </c>
      <c r="AD350" s="230">
        <f ca="1" t="shared" si="78"/>
        <v>9.80887048034217e-6</v>
      </c>
      <c r="AE350" s="230">
        <f ca="1" t="shared" si="79"/>
        <v>1.35023387662787e-6</v>
      </c>
      <c r="AG350" s="12">
        <v>709</v>
      </c>
      <c r="AH350" s="231">
        <f ca="1" t="shared" si="80"/>
        <v>5.90298615770274e-12</v>
      </c>
      <c r="AI350" s="231">
        <f ca="1" t="shared" si="81"/>
        <v>3.65474234238846e-7</v>
      </c>
      <c r="AJ350" s="231">
        <f ca="1" t="shared" si="82"/>
        <v>4.69105759215393e-6</v>
      </c>
      <c r="AK350" s="231">
        <f ca="1" t="shared" si="83"/>
        <v>1.38347961640933e-8</v>
      </c>
      <c r="AL350" s="231">
        <f ca="1" t="shared" si="84"/>
        <v>1.90442013628755e-9</v>
      </c>
      <c r="AN350" s="12">
        <v>709</v>
      </c>
      <c r="AO350" s="231">
        <f ca="1" t="shared" si="85"/>
        <v>2.5973139093892e-9</v>
      </c>
      <c r="AP350" s="231">
        <f ca="1" t="shared" si="86"/>
        <v>0.000198464132388268</v>
      </c>
      <c r="AQ350" s="231">
        <f ca="1" t="shared" si="87"/>
        <v>0.00267050763347472</v>
      </c>
      <c r="AR350" s="231">
        <f ca="1" t="shared" si="88"/>
        <v>7.05206776848024e-6</v>
      </c>
      <c r="AS350" s="231">
        <f ca="1" t="shared" si="89"/>
        <v>9.30837189101262e-7</v>
      </c>
    </row>
    <row r="351" ht="15" hidden="1" customHeight="1" spans="3:45">
      <c r="C351" s="221"/>
      <c r="D351" s="221"/>
      <c r="E351" s="221"/>
      <c r="F351" s="221"/>
      <c r="G351" s="221"/>
      <c r="I351" s="12">
        <v>710</v>
      </c>
      <c r="J351" s="230">
        <v>0.002091</v>
      </c>
      <c r="L351" s="12">
        <v>710</v>
      </c>
      <c r="M351" s="230"/>
      <c r="N351" s="230">
        <v>0.000155286</v>
      </c>
      <c r="O351" s="230">
        <v>0.00251327</v>
      </c>
      <c r="P351" s="231">
        <v>9.14e-6</v>
      </c>
      <c r="Q351" s="230">
        <v>1.2656e-6</v>
      </c>
      <c r="S351" s="12">
        <v>710</v>
      </c>
      <c r="T351" s="230">
        <v>3.9560702956649e-9</v>
      </c>
      <c r="U351" s="230">
        <v>0.000241312044946879</v>
      </c>
      <c r="V351" s="230">
        <v>0.00309332819434179</v>
      </c>
      <c r="W351" s="231">
        <v>9.17373097406504e-6</v>
      </c>
      <c r="X351" s="230">
        <v>1.26560155571034e-6</v>
      </c>
      <c r="Z351" s="12">
        <v>710</v>
      </c>
      <c r="AA351" s="230">
        <f ca="1" t="shared" si="75"/>
        <v>3.9560702956649e-9</v>
      </c>
      <c r="AB351" s="230">
        <f ca="1" t="shared" si="76"/>
        <v>0.000241312044946879</v>
      </c>
      <c r="AC351" s="230">
        <f ca="1" t="shared" si="77"/>
        <v>0.00309332819434179</v>
      </c>
      <c r="AD351" s="230">
        <f ca="1" t="shared" si="78"/>
        <v>9.17373097406504e-6</v>
      </c>
      <c r="AE351" s="230">
        <f ca="1" t="shared" si="79"/>
        <v>1.26560155571034e-6</v>
      </c>
      <c r="AG351" s="12">
        <v>710</v>
      </c>
      <c r="AH351" s="231">
        <f ca="1" t="shared" si="80"/>
        <v>5.57192999389423e-12</v>
      </c>
      <c r="AI351" s="231">
        <f ca="1" t="shared" si="81"/>
        <v>3.39876119643492e-7</v>
      </c>
      <c r="AJ351" s="231">
        <f ca="1" t="shared" si="82"/>
        <v>4.35680027372083e-6</v>
      </c>
      <c r="AK351" s="231">
        <f ca="1" t="shared" si="83"/>
        <v>1.29207478507958e-8</v>
      </c>
      <c r="AL351" s="231">
        <f ca="1" t="shared" si="84"/>
        <v>1.78253740240893e-9</v>
      </c>
      <c r="AN351" s="12">
        <v>710</v>
      </c>
      <c r="AO351" s="231">
        <f ca="1" t="shared" si="85"/>
        <v>2.45164919731346e-9</v>
      </c>
      <c r="AP351" s="231">
        <f ca="1" t="shared" si="86"/>
        <v>0.000184563542064786</v>
      </c>
      <c r="AQ351" s="231">
        <f ca="1" t="shared" si="87"/>
        <v>0.00248022288363209</v>
      </c>
      <c r="AR351" s="231">
        <f ca="1" t="shared" si="88"/>
        <v>6.58614614790959e-6</v>
      </c>
      <c r="AS351" s="231">
        <f ca="1" t="shared" si="89"/>
        <v>8.71263684682898e-7</v>
      </c>
    </row>
    <row r="352" ht="15" hidden="1" customHeight="1" spans="3:45">
      <c r="C352" s="221"/>
      <c r="D352" s="221"/>
      <c r="E352" s="221"/>
      <c r="F352" s="221"/>
      <c r="G352" s="221"/>
      <c r="I352" s="12">
        <v>711</v>
      </c>
      <c r="J352" s="230">
        <v>0.001953587</v>
      </c>
      <c r="L352" s="12">
        <v>711</v>
      </c>
      <c r="M352" s="230"/>
      <c r="N352" s="230">
        <v>0.000144135</v>
      </c>
      <c r="O352" s="230">
        <v>0.00232895</v>
      </c>
      <c r="P352" s="231">
        <v>8.56e-6</v>
      </c>
      <c r="Q352" s="230">
        <v>1.18683e-6</v>
      </c>
      <c r="S352" s="12">
        <v>711</v>
      </c>
      <c r="T352" s="230">
        <v>3.73999481405283e-9</v>
      </c>
      <c r="U352" s="230">
        <v>0.000224762058003513</v>
      </c>
      <c r="V352" s="230">
        <v>0.00287711353428713</v>
      </c>
      <c r="W352" s="231">
        <v>8.58112048863238e-6</v>
      </c>
      <c r="X352" s="230">
        <v>1.1864651876356e-6</v>
      </c>
      <c r="Z352" s="12">
        <v>711</v>
      </c>
      <c r="AA352" s="230">
        <f ca="1" t="shared" si="75"/>
        <v>3.73999481405283e-9</v>
      </c>
      <c r="AB352" s="230">
        <f ca="1" t="shared" si="76"/>
        <v>0.000224762058003513</v>
      </c>
      <c r="AC352" s="230">
        <f ca="1" t="shared" si="77"/>
        <v>0.00287711353428713</v>
      </c>
      <c r="AD352" s="230">
        <f ca="1" t="shared" si="78"/>
        <v>8.58112048863238e-6</v>
      </c>
      <c r="AE352" s="230">
        <f ca="1" t="shared" si="79"/>
        <v>1.1864651876356e-6</v>
      </c>
      <c r="AG352" s="12">
        <v>711</v>
      </c>
      <c r="AH352" s="231">
        <f ca="1" t="shared" si="80"/>
        <v>5.26018961188865e-12</v>
      </c>
      <c r="AI352" s="231">
        <f ca="1" t="shared" si="81"/>
        <v>3.16121037979624e-7</v>
      </c>
      <c r="AJ352" s="231">
        <f ca="1" t="shared" si="82"/>
        <v>4.04657318465138e-6</v>
      </c>
      <c r="AK352" s="231">
        <f ca="1" t="shared" si="83"/>
        <v>1.20690864819021e-8</v>
      </c>
      <c r="AL352" s="231">
        <f ca="1" t="shared" si="84"/>
        <v>1.66872740877018e-9</v>
      </c>
      <c r="AN352" s="12">
        <v>711</v>
      </c>
      <c r="AO352" s="231">
        <f ca="1" t="shared" si="85"/>
        <v>2.31448342923101e-9</v>
      </c>
      <c r="AP352" s="231">
        <f ca="1" t="shared" si="86"/>
        <v>0.000171663777237176</v>
      </c>
      <c r="AQ352" s="231">
        <f ca="1" t="shared" si="87"/>
        <v>0.00230361797243759</v>
      </c>
      <c r="AR352" s="231">
        <f ca="1" t="shared" si="88"/>
        <v>6.15202528208699e-6</v>
      </c>
      <c r="AS352" s="231">
        <f ca="1" t="shared" si="89"/>
        <v>8.1563595183565e-7</v>
      </c>
    </row>
    <row r="353" ht="15" hidden="1" customHeight="1" spans="3:45">
      <c r="C353" s="221"/>
      <c r="D353" s="221"/>
      <c r="E353" s="221"/>
      <c r="F353" s="221"/>
      <c r="G353" s="221"/>
      <c r="I353" s="12">
        <v>712</v>
      </c>
      <c r="J353" s="230">
        <v>0.00182458</v>
      </c>
      <c r="L353" s="12">
        <v>712</v>
      </c>
      <c r="M353" s="230"/>
      <c r="N353" s="230">
        <v>0.00013383</v>
      </c>
      <c r="O353" s="230">
        <v>0.00215836</v>
      </c>
      <c r="P353" s="231">
        <v>8.02e-6</v>
      </c>
      <c r="Q353" s="230">
        <v>1.11273e-6</v>
      </c>
      <c r="S353" s="12">
        <v>712</v>
      </c>
      <c r="T353" s="230">
        <v>3.5362828921331e-9</v>
      </c>
      <c r="U353" s="230">
        <v>0.000209384726967631</v>
      </c>
      <c r="V353" s="230">
        <v>0.00267621499653859</v>
      </c>
      <c r="W353" s="231">
        <v>8.02830752830897e-6</v>
      </c>
      <c r="X353" s="230">
        <v>1.11248201842035e-6</v>
      </c>
      <c r="Z353" s="12">
        <v>712</v>
      </c>
      <c r="AA353" s="230">
        <f ca="1" t="shared" si="75"/>
        <v>3.5362828921331e-9</v>
      </c>
      <c r="AB353" s="230">
        <f ca="1" t="shared" si="76"/>
        <v>0.000209384726967631</v>
      </c>
      <c r="AC353" s="230">
        <f ca="1" t="shared" si="77"/>
        <v>0.00267621499653859</v>
      </c>
      <c r="AD353" s="230">
        <f ca="1" t="shared" si="78"/>
        <v>8.02830752830897e-6</v>
      </c>
      <c r="AE353" s="230">
        <f ca="1" t="shared" si="79"/>
        <v>1.11248201842035e-6</v>
      </c>
      <c r="AG353" s="12">
        <v>712</v>
      </c>
      <c r="AH353" s="231">
        <f ca="1" t="shared" si="80"/>
        <v>4.96668945524312e-12</v>
      </c>
      <c r="AI353" s="231">
        <f ca="1" t="shared" si="81"/>
        <v>2.94079672707347e-7</v>
      </c>
      <c r="AJ353" s="231">
        <f ca="1" t="shared" si="82"/>
        <v>3.75872892772274e-6</v>
      </c>
      <c r="AK353" s="231">
        <f ca="1" t="shared" si="83"/>
        <v>1.12757128206587e-8</v>
      </c>
      <c r="AL353" s="231">
        <f ca="1" t="shared" si="84"/>
        <v>1.5624747449724e-9</v>
      </c>
      <c r="AN353" s="12">
        <v>712</v>
      </c>
      <c r="AO353" s="231">
        <f ca="1" t="shared" si="85"/>
        <v>2.18534336030697e-9</v>
      </c>
      <c r="AP353" s="231">
        <f ca="1" t="shared" si="86"/>
        <v>0.000159694614911613</v>
      </c>
      <c r="AQ353" s="231">
        <f ca="1" t="shared" si="87"/>
        <v>0.00213975507579239</v>
      </c>
      <c r="AR353" s="231">
        <f ca="1" t="shared" si="88"/>
        <v>5.7476156501376e-6</v>
      </c>
      <c r="AS353" s="231">
        <f ca="1" t="shared" si="89"/>
        <v>7.63702069695099e-7</v>
      </c>
    </row>
    <row r="354" ht="15" hidden="1" customHeight="1" spans="3:45">
      <c r="C354" s="221"/>
      <c r="D354" s="221"/>
      <c r="E354" s="221"/>
      <c r="F354" s="221"/>
      <c r="G354" s="221"/>
      <c r="I354" s="12">
        <v>713</v>
      </c>
      <c r="J354" s="230">
        <v>0.00170358</v>
      </c>
      <c r="L354" s="12">
        <v>713</v>
      </c>
      <c r="M354" s="230"/>
      <c r="N354" s="230">
        <v>0.000124309</v>
      </c>
      <c r="O354" s="230">
        <v>0.00200071</v>
      </c>
      <c r="P354" s="231">
        <v>7.51e-6</v>
      </c>
      <c r="Q354" s="230">
        <v>1.04326e-6</v>
      </c>
      <c r="S354" s="12">
        <v>713</v>
      </c>
      <c r="T354" s="230">
        <v>3.34420583267344e-9</v>
      </c>
      <c r="U354" s="230">
        <v>0.000195094039023223</v>
      </c>
      <c r="V354" s="230">
        <v>0.00248955657479643</v>
      </c>
      <c r="W354" s="231">
        <v>7.51250890837633e-6</v>
      </c>
      <c r="X354" s="230">
        <v>1.04329950180887e-6</v>
      </c>
      <c r="Z354" s="12">
        <v>713</v>
      </c>
      <c r="AA354" s="230">
        <f ca="1" t="shared" si="75"/>
        <v>3.34420583267344e-9</v>
      </c>
      <c r="AB354" s="230">
        <f ca="1" t="shared" si="76"/>
        <v>0.000195094039023223</v>
      </c>
      <c r="AC354" s="230">
        <f ca="1" t="shared" si="77"/>
        <v>0.00248955657479643</v>
      </c>
      <c r="AD354" s="230">
        <f ca="1" t="shared" si="78"/>
        <v>7.51250890837633e-6</v>
      </c>
      <c r="AE354" s="230">
        <f ca="1" t="shared" si="79"/>
        <v>1.04329950180887e-6</v>
      </c>
      <c r="AG354" s="12">
        <v>713</v>
      </c>
      <c r="AH354" s="231">
        <f ca="1" t="shared" si="80"/>
        <v>4.69033076111282e-12</v>
      </c>
      <c r="AI354" s="231">
        <f ca="1" t="shared" si="81"/>
        <v>2.73624178153188e-7</v>
      </c>
      <c r="AJ354" s="231">
        <f ca="1" t="shared" si="82"/>
        <v>3.4916642002755e-6</v>
      </c>
      <c r="AK354" s="231">
        <f ca="1" t="shared" si="83"/>
        <v>1.05364781323651e-8</v>
      </c>
      <c r="AL354" s="231">
        <f ca="1" t="shared" si="84"/>
        <v>1.46325315821721e-9</v>
      </c>
      <c r="AN354" s="12">
        <v>713</v>
      </c>
      <c r="AO354" s="231">
        <f ca="1" t="shared" si="85"/>
        <v>2.06374553488964e-9</v>
      </c>
      <c r="AP354" s="231">
        <f ca="1" t="shared" si="86"/>
        <v>0.00014858663082152</v>
      </c>
      <c r="AQ354" s="231">
        <f ca="1" t="shared" si="87"/>
        <v>0.00198772147158498</v>
      </c>
      <c r="AR354" s="231">
        <f ca="1" t="shared" si="88"/>
        <v>5.37080250039365e-6</v>
      </c>
      <c r="AS354" s="231">
        <f ca="1" t="shared" si="89"/>
        <v>7.15204817878904e-7</v>
      </c>
    </row>
    <row r="355" ht="15" hidden="1" customHeight="1" spans="3:45">
      <c r="C355" s="221"/>
      <c r="D355" s="221"/>
      <c r="E355" s="221"/>
      <c r="F355" s="221"/>
      <c r="G355" s="221"/>
      <c r="I355" s="12">
        <v>714</v>
      </c>
      <c r="J355" s="230">
        <v>0.001590187</v>
      </c>
      <c r="L355" s="12">
        <v>714</v>
      </c>
      <c r="M355" s="230"/>
      <c r="N355" s="230">
        <v>0.000115513</v>
      </c>
      <c r="O355" s="230">
        <v>0.00185521</v>
      </c>
      <c r="P355" s="231">
        <v>7.04e-6</v>
      </c>
      <c r="Q355" s="230">
        <v>9.78385e-7</v>
      </c>
      <c r="S355" s="12">
        <v>714</v>
      </c>
      <c r="T355" s="230">
        <v>3.16305686738747e-9</v>
      </c>
      <c r="U355" s="230">
        <v>0.000181811353523239</v>
      </c>
      <c r="V355" s="230">
        <v>0.00231611969720351</v>
      </c>
      <c r="W355" s="231">
        <v>7.03117650092696e-6</v>
      </c>
      <c r="X355" s="230">
        <v>9.78599523596531e-7</v>
      </c>
      <c r="Z355" s="12">
        <v>714</v>
      </c>
      <c r="AA355" s="230">
        <f ca="1" t="shared" si="75"/>
        <v>3.16305686738747e-9</v>
      </c>
      <c r="AB355" s="230">
        <f ca="1" t="shared" si="76"/>
        <v>0.000181811353523239</v>
      </c>
      <c r="AC355" s="230">
        <f ca="1" t="shared" si="77"/>
        <v>0.00231611969720351</v>
      </c>
      <c r="AD355" s="230">
        <f ca="1" t="shared" si="78"/>
        <v>7.03117650092696e-6</v>
      </c>
      <c r="AE355" s="230">
        <f ca="1" t="shared" si="79"/>
        <v>9.78599523596531e-7</v>
      </c>
      <c r="AG355" s="12">
        <v>714</v>
      </c>
      <c r="AH355" s="231">
        <f ca="1" t="shared" si="80"/>
        <v>4.43005163499646e-12</v>
      </c>
      <c r="AI355" s="231">
        <f ca="1" t="shared" si="81"/>
        <v>2.54637750032548e-7</v>
      </c>
      <c r="AJ355" s="231">
        <f ca="1" t="shared" si="82"/>
        <v>3.24386512213377e-6</v>
      </c>
      <c r="AK355" s="231">
        <f ca="1" t="shared" si="83"/>
        <v>9.84758613575205e-9</v>
      </c>
      <c r="AL355" s="231">
        <f ca="1" t="shared" si="84"/>
        <v>1.37058756806237e-9</v>
      </c>
      <c r="AN355" s="12">
        <v>714</v>
      </c>
      <c r="AO355" s="231">
        <f ca="1" t="shared" si="85"/>
        <v>1.94922271939844e-9</v>
      </c>
      <c r="AP355" s="231">
        <f ca="1" t="shared" si="86"/>
        <v>0.000138276396525626</v>
      </c>
      <c r="AQ355" s="231">
        <f ca="1" t="shared" si="87"/>
        <v>0.00184665534379915</v>
      </c>
      <c r="AR355" s="231">
        <f ca="1" t="shared" si="88"/>
        <v>5.01965073872999e-6</v>
      </c>
      <c r="AS355" s="231">
        <f ca="1" t="shared" si="89"/>
        <v>6.69911987886941e-7</v>
      </c>
    </row>
    <row r="356" ht="15" hidden="1" customHeight="1" spans="3:45">
      <c r="C356" s="221"/>
      <c r="D356" s="221"/>
      <c r="E356" s="221"/>
      <c r="F356" s="221"/>
      <c r="G356" s="221"/>
      <c r="I356" s="12">
        <v>715</v>
      </c>
      <c r="J356" s="230">
        <v>0.001484</v>
      </c>
      <c r="L356" s="12">
        <v>715</v>
      </c>
      <c r="M356" s="230"/>
      <c r="N356" s="230">
        <v>0.000107388</v>
      </c>
      <c r="O356" s="230">
        <v>0.00172108</v>
      </c>
      <c r="P356" s="231">
        <v>6.6e-6</v>
      </c>
      <c r="Q356" s="230">
        <v>9.18078e-7</v>
      </c>
      <c r="S356" s="12">
        <v>715</v>
      </c>
      <c r="T356" s="230">
        <v>2.99220262775518e-9</v>
      </c>
      <c r="U356" s="230">
        <v>0.000169463432952144</v>
      </c>
      <c r="V356" s="230">
        <v>0.00215496886572732</v>
      </c>
      <c r="W356" s="231">
        <v>6.58189576113603e-6</v>
      </c>
      <c r="X356" s="230">
        <v>9.18078886862825e-7</v>
      </c>
      <c r="Z356" s="12">
        <v>715</v>
      </c>
      <c r="AA356" s="230">
        <f ca="1" t="shared" si="75"/>
        <v>2.99220262775518e-9</v>
      </c>
      <c r="AB356" s="230">
        <f ca="1" t="shared" si="76"/>
        <v>0.000169463432952144</v>
      </c>
      <c r="AC356" s="230">
        <f ca="1" t="shared" si="77"/>
        <v>0.00215496886572732</v>
      </c>
      <c r="AD356" s="230">
        <f ca="1" t="shared" si="78"/>
        <v>6.58189576113603e-6</v>
      </c>
      <c r="AE356" s="230">
        <f ca="1" t="shared" si="79"/>
        <v>9.18078886862825e-7</v>
      </c>
      <c r="AG356" s="12">
        <v>715</v>
      </c>
      <c r="AH356" s="231">
        <f ca="1" t="shared" si="80"/>
        <v>4.18489878007717e-12</v>
      </c>
      <c r="AI356" s="231">
        <f ca="1" t="shared" si="81"/>
        <v>2.37011794338663e-7</v>
      </c>
      <c r="AJ356" s="231">
        <f ca="1" t="shared" si="82"/>
        <v>3.0139424695487e-6</v>
      </c>
      <c r="AK356" s="231">
        <f ca="1" t="shared" si="83"/>
        <v>9.20544861697347e-9</v>
      </c>
      <c r="AL356" s="231">
        <f ca="1" t="shared" si="84"/>
        <v>1.28402641519276e-9</v>
      </c>
      <c r="AN356" s="12">
        <v>715</v>
      </c>
      <c r="AO356" s="231">
        <f ca="1" t="shared" si="85"/>
        <v>1.84135546323396e-9</v>
      </c>
      <c r="AP356" s="231">
        <f ca="1" t="shared" si="86"/>
        <v>0.000128704942024637</v>
      </c>
      <c r="AQ356" s="231">
        <f ca="1" t="shared" si="87"/>
        <v>0.00171576584036091</v>
      </c>
      <c r="AR356" s="231">
        <f ca="1" t="shared" si="88"/>
        <v>4.69233133008823e-6</v>
      </c>
      <c r="AS356" s="231">
        <f ca="1" t="shared" si="89"/>
        <v>6.27602867810329e-7</v>
      </c>
    </row>
    <row r="357" ht="15" hidden="1" customHeight="1" spans="3:45">
      <c r="C357" s="221"/>
      <c r="D357" s="221"/>
      <c r="E357" s="221"/>
      <c r="F357" s="221"/>
      <c r="G357" s="221"/>
      <c r="I357" s="12">
        <v>716</v>
      </c>
      <c r="J357" s="230">
        <v>0.001384496</v>
      </c>
      <c r="L357" s="12">
        <v>716</v>
      </c>
      <c r="M357" s="230"/>
      <c r="N357" s="230">
        <v>9.988e-5</v>
      </c>
      <c r="O357" s="230">
        <v>0.0015975</v>
      </c>
      <c r="P357" s="231">
        <v>6.18e-6</v>
      </c>
      <c r="Q357" s="230">
        <v>8.61705e-7</v>
      </c>
      <c r="S357" s="12">
        <v>716</v>
      </c>
      <c r="T357" s="230">
        <v>2.83102040748779e-9</v>
      </c>
      <c r="U357" s="230">
        <v>0.000157982506528395</v>
      </c>
      <c r="V357" s="230">
        <v>0.00200523372417299</v>
      </c>
      <c r="W357" s="231">
        <v>6.16245839194872e-6</v>
      </c>
      <c r="X357" s="230">
        <v>8.61453817697012e-7</v>
      </c>
      <c r="Z357" s="12">
        <v>716</v>
      </c>
      <c r="AA357" s="230">
        <f ca="1" t="shared" si="75"/>
        <v>2.83102040748779e-9</v>
      </c>
      <c r="AB357" s="230">
        <f ca="1" t="shared" si="76"/>
        <v>0.000157982506528395</v>
      </c>
      <c r="AC357" s="230">
        <f ca="1" t="shared" si="77"/>
        <v>0.00200523372417299</v>
      </c>
      <c r="AD357" s="230">
        <f ca="1" t="shared" si="78"/>
        <v>6.16245839194872e-6</v>
      </c>
      <c r="AE357" s="230">
        <f ca="1" t="shared" si="79"/>
        <v>8.61453817697012e-7</v>
      </c>
      <c r="AG357" s="12">
        <v>716</v>
      </c>
      <c r="AH357" s="231">
        <f ca="1" t="shared" si="80"/>
        <v>3.95393911660306e-12</v>
      </c>
      <c r="AI357" s="231">
        <f ca="1" t="shared" si="81"/>
        <v>2.2064595883854e-7</v>
      </c>
      <c r="AJ357" s="231">
        <f ca="1" t="shared" si="82"/>
        <v>2.80060576001814e-6</v>
      </c>
      <c r="AK357" s="231">
        <f ca="1" t="shared" si="83"/>
        <v>8.60678546361553e-9</v>
      </c>
      <c r="AL357" s="231">
        <f ca="1" t="shared" si="84"/>
        <v>1.20314779007963e-9</v>
      </c>
      <c r="AN357" s="12">
        <v>716</v>
      </c>
      <c r="AO357" s="231">
        <f ca="1" t="shared" si="85"/>
        <v>1.73973321130535e-9</v>
      </c>
      <c r="AP357" s="231">
        <f ca="1" t="shared" si="86"/>
        <v>0.000119817772864531</v>
      </c>
      <c r="AQ357" s="231">
        <f ca="1" t="shared" si="87"/>
        <v>0.00159431832024208</v>
      </c>
      <c r="AR357" s="231">
        <f ca="1" t="shared" si="88"/>
        <v>4.38717228922506e-6</v>
      </c>
      <c r="AS357" s="231">
        <f ca="1" t="shared" si="89"/>
        <v>5.88071237880472e-7</v>
      </c>
    </row>
    <row r="358" ht="15" hidden="1" customHeight="1" spans="3:45">
      <c r="C358" s="221"/>
      <c r="D358" s="221"/>
      <c r="E358" s="221"/>
      <c r="F358" s="221"/>
      <c r="G358" s="221"/>
      <c r="I358" s="12">
        <v>717</v>
      </c>
      <c r="J358" s="230">
        <v>0.001291268</v>
      </c>
      <c r="L358" s="12">
        <v>717</v>
      </c>
      <c r="M358" s="230"/>
      <c r="N358" s="230">
        <v>9.2932e-5</v>
      </c>
      <c r="O358" s="230">
        <v>0.00148342</v>
      </c>
      <c r="P358" s="231">
        <v>5.8e-6</v>
      </c>
      <c r="Q358" s="230">
        <v>8.0864e-7</v>
      </c>
      <c r="S358" s="12">
        <v>717</v>
      </c>
      <c r="T358" s="230">
        <v>2.67894624955373e-9</v>
      </c>
      <c r="U358" s="230">
        <v>0.000147306191067801</v>
      </c>
      <c r="V358" s="230">
        <v>0.00186608748384387</v>
      </c>
      <c r="W358" s="231">
        <v>5.77081298054066e-6</v>
      </c>
      <c r="X358" s="230">
        <v>8.084683076097e-7</v>
      </c>
      <c r="Z358" s="12">
        <v>717</v>
      </c>
      <c r="AA358" s="230">
        <f ca="1" t="shared" si="75"/>
        <v>2.67894624955373e-9</v>
      </c>
      <c r="AB358" s="230">
        <f ca="1" t="shared" si="76"/>
        <v>0.000147306191067801</v>
      </c>
      <c r="AC358" s="230">
        <f ca="1" t="shared" si="77"/>
        <v>0.00186608748384387</v>
      </c>
      <c r="AD358" s="230">
        <f ca="1" t="shared" si="78"/>
        <v>5.77081298054066e-6</v>
      </c>
      <c r="AE358" s="230">
        <f ca="1" t="shared" si="79"/>
        <v>8.084683076097e-7</v>
      </c>
      <c r="AG358" s="12">
        <v>717</v>
      </c>
      <c r="AH358" s="231">
        <f ca="1" t="shared" si="80"/>
        <v>3.73632670788526e-12</v>
      </c>
      <c r="AI358" s="231">
        <f ca="1" t="shared" si="81"/>
        <v>2.05447965227059e-7</v>
      </c>
      <c r="AJ358" s="231">
        <f ca="1" t="shared" si="82"/>
        <v>2.60263247398029e-6</v>
      </c>
      <c r="AK358" s="231">
        <f ca="1" t="shared" si="83"/>
        <v>8.04855366881543e-9</v>
      </c>
      <c r="AL358" s="231">
        <f ca="1" t="shared" si="84"/>
        <v>1.12757086138033e-9</v>
      </c>
      <c r="AN358" s="12">
        <v>717</v>
      </c>
      <c r="AO358" s="231">
        <f ca="1" t="shared" si="85"/>
        <v>1.64398375146951e-9</v>
      </c>
      <c r="AP358" s="231">
        <f ca="1" t="shared" si="86"/>
        <v>0.000111564778990894</v>
      </c>
      <c r="AQ358" s="231">
        <f ca="1" t="shared" si="87"/>
        <v>0.00148161683210166</v>
      </c>
      <c r="AR358" s="231">
        <f ca="1" t="shared" si="88"/>
        <v>4.10262249168862e-6</v>
      </c>
      <c r="AS358" s="231">
        <f ca="1" t="shared" si="89"/>
        <v>5.511309564106e-7</v>
      </c>
    </row>
    <row r="359" ht="15" hidden="1" customHeight="1" spans="3:45">
      <c r="C359" s="221"/>
      <c r="D359" s="221"/>
      <c r="E359" s="221"/>
      <c r="F359" s="221"/>
      <c r="G359" s="221"/>
      <c r="I359" s="12">
        <v>718</v>
      </c>
      <c r="J359" s="230">
        <v>0.001204092</v>
      </c>
      <c r="L359" s="12">
        <v>718</v>
      </c>
      <c r="M359" s="230"/>
      <c r="N359" s="230">
        <v>8.64907e-5</v>
      </c>
      <c r="O359" s="230">
        <v>0.00137787</v>
      </c>
      <c r="P359" s="231">
        <v>5.44e-6</v>
      </c>
      <c r="Q359" s="230">
        <v>7.58853e-7</v>
      </c>
      <c r="S359" s="12">
        <v>718</v>
      </c>
      <c r="T359" s="230">
        <v>2.53543219083931e-9</v>
      </c>
      <c r="U359" s="230">
        <v>0.000137375725814366</v>
      </c>
      <c r="V359" s="230">
        <v>0.00173678876069659</v>
      </c>
      <c r="W359" s="231">
        <v>5.40506598269672e-6</v>
      </c>
      <c r="X359" s="230">
        <v>7.58876317729264e-7</v>
      </c>
      <c r="Z359" s="12">
        <v>718</v>
      </c>
      <c r="AA359" s="230">
        <f ca="1" t="shared" si="75"/>
        <v>2.53543219083931e-9</v>
      </c>
      <c r="AB359" s="230">
        <f ca="1" t="shared" si="76"/>
        <v>0.000137375725814366</v>
      </c>
      <c r="AC359" s="230">
        <f ca="1" t="shared" si="77"/>
        <v>0.00173678876069659</v>
      </c>
      <c r="AD359" s="230">
        <f ca="1" t="shared" si="78"/>
        <v>5.40506598269672e-6</v>
      </c>
      <c r="AE359" s="230">
        <f ca="1" t="shared" si="79"/>
        <v>7.58876317729264e-7</v>
      </c>
      <c r="AG359" s="12">
        <v>718</v>
      </c>
      <c r="AH359" s="231">
        <f ca="1" t="shared" si="80"/>
        <v>3.53124260562578e-12</v>
      </c>
      <c r="AI359" s="231">
        <f ca="1" t="shared" si="81"/>
        <v>1.91331094448978e-7</v>
      </c>
      <c r="AJ359" s="231">
        <f ca="1" t="shared" si="82"/>
        <v>2.41892585055235e-6</v>
      </c>
      <c r="AK359" s="231">
        <f ca="1" t="shared" si="83"/>
        <v>7.52794705110964e-9</v>
      </c>
      <c r="AL359" s="231">
        <f ca="1" t="shared" si="84"/>
        <v>1.05693080463686e-9</v>
      </c>
      <c r="AN359" s="12">
        <v>718</v>
      </c>
      <c r="AO359" s="231">
        <f ca="1" t="shared" si="85"/>
        <v>1.55374674647534e-9</v>
      </c>
      <c r="AP359" s="231">
        <f ca="1" t="shared" si="86"/>
        <v>0.000103898869198802</v>
      </c>
      <c r="AQ359" s="231">
        <f ca="1" t="shared" si="87"/>
        <v>0.00137703701602677</v>
      </c>
      <c r="AR359" s="231">
        <f ca="1" t="shared" si="88"/>
        <v>3.83725153101562e-6</v>
      </c>
      <c r="AS359" s="231">
        <f ca="1" t="shared" si="89"/>
        <v>5.1660370551457e-7</v>
      </c>
    </row>
    <row r="360" ht="15" hidden="1" customHeight="1" spans="3:45">
      <c r="C360" s="221"/>
      <c r="D360" s="221"/>
      <c r="E360" s="221"/>
      <c r="F360" s="221"/>
      <c r="G360" s="221"/>
      <c r="I360" s="12">
        <v>719</v>
      </c>
      <c r="J360" s="230">
        <v>0.001122744</v>
      </c>
      <c r="L360" s="12">
        <v>719</v>
      </c>
      <c r="M360" s="230"/>
      <c r="N360" s="230">
        <v>8.0509e-5</v>
      </c>
      <c r="O360" s="230">
        <v>0.00127998</v>
      </c>
      <c r="P360" s="231">
        <v>5.1e-6</v>
      </c>
      <c r="Q360" s="230">
        <v>7.12313e-7</v>
      </c>
      <c r="S360" s="12">
        <v>719</v>
      </c>
      <c r="T360" s="230">
        <v>2.39998208570648e-9</v>
      </c>
      <c r="U360" s="230">
        <v>0.000128138017359018</v>
      </c>
      <c r="V360" s="230">
        <v>0.00161662391833456</v>
      </c>
      <c r="W360" s="231">
        <v>5.06340889262515e-6</v>
      </c>
      <c r="X360" s="230">
        <v>7.12454280335953e-7</v>
      </c>
      <c r="Z360" s="12">
        <v>719</v>
      </c>
      <c r="AA360" s="230">
        <f ca="1" t="shared" si="75"/>
        <v>2.39998208570648e-9</v>
      </c>
      <c r="AB360" s="230">
        <f ca="1" t="shared" si="76"/>
        <v>0.000128138017359018</v>
      </c>
      <c r="AC360" s="230">
        <f ca="1" t="shared" si="77"/>
        <v>0.00161662391833456</v>
      </c>
      <c r="AD360" s="230">
        <f ca="1" t="shared" si="78"/>
        <v>5.06340889262515e-6</v>
      </c>
      <c r="AE360" s="230">
        <f ca="1" t="shared" si="79"/>
        <v>7.12454280335953e-7</v>
      </c>
      <c r="AG360" s="12">
        <v>719</v>
      </c>
      <c r="AH360" s="231">
        <f ca="1" t="shared" si="80"/>
        <v>3.33794448637897e-12</v>
      </c>
      <c r="AI360" s="231">
        <f ca="1" t="shared" si="81"/>
        <v>1.78216992154406e-7</v>
      </c>
      <c r="AJ360" s="231">
        <f ca="1" t="shared" si="82"/>
        <v>2.24843382244028e-6</v>
      </c>
      <c r="AK360" s="231">
        <f ca="1" t="shared" si="83"/>
        <v>7.0422933138041e-9</v>
      </c>
      <c r="AL360" s="231">
        <f ca="1" t="shared" si="84"/>
        <v>9.90896078353203e-10</v>
      </c>
      <c r="AN360" s="12">
        <v>719</v>
      </c>
      <c r="AO360" s="231">
        <f ca="1" t="shared" si="85"/>
        <v>1.46869557400675e-9</v>
      </c>
      <c r="AP360" s="231">
        <f ca="1" t="shared" si="86"/>
        <v>9.67774945843541e-5</v>
      </c>
      <c r="AQ360" s="231">
        <f ca="1" t="shared" si="87"/>
        <v>0.00127997995510273</v>
      </c>
      <c r="AR360" s="231">
        <f ca="1" t="shared" si="88"/>
        <v>3.58969724637909e-6</v>
      </c>
      <c r="AS360" s="231">
        <f ca="1" t="shared" si="89"/>
        <v>4.84327435260059e-7</v>
      </c>
    </row>
    <row r="361" ht="15" hidden="1" customHeight="1" spans="3:45">
      <c r="C361" s="221"/>
      <c r="D361" s="221"/>
      <c r="E361" s="221"/>
      <c r="F361" s="221"/>
      <c r="G361" s="221"/>
      <c r="I361" s="12">
        <v>720</v>
      </c>
      <c r="J361" s="230">
        <v>0.001047</v>
      </c>
      <c r="L361" s="12">
        <v>720</v>
      </c>
      <c r="M361" s="230"/>
      <c r="N361" s="230">
        <v>7.49453e-5</v>
      </c>
      <c r="O361" s="230">
        <v>0.001189</v>
      </c>
      <c r="P361" s="231">
        <v>4.78e-6</v>
      </c>
      <c r="Q361" s="230">
        <v>6.68991e-7</v>
      </c>
      <c r="S361" s="12">
        <v>720</v>
      </c>
      <c r="T361" s="230">
        <v>2.27212384783961e-9</v>
      </c>
      <c r="U361" s="230">
        <v>0.000119542683315347</v>
      </c>
      <c r="V361" s="230">
        <v>0.00150494975291868</v>
      </c>
      <c r="W361" s="231">
        <v>4.7442219660836e-6</v>
      </c>
      <c r="X361" s="230">
        <v>6.68990576076792e-7</v>
      </c>
      <c r="Z361" s="12">
        <v>720</v>
      </c>
      <c r="AA361" s="230">
        <f ca="1" t="shared" si="75"/>
        <v>2.27212384783961e-9</v>
      </c>
      <c r="AB361" s="230">
        <f ca="1" t="shared" si="76"/>
        <v>0.000119542683315347</v>
      </c>
      <c r="AC361" s="230">
        <f ca="1" t="shared" si="77"/>
        <v>0.00150494975291868</v>
      </c>
      <c r="AD361" s="230">
        <f ca="1" t="shared" si="78"/>
        <v>4.7442219660836e-6</v>
      </c>
      <c r="AE361" s="230">
        <f ca="1" t="shared" si="79"/>
        <v>6.68990576076792e-7</v>
      </c>
      <c r="AG361" s="12">
        <v>720</v>
      </c>
      <c r="AH361" s="231">
        <f ca="1" t="shared" si="80"/>
        <v>3.1557275664439e-12</v>
      </c>
      <c r="AI361" s="231">
        <f ca="1" t="shared" si="81"/>
        <v>1.66031504604649e-7</v>
      </c>
      <c r="AJ361" s="231">
        <f ca="1" t="shared" si="82"/>
        <v>2.09020799016483e-6</v>
      </c>
      <c r="AK361" s="231">
        <f ca="1" t="shared" si="83"/>
        <v>6.58919717511611e-9</v>
      </c>
      <c r="AL361" s="231">
        <f ca="1" t="shared" si="84"/>
        <v>9.29153577884433e-10</v>
      </c>
      <c r="AN361" s="12">
        <v>720</v>
      </c>
      <c r="AO361" s="231">
        <f ca="1" t="shared" si="85"/>
        <v>1.38852012923532e-9</v>
      </c>
      <c r="AP361" s="231">
        <f ca="1" t="shared" si="86"/>
        <v>9.0160387309125e-5</v>
      </c>
      <c r="AQ361" s="231">
        <f ca="1" t="shared" si="87"/>
        <v>0.0011899057480388</v>
      </c>
      <c r="AR361" s="231">
        <f ca="1" t="shared" si="88"/>
        <v>3.35873868090652e-6</v>
      </c>
      <c r="AS361" s="231">
        <f ca="1" t="shared" si="89"/>
        <v>4.54149107227639e-7</v>
      </c>
    </row>
    <row r="362" ht="15" hidden="1" customHeight="1" spans="3:45">
      <c r="C362" s="221"/>
      <c r="D362" s="221"/>
      <c r="E362" s="221"/>
      <c r="F362" s="221"/>
      <c r="G362" s="221"/>
      <c r="I362" s="12">
        <v>721</v>
      </c>
      <c r="J362" s="230">
        <v>0.0009765896</v>
      </c>
      <c r="L362" s="12">
        <v>721</v>
      </c>
      <c r="M362" s="230"/>
      <c r="N362" s="230">
        <v>6.97652e-5</v>
      </c>
      <c r="O362" s="230">
        <v>0.00110433</v>
      </c>
      <c r="P362" s="231">
        <v>4.49e-6</v>
      </c>
      <c r="Q362" s="230">
        <v>6.28444e-7</v>
      </c>
      <c r="S362" s="12">
        <v>721</v>
      </c>
      <c r="T362" s="230">
        <v>2.15130506639233e-9</v>
      </c>
      <c r="U362" s="230">
        <v>0.000111539065101528</v>
      </c>
      <c r="V362" s="230">
        <v>0.00140108989227046</v>
      </c>
      <c r="W362" s="231">
        <v>4.44575985634309e-6</v>
      </c>
      <c r="X362" s="230">
        <v>6.28260853543893e-7</v>
      </c>
      <c r="Z362" s="12">
        <v>721</v>
      </c>
      <c r="AA362" s="230">
        <f ca="1" t="shared" si="75"/>
        <v>2.15130506639233e-9</v>
      </c>
      <c r="AB362" s="230">
        <f ca="1" t="shared" si="76"/>
        <v>0.000111539065101528</v>
      </c>
      <c r="AC362" s="230">
        <f ca="1" t="shared" si="77"/>
        <v>0.00140108989227046</v>
      </c>
      <c r="AD362" s="230">
        <f ca="1" t="shared" si="78"/>
        <v>4.44575985634309e-6</v>
      </c>
      <c r="AE362" s="230">
        <f ca="1" t="shared" si="79"/>
        <v>6.28260853543893e-7</v>
      </c>
      <c r="AG362" s="12">
        <v>721</v>
      </c>
      <c r="AH362" s="231">
        <f ca="1" t="shared" si="80"/>
        <v>2.98377956503791e-12</v>
      </c>
      <c r="AI362" s="231">
        <f ca="1" t="shared" si="81"/>
        <v>1.54700506382147e-7</v>
      </c>
      <c r="AJ362" s="231">
        <f ca="1" t="shared" si="82"/>
        <v>1.94325921258039e-6</v>
      </c>
      <c r="AK362" s="231">
        <f ca="1" t="shared" si="83"/>
        <v>6.16610243598209e-9</v>
      </c>
      <c r="AL362" s="231">
        <f ca="1" t="shared" si="84"/>
        <v>8.71374276759907e-10</v>
      </c>
      <c r="AN362" s="12">
        <v>721</v>
      </c>
      <c r="AO362" s="231">
        <f ca="1" t="shared" si="85"/>
        <v>1.31286300861668e-9</v>
      </c>
      <c r="AP362" s="231">
        <f ca="1" t="shared" si="86"/>
        <v>8.40072949139655e-5</v>
      </c>
      <c r="AQ362" s="231">
        <f ca="1" t="shared" si="87"/>
        <v>0.00110625130028157</v>
      </c>
      <c r="AR362" s="231">
        <f ca="1" t="shared" si="88"/>
        <v>3.14307285269545e-6</v>
      </c>
      <c r="AS362" s="231">
        <f ca="1" t="shared" si="89"/>
        <v>4.25907900772096e-7</v>
      </c>
    </row>
    <row r="363" ht="15" hidden="1" customHeight="1" spans="3:45">
      <c r="C363" s="221"/>
      <c r="D363" s="221"/>
      <c r="E363" s="221"/>
      <c r="F363" s="221"/>
      <c r="G363" s="221"/>
      <c r="I363" s="12">
        <v>722</v>
      </c>
      <c r="J363" s="230">
        <v>0.0009111088</v>
      </c>
      <c r="L363" s="12">
        <v>722</v>
      </c>
      <c r="M363" s="230"/>
      <c r="N363" s="230">
        <v>6.4947e-5</v>
      </c>
      <c r="O363" s="230">
        <v>0.00102563</v>
      </c>
      <c r="P363" s="231">
        <v>4.21e-6</v>
      </c>
      <c r="Q363" s="230">
        <v>5.90239e-7</v>
      </c>
      <c r="S363" s="12">
        <v>722</v>
      </c>
      <c r="T363" s="230">
        <v>2.03722970485501e-9</v>
      </c>
      <c r="U363" s="230">
        <v>0.000104089997954074</v>
      </c>
      <c r="V363" s="230">
        <v>0.00130455682134101</v>
      </c>
      <c r="W363" s="231">
        <v>4.16682249425975e-6</v>
      </c>
      <c r="X363" s="230">
        <v>5.90114111334721e-7</v>
      </c>
      <c r="Z363" s="12">
        <v>722</v>
      </c>
      <c r="AA363" s="230">
        <f ca="1" t="shared" si="75"/>
        <v>2.03722970485501e-9</v>
      </c>
      <c r="AB363" s="230">
        <f ca="1" t="shared" si="76"/>
        <v>0.000104089997954074</v>
      </c>
      <c r="AC363" s="230">
        <f ca="1" t="shared" si="77"/>
        <v>0.00130455682134101</v>
      </c>
      <c r="AD363" s="230">
        <f ca="1" t="shared" si="78"/>
        <v>4.16682249425975e-6</v>
      </c>
      <c r="AE363" s="230">
        <f ca="1" t="shared" si="79"/>
        <v>5.90114111334721e-7</v>
      </c>
      <c r="AG363" s="12">
        <v>722</v>
      </c>
      <c r="AH363" s="231">
        <f ca="1" t="shared" si="80"/>
        <v>2.82164779065791e-12</v>
      </c>
      <c r="AI363" s="231">
        <f ca="1" t="shared" si="81"/>
        <v>1.4416897223556e-7</v>
      </c>
      <c r="AJ363" s="231">
        <f ca="1" t="shared" si="82"/>
        <v>1.8068654035194e-6</v>
      </c>
      <c r="AK363" s="231">
        <f ca="1" t="shared" si="83"/>
        <v>5.77122229121849e-9</v>
      </c>
      <c r="AL363" s="231">
        <f ca="1" t="shared" si="84"/>
        <v>8.17332564175514e-10</v>
      </c>
      <c r="AN363" s="12">
        <v>722</v>
      </c>
      <c r="AO363" s="231">
        <f ca="1" t="shared" si="85"/>
        <v>1.24152502788948e-9</v>
      </c>
      <c r="AP363" s="231">
        <f ca="1" t="shared" si="86"/>
        <v>7.82883369374261e-5</v>
      </c>
      <c r="AQ363" s="231">
        <f ca="1" t="shared" si="87"/>
        <v>0.00102860554533171</v>
      </c>
      <c r="AR363" s="231">
        <f ca="1" t="shared" si="88"/>
        <v>2.94178896616247e-6</v>
      </c>
      <c r="AS363" s="231">
        <f ca="1" t="shared" si="89"/>
        <v>3.99493542470709e-7</v>
      </c>
    </row>
    <row r="364" ht="15" hidden="1" customHeight="1" spans="3:45">
      <c r="C364" s="221"/>
      <c r="D364" s="221"/>
      <c r="E364" s="221"/>
      <c r="F364" s="221"/>
      <c r="G364" s="221"/>
      <c r="I364" s="12">
        <v>723</v>
      </c>
      <c r="J364" s="230">
        <v>0.0008501332</v>
      </c>
      <c r="L364" s="12">
        <v>723</v>
      </c>
      <c r="M364" s="230"/>
      <c r="N364" s="230">
        <v>6.04718e-5</v>
      </c>
      <c r="O364" s="230">
        <v>0.000952602</v>
      </c>
      <c r="P364" s="232">
        <v>3.951e-6</v>
      </c>
      <c r="Q364" s="230">
        <v>5.54363e-7</v>
      </c>
      <c r="S364" s="12">
        <v>723</v>
      </c>
      <c r="T364" s="230">
        <v>1.92949652167237e-9</v>
      </c>
      <c r="U364" s="230">
        <v>9.71560836214098e-5</v>
      </c>
      <c r="V364" s="230">
        <v>0.00121482298395979</v>
      </c>
      <c r="W364" s="232">
        <v>3.90609678496189e-6</v>
      </c>
      <c r="X364" s="230">
        <v>5.54380569153912e-7</v>
      </c>
      <c r="Z364" s="12">
        <v>723</v>
      </c>
      <c r="AA364" s="230">
        <f ca="1" t="shared" si="75"/>
        <v>1.92949652167237e-9</v>
      </c>
      <c r="AB364" s="230">
        <f ca="1" t="shared" si="76"/>
        <v>9.71560836214098e-5</v>
      </c>
      <c r="AC364" s="230">
        <f ca="1" t="shared" si="77"/>
        <v>0.00121482298395979</v>
      </c>
      <c r="AD364" s="230">
        <f ca="1" t="shared" si="78"/>
        <v>3.90609678496189e-6</v>
      </c>
      <c r="AE364" s="230">
        <f ca="1" t="shared" si="79"/>
        <v>5.54380569153912e-7</v>
      </c>
      <c r="AG364" s="12">
        <v>723</v>
      </c>
      <c r="AH364" s="231">
        <f ca="1" t="shared" si="80"/>
        <v>2.66873654449844e-12</v>
      </c>
      <c r="AI364" s="231">
        <f ca="1" t="shared" si="81"/>
        <v>1.34379092145795e-7</v>
      </c>
      <c r="AJ364" s="231">
        <f ca="1" t="shared" si="82"/>
        <v>1.68025308984757e-6</v>
      </c>
      <c r="AK364" s="231">
        <f ca="1" t="shared" si="83"/>
        <v>5.4026234923401e-9</v>
      </c>
      <c r="AL364" s="231">
        <f ca="1" t="shared" si="84"/>
        <v>7.66778103947319e-10</v>
      </c>
      <c r="AN364" s="12">
        <v>723</v>
      </c>
      <c r="AO364" s="231">
        <f ca="1" t="shared" si="85"/>
        <v>1.17424407957931e-9</v>
      </c>
      <c r="AP364" s="231">
        <f ca="1" t="shared" si="86"/>
        <v>7.2972120700605e-5</v>
      </c>
      <c r="AQ364" s="231">
        <f ca="1" t="shared" si="87"/>
        <v>0.000956528163310634</v>
      </c>
      <c r="AR364" s="231">
        <f ca="1" t="shared" si="88"/>
        <v>2.75390157857542e-6</v>
      </c>
      <c r="AS364" s="231">
        <f ca="1" t="shared" si="89"/>
        <v>3.74783673698224e-7</v>
      </c>
    </row>
    <row r="365" ht="15" hidden="1" customHeight="1" spans="3:45">
      <c r="C365" s="221"/>
      <c r="D365" s="221"/>
      <c r="E365" s="221"/>
      <c r="F365" s="221"/>
      <c r="G365" s="221"/>
      <c r="I365" s="12">
        <v>724</v>
      </c>
      <c r="J365" s="230">
        <v>0.0007932384</v>
      </c>
      <c r="L365" s="12">
        <v>724</v>
      </c>
      <c r="M365" s="230"/>
      <c r="N365" s="230">
        <v>5.63207e-5</v>
      </c>
      <c r="O365" s="230">
        <v>0.000884959</v>
      </c>
      <c r="P365" s="232">
        <v>3.709e-6</v>
      </c>
      <c r="Q365" s="230">
        <v>5.20798e-7</v>
      </c>
      <c r="S365" s="12">
        <v>724</v>
      </c>
      <c r="T365" s="230">
        <v>1.82773824734055e-9</v>
      </c>
      <c r="U365" s="230">
        <v>9.07001488936771e-5</v>
      </c>
      <c r="V365" s="230">
        <v>0.00113140996627431</v>
      </c>
      <c r="W365" s="232">
        <v>3.66234286416756e-6</v>
      </c>
      <c r="X365" s="230">
        <v>5.20901970126174e-7</v>
      </c>
      <c r="Z365" s="12">
        <v>724</v>
      </c>
      <c r="AA365" s="230">
        <f ca="1" t="shared" si="75"/>
        <v>1.82773824734055e-9</v>
      </c>
      <c r="AB365" s="230">
        <f ca="1" t="shared" si="76"/>
        <v>9.07001488936771e-5</v>
      </c>
      <c r="AC365" s="230">
        <f ca="1" t="shared" si="77"/>
        <v>0.00113140996627431</v>
      </c>
      <c r="AD365" s="230">
        <f ca="1" t="shared" si="78"/>
        <v>3.66234286416756e-6</v>
      </c>
      <c r="AE365" s="230">
        <f ca="1" t="shared" si="79"/>
        <v>5.20901970126174e-7</v>
      </c>
      <c r="AG365" s="12">
        <v>724</v>
      </c>
      <c r="AH365" s="231">
        <f ca="1" t="shared" si="80"/>
        <v>2.52450034163059e-12</v>
      </c>
      <c r="AI365" s="231">
        <f ca="1" t="shared" si="81"/>
        <v>1.25276448748173e-7</v>
      </c>
      <c r="AJ365" s="231">
        <f ca="1" t="shared" si="82"/>
        <v>1.56272094789269e-6</v>
      </c>
      <c r="AK365" s="231">
        <f ca="1" t="shared" si="83"/>
        <v>5.05848461901597e-9</v>
      </c>
      <c r="AL365" s="231">
        <f ca="1" t="shared" si="84"/>
        <v>7.19477859290296e-10</v>
      </c>
      <c r="AN365" s="12">
        <v>724</v>
      </c>
      <c r="AO365" s="231">
        <f ca="1" t="shared" si="85"/>
        <v>1.11078015031746e-9</v>
      </c>
      <c r="AP365" s="231">
        <f ca="1" t="shared" si="86"/>
        <v>6.80290958438424e-5</v>
      </c>
      <c r="AQ365" s="231">
        <f ca="1" t="shared" si="87"/>
        <v>0.000889619907314355</v>
      </c>
      <c r="AR365" s="231">
        <f ca="1" t="shared" si="88"/>
        <v>2.5784822498289e-6</v>
      </c>
      <c r="AS365" s="231">
        <f ca="1" t="shared" si="89"/>
        <v>3.51664391381573e-7</v>
      </c>
    </row>
    <row r="366" ht="15" hidden="1" customHeight="1" spans="3:45">
      <c r="C366" s="221"/>
      <c r="D366" s="221"/>
      <c r="E366" s="221"/>
      <c r="F366" s="221"/>
      <c r="G366" s="221"/>
      <c r="I366" s="12">
        <v>725</v>
      </c>
      <c r="J366" s="230">
        <v>0.00074</v>
      </c>
      <c r="L366" s="12">
        <v>725</v>
      </c>
      <c r="M366" s="230"/>
      <c r="N366" s="230">
        <v>5.24748e-5</v>
      </c>
      <c r="O366" s="230">
        <v>0.000822396</v>
      </c>
      <c r="P366" s="232">
        <v>3.482e-6</v>
      </c>
      <c r="Q366" s="230">
        <v>4.89531e-7</v>
      </c>
      <c r="S366" s="12">
        <v>725</v>
      </c>
      <c r="T366" s="230">
        <v>1.73160966034411e-9</v>
      </c>
      <c r="U366" s="230">
        <v>8.46884140576259e-5</v>
      </c>
      <c r="V366" s="230">
        <v>0.0010538601920147</v>
      </c>
      <c r="W366" s="232">
        <v>3.43440889278184e-6</v>
      </c>
      <c r="X366" s="230">
        <v>4.89530775569529e-7</v>
      </c>
      <c r="Z366" s="12">
        <v>725</v>
      </c>
      <c r="AA366" s="230">
        <f ca="1" t="shared" si="75"/>
        <v>1.73160966034411e-9</v>
      </c>
      <c r="AB366" s="230">
        <f ca="1" t="shared" si="76"/>
        <v>8.46884140576259e-5</v>
      </c>
      <c r="AC366" s="230">
        <f ca="1" t="shared" si="77"/>
        <v>0.0010538601920147</v>
      </c>
      <c r="AD366" s="230">
        <f ca="1" t="shared" si="78"/>
        <v>3.43440889278184e-6</v>
      </c>
      <c r="AE366" s="230">
        <f ca="1" t="shared" si="79"/>
        <v>4.89530775569529e-7</v>
      </c>
      <c r="AG366" s="12">
        <v>725</v>
      </c>
      <c r="AH366" s="231">
        <f ca="1" t="shared" si="80"/>
        <v>2.38842711771601e-12</v>
      </c>
      <c r="AI366" s="231">
        <f ca="1" t="shared" si="81"/>
        <v>1.16811605596725e-7</v>
      </c>
      <c r="AJ366" s="231">
        <f ca="1" t="shared" si="82"/>
        <v>1.45360026484786e-6</v>
      </c>
      <c r="AK366" s="231">
        <f ca="1" t="shared" si="83"/>
        <v>4.73711571418185e-9</v>
      </c>
      <c r="AL366" s="231">
        <f ca="1" t="shared" si="84"/>
        <v>6.75214862854523e-10</v>
      </c>
      <c r="AN366" s="12">
        <v>725</v>
      </c>
      <c r="AO366" s="231">
        <f ca="1" t="shared" si="85"/>
        <v>1.05090793179505e-9</v>
      </c>
      <c r="AP366" s="231">
        <f ca="1" t="shared" si="86"/>
        <v>6.3432416804748e-5</v>
      </c>
      <c r="AQ366" s="231">
        <f ca="1" t="shared" si="87"/>
        <v>0.000827500095029681</v>
      </c>
      <c r="AR366" s="231">
        <f ca="1" t="shared" si="88"/>
        <v>2.41466955113121e-6</v>
      </c>
      <c r="AS366" s="231">
        <f ca="1" t="shared" si="89"/>
        <v>3.30029646821588e-7</v>
      </c>
    </row>
    <row r="367" ht="15" hidden="1" customHeight="1" spans="3:45">
      <c r="C367" s="221"/>
      <c r="D367" s="221"/>
      <c r="E367" s="221"/>
      <c r="F367" s="221"/>
      <c r="G367" s="221"/>
      <c r="I367" s="12">
        <v>726</v>
      </c>
      <c r="J367" s="230">
        <v>0.0006900827</v>
      </c>
      <c r="L367" s="12">
        <v>726</v>
      </c>
      <c r="M367" s="230"/>
      <c r="N367" s="230">
        <v>4.89142e-5</v>
      </c>
      <c r="O367" s="230">
        <v>0.000764585</v>
      </c>
      <c r="P367" s="232">
        <v>3.27e-6</v>
      </c>
      <c r="Q367" s="230">
        <v>4.60251e-7</v>
      </c>
      <c r="S367" s="12">
        <v>726</v>
      </c>
      <c r="T367" s="230">
        <v>1.64078622003291e-9</v>
      </c>
      <c r="U367" s="230">
        <v>7.90893488556869e-5</v>
      </c>
      <c r="V367" s="230">
        <v>0.000981754724717943</v>
      </c>
      <c r="W367" s="232">
        <v>3.22123938185518e-6</v>
      </c>
      <c r="X367" s="230">
        <v>4.60128358072466e-7</v>
      </c>
      <c r="Z367" s="12">
        <v>726</v>
      </c>
      <c r="AA367" s="230">
        <f ca="1" t="shared" si="75"/>
        <v>1.64078622003291e-9</v>
      </c>
      <c r="AB367" s="230">
        <f ca="1" t="shared" si="76"/>
        <v>7.90893488556869e-5</v>
      </c>
      <c r="AC367" s="230">
        <f ca="1" t="shared" si="77"/>
        <v>0.000981754724717943</v>
      </c>
      <c r="AD367" s="230">
        <f ca="1" t="shared" si="78"/>
        <v>3.22123938185518e-6</v>
      </c>
      <c r="AE367" s="230">
        <f ca="1" t="shared" si="79"/>
        <v>4.60128358072466e-7</v>
      </c>
      <c r="AG367" s="12">
        <v>726</v>
      </c>
      <c r="AH367" s="231">
        <f ca="1" t="shared" si="80"/>
        <v>2.26003611574781e-12</v>
      </c>
      <c r="AI367" s="231">
        <f ca="1" t="shared" si="81"/>
        <v>1.08938497046401e-7</v>
      </c>
      <c r="AJ367" s="231">
        <f ca="1" t="shared" si="82"/>
        <v>1.35227923514868e-6</v>
      </c>
      <c r="AK367" s="231">
        <f ca="1" t="shared" si="83"/>
        <v>4.43696884553055e-9</v>
      </c>
      <c r="AL367" s="231">
        <f ca="1" t="shared" si="84"/>
        <v>6.33785617179705e-10</v>
      </c>
      <c r="AN367" s="12">
        <v>726</v>
      </c>
      <c r="AO367" s="231">
        <f ca="1" t="shared" si="85"/>
        <v>9.94415890929036e-10</v>
      </c>
      <c r="AP367" s="231">
        <f ca="1" t="shared" si="86"/>
        <v>5.91570684730304e-5</v>
      </c>
      <c r="AQ367" s="231">
        <f ca="1" t="shared" si="87"/>
        <v>0.00076982044008455</v>
      </c>
      <c r="AR367" s="231">
        <f ca="1" t="shared" si="88"/>
        <v>2.26167444855647e-6</v>
      </c>
      <c r="AS367" s="231">
        <f ca="1" t="shared" si="89"/>
        <v>3.09779975094366e-7</v>
      </c>
    </row>
    <row r="368" ht="15" hidden="1" customHeight="1" spans="3:45">
      <c r="C368" s="221"/>
      <c r="D368" s="221"/>
      <c r="E368" s="221"/>
      <c r="F368" s="221"/>
      <c r="G368" s="221"/>
      <c r="I368" s="12">
        <v>727</v>
      </c>
      <c r="J368" s="230">
        <v>0.00064331</v>
      </c>
      <c r="L368" s="12">
        <v>727</v>
      </c>
      <c r="M368" s="230"/>
      <c r="N368" s="230">
        <v>4.56137e-5</v>
      </c>
      <c r="O368" s="230">
        <v>0.00071111</v>
      </c>
      <c r="P368" s="232">
        <v>3.07e-6</v>
      </c>
      <c r="Q368" s="230">
        <v>4.32648e-7</v>
      </c>
      <c r="S368" s="12">
        <v>727</v>
      </c>
      <c r="T368" s="230">
        <v>1.55496278680359e-9</v>
      </c>
      <c r="U368" s="230">
        <v>7.38737252743942e-5</v>
      </c>
      <c r="V368" s="230">
        <v>0.000914709100646535</v>
      </c>
      <c r="W368" s="232">
        <v>3.02183676003905e-6</v>
      </c>
      <c r="X368" s="230">
        <v>4.32566616950553e-7</v>
      </c>
      <c r="Z368" s="12">
        <v>727</v>
      </c>
      <c r="AA368" s="230">
        <f ca="1" t="shared" si="75"/>
        <v>1.55496278680359e-9</v>
      </c>
      <c r="AB368" s="230">
        <f ca="1" t="shared" si="76"/>
        <v>7.38737252743942e-5</v>
      </c>
      <c r="AC368" s="230">
        <f ca="1" t="shared" si="77"/>
        <v>0.000914709100646535</v>
      </c>
      <c r="AD368" s="230">
        <f ca="1" t="shared" si="78"/>
        <v>3.02183676003905e-6</v>
      </c>
      <c r="AE368" s="230">
        <f ca="1" t="shared" si="79"/>
        <v>4.32566616950553e-7</v>
      </c>
      <c r="AG368" s="12">
        <v>727</v>
      </c>
      <c r="AH368" s="231">
        <f ca="1" t="shared" si="80"/>
        <v>2.13887591032131e-12</v>
      </c>
      <c r="AI368" s="231">
        <f ca="1" t="shared" si="81"/>
        <v>1.01614477681423e-7</v>
      </c>
      <c r="AJ368" s="231">
        <f ca="1" t="shared" si="82"/>
        <v>1.25819683720294e-6</v>
      </c>
      <c r="AK368" s="231">
        <f ca="1" t="shared" si="83"/>
        <v>4.15658426415275e-9</v>
      </c>
      <c r="AL368" s="231">
        <f ca="1" t="shared" si="84"/>
        <v>5.95002224141063e-10</v>
      </c>
      <c r="AN368" s="12">
        <v>727</v>
      </c>
      <c r="AO368" s="231">
        <f ca="1" t="shared" si="85"/>
        <v>9.41105400541375e-10</v>
      </c>
      <c r="AP368" s="231">
        <f ca="1" t="shared" si="86"/>
        <v>5.51798930316686e-5</v>
      </c>
      <c r="AQ368" s="231">
        <f ca="1" t="shared" si="87"/>
        <v>0.000716261566215692</v>
      </c>
      <c r="AR368" s="231">
        <f ca="1" t="shared" si="88"/>
        <v>2.11875285826626e-6</v>
      </c>
      <c r="AS368" s="231">
        <f ca="1" t="shared" si="89"/>
        <v>2.90823535875931e-7</v>
      </c>
    </row>
    <row r="369" ht="15" hidden="1" customHeight="1" spans="3:45">
      <c r="C369" s="221"/>
      <c r="D369" s="221"/>
      <c r="E369" s="221"/>
      <c r="F369" s="221"/>
      <c r="G369" s="221"/>
      <c r="I369" s="12">
        <v>728</v>
      </c>
      <c r="J369" s="230">
        <v>0.000599496</v>
      </c>
      <c r="L369" s="12">
        <v>728</v>
      </c>
      <c r="M369" s="230"/>
      <c r="N369" s="230">
        <v>4.2549e-5</v>
      </c>
      <c r="O369" s="230">
        <v>0.00066157</v>
      </c>
      <c r="P369" s="232">
        <v>2.884e-6</v>
      </c>
      <c r="Q369" s="230">
        <v>4.0671e-7</v>
      </c>
      <c r="S369" s="12">
        <v>728</v>
      </c>
      <c r="T369" s="230">
        <v>1.47384903019082e-9</v>
      </c>
      <c r="U369" s="230">
        <v>6.9014445027421e-5</v>
      </c>
      <c r="V369" s="230">
        <v>0.00085235791820076</v>
      </c>
      <c r="W369" s="232">
        <v>2.83528029774383e-6</v>
      </c>
      <c r="X369" s="230">
        <v>4.06725123782388e-7</v>
      </c>
      <c r="Z369" s="12">
        <v>728</v>
      </c>
      <c r="AA369" s="230">
        <f ca="1" t="shared" si="75"/>
        <v>1.47384903019082e-9</v>
      </c>
      <c r="AB369" s="230">
        <f ca="1" t="shared" si="76"/>
        <v>6.9014445027421e-5</v>
      </c>
      <c r="AC369" s="230">
        <f ca="1" t="shared" si="77"/>
        <v>0.00085235791820076</v>
      </c>
      <c r="AD369" s="230">
        <f ca="1" t="shared" si="78"/>
        <v>2.83528029774383e-6</v>
      </c>
      <c r="AE369" s="230">
        <f ca="1" t="shared" si="79"/>
        <v>4.06725123782388e-7</v>
      </c>
      <c r="AG369" s="12">
        <v>728</v>
      </c>
      <c r="AH369" s="231">
        <f ca="1" t="shared" si="80"/>
        <v>2.02451789861376e-12</v>
      </c>
      <c r="AI369" s="231">
        <f ca="1" t="shared" si="81"/>
        <v>9.4800061850853e-8</v>
      </c>
      <c r="AJ369" s="231">
        <f ca="1" t="shared" si="82"/>
        <v>1.17082131620984e-6</v>
      </c>
      <c r="AK369" s="231">
        <f ca="1" t="shared" si="83"/>
        <v>3.89461579360416e-9</v>
      </c>
      <c r="AL369" s="231">
        <f ca="1" t="shared" si="84"/>
        <v>5.5868835684394e-10</v>
      </c>
      <c r="AN369" s="12">
        <v>728</v>
      </c>
      <c r="AO369" s="231">
        <f ca="1" t="shared" si="85"/>
        <v>8.90787875390056e-10</v>
      </c>
      <c r="AP369" s="231">
        <f ca="1" t="shared" si="86"/>
        <v>5.1479448516439e-5</v>
      </c>
      <c r="AQ369" s="231">
        <f ca="1" t="shared" si="87"/>
        <v>0.000666520758048856</v>
      </c>
      <c r="AR369" s="231">
        <f ca="1" t="shared" si="88"/>
        <v>1.98521858818366e-6</v>
      </c>
      <c r="AS369" s="231">
        <f ca="1" t="shared" si="89"/>
        <v>2.73074144596051e-7</v>
      </c>
    </row>
    <row r="370" ht="15" hidden="1" customHeight="1" spans="3:45">
      <c r="C370" s="221"/>
      <c r="D370" s="221"/>
      <c r="E370" s="221"/>
      <c r="F370" s="221"/>
      <c r="G370" s="221"/>
      <c r="I370" s="12">
        <v>729</v>
      </c>
      <c r="J370" s="230">
        <v>0.0005584547</v>
      </c>
      <c r="L370" s="12">
        <v>729</v>
      </c>
      <c r="M370" s="230"/>
      <c r="N370" s="230">
        <v>3.96989e-5</v>
      </c>
      <c r="O370" s="230">
        <v>0.000615612</v>
      </c>
      <c r="P370" s="232">
        <v>2.71e-6</v>
      </c>
      <c r="Q370" s="230">
        <v>3.8242e-7</v>
      </c>
      <c r="S370" s="12">
        <v>729</v>
      </c>
      <c r="T370" s="230">
        <v>1.3971724066998e-9</v>
      </c>
      <c r="U370" s="230">
        <v>6.44862317944524e-5</v>
      </c>
      <c r="V370" s="230">
        <v>0.000794368473927217</v>
      </c>
      <c r="W370" s="232">
        <v>2.66070668022471e-6</v>
      </c>
      <c r="X370" s="230">
        <v>3.82493447808959e-7</v>
      </c>
      <c r="Z370" s="12">
        <v>729</v>
      </c>
      <c r="AA370" s="230">
        <f ca="1" t="shared" si="75"/>
        <v>1.3971724066998e-9</v>
      </c>
      <c r="AB370" s="230">
        <f ca="1" t="shared" si="76"/>
        <v>6.44862317944524e-5</v>
      </c>
      <c r="AC370" s="230">
        <f ca="1" t="shared" si="77"/>
        <v>0.000794368473927217</v>
      </c>
      <c r="AD370" s="230">
        <f ca="1" t="shared" si="78"/>
        <v>2.66070668022471e-6</v>
      </c>
      <c r="AE370" s="230">
        <f ca="1" t="shared" si="79"/>
        <v>3.82493447808959e-7</v>
      </c>
      <c r="AG370" s="12">
        <v>729</v>
      </c>
      <c r="AH370" s="231">
        <f ca="1" t="shared" si="80"/>
        <v>1.91656022866914e-12</v>
      </c>
      <c r="AI370" s="231">
        <f ca="1" t="shared" si="81"/>
        <v>8.84584798277811e-8</v>
      </c>
      <c r="AJ370" s="231">
        <f ca="1" t="shared" si="82"/>
        <v>1.0896686885147e-6</v>
      </c>
      <c r="AK370" s="231">
        <f ca="1" t="shared" si="83"/>
        <v>3.64980340222868e-9</v>
      </c>
      <c r="AL370" s="231">
        <f ca="1" t="shared" si="84"/>
        <v>5.24682370108311e-10</v>
      </c>
      <c r="AN370" s="12">
        <v>729</v>
      </c>
      <c r="AO370" s="231">
        <f ca="1" t="shared" si="85"/>
        <v>8.4328650061442e-10</v>
      </c>
      <c r="AP370" s="231">
        <f ca="1" t="shared" si="86"/>
        <v>4.80357677962395e-5</v>
      </c>
      <c r="AQ370" s="231">
        <f ca="1" t="shared" si="87"/>
        <v>0.000620322495188289</v>
      </c>
      <c r="AR370" s="231">
        <f ca="1" t="shared" si="88"/>
        <v>1.86042935717031e-6</v>
      </c>
      <c r="AS370" s="231">
        <f ca="1" t="shared" si="89"/>
        <v>2.56452792772228e-7</v>
      </c>
    </row>
    <row r="371" ht="15" hidden="1" customHeight="1" spans="3:45">
      <c r="C371" s="221"/>
      <c r="D371" s="221"/>
      <c r="E371" s="221"/>
      <c r="F371" s="221"/>
      <c r="G371" s="221"/>
      <c r="I371" s="12">
        <v>730</v>
      </c>
      <c r="J371" s="230">
        <v>0.00052</v>
      </c>
      <c r="L371" s="12">
        <v>730</v>
      </c>
      <c r="M371" s="230"/>
      <c r="N371" s="230">
        <v>3.70443e-5</v>
      </c>
      <c r="O371" s="230">
        <v>0.000572917</v>
      </c>
      <c r="P371" s="232">
        <v>2.546e-6</v>
      </c>
      <c r="Q371" s="230">
        <v>3.59766e-7</v>
      </c>
      <c r="S371" s="12">
        <v>730</v>
      </c>
      <c r="T371" s="230">
        <v>1.32468311305406e-9</v>
      </c>
      <c r="U371" s="230">
        <v>6.0265949037538e-5</v>
      </c>
      <c r="V371" s="230">
        <v>0.000740428283598452</v>
      </c>
      <c r="W371" s="232">
        <v>2.49731887715906e-6</v>
      </c>
      <c r="X371" s="230">
        <v>3.59765902606345e-7</v>
      </c>
      <c r="Z371" s="12">
        <v>730</v>
      </c>
      <c r="AA371" s="230">
        <f ca="1" t="shared" si="75"/>
        <v>1.32468311305406e-9</v>
      </c>
      <c r="AB371" s="230">
        <f ca="1" t="shared" si="76"/>
        <v>6.0265949037538e-5</v>
      </c>
      <c r="AC371" s="230">
        <f ca="1" t="shared" si="77"/>
        <v>0.000740428283598452</v>
      </c>
      <c r="AD371" s="230">
        <f ca="1" t="shared" si="78"/>
        <v>2.49731887715906e-6</v>
      </c>
      <c r="AE371" s="230">
        <f ca="1" t="shared" si="79"/>
        <v>3.59765902606345e-7</v>
      </c>
      <c r="AG371" s="12">
        <v>730</v>
      </c>
      <c r="AH371" s="231">
        <f ca="1" t="shared" si="80"/>
        <v>1.81463440144392e-12</v>
      </c>
      <c r="AI371" s="231">
        <f ca="1" t="shared" si="81"/>
        <v>8.25560945719699e-8</v>
      </c>
      <c r="AJ371" s="231">
        <f ca="1" t="shared" si="82"/>
        <v>1.01428531999788e-6</v>
      </c>
      <c r="AK371" s="231">
        <f ca="1" t="shared" si="83"/>
        <v>3.42098476323159e-9</v>
      </c>
      <c r="AL371" s="231">
        <f ca="1" t="shared" si="84"/>
        <v>4.92830003570336e-10</v>
      </c>
      <c r="AN371" s="12">
        <v>730</v>
      </c>
      <c r="AO371" s="231">
        <f ca="1" t="shared" si="85"/>
        <v>7.98439136635324e-10</v>
      </c>
      <c r="AP371" s="231">
        <f ca="1" t="shared" si="86"/>
        <v>4.48305848884607e-5</v>
      </c>
      <c r="AQ371" s="231">
        <f ca="1" t="shared" si="87"/>
        <v>0.000577408534507457</v>
      </c>
      <c r="AR371" s="231">
        <f ca="1" t="shared" si="88"/>
        <v>1.74379268759024e-6</v>
      </c>
      <c r="AS371" s="231">
        <f ca="1" t="shared" si="89"/>
        <v>2.40884081451925e-7</v>
      </c>
    </row>
    <row r="372" ht="15" hidden="1" customHeight="1" spans="3:45">
      <c r="C372" s="221"/>
      <c r="D372" s="221"/>
      <c r="E372" s="221"/>
      <c r="F372" s="221"/>
      <c r="G372" s="221"/>
      <c r="I372" s="12">
        <v>731</v>
      </c>
      <c r="J372" s="230">
        <v>0.0004839136</v>
      </c>
      <c r="L372" s="12">
        <v>731</v>
      </c>
      <c r="M372" s="230"/>
      <c r="N372" s="230">
        <v>3.45688e-5</v>
      </c>
      <c r="O372" s="230">
        <v>0.000533206</v>
      </c>
      <c r="P372" s="232">
        <v>2.393e-6</v>
      </c>
      <c r="Q372" s="230">
        <v>3.38528e-7</v>
      </c>
      <c r="S372" s="12">
        <v>731</v>
      </c>
      <c r="T372" s="230">
        <v>1.25611383785544e-9</v>
      </c>
      <c r="U372" s="230">
        <v>5.63305510870927e-5</v>
      </c>
      <c r="V372" s="230">
        <v>0.000690235035849061</v>
      </c>
      <c r="W372" s="232">
        <v>2.34432597748727e-6</v>
      </c>
      <c r="X372" s="230">
        <v>3.38439465114742e-7</v>
      </c>
      <c r="Z372" s="12">
        <v>731</v>
      </c>
      <c r="AA372" s="230">
        <f ca="1" t="shared" si="75"/>
        <v>1.25611383785544e-9</v>
      </c>
      <c r="AB372" s="230">
        <f ca="1" t="shared" si="76"/>
        <v>5.63305510870927e-5</v>
      </c>
      <c r="AC372" s="230">
        <f ca="1" t="shared" si="77"/>
        <v>0.000690235035849061</v>
      </c>
      <c r="AD372" s="230">
        <f ca="1" t="shared" si="78"/>
        <v>2.34432597748727e-6</v>
      </c>
      <c r="AE372" s="230">
        <f ca="1" t="shared" si="79"/>
        <v>3.38439465114742e-7</v>
      </c>
      <c r="AG372" s="12">
        <v>731</v>
      </c>
      <c r="AH372" s="231">
        <f ca="1" t="shared" si="80"/>
        <v>1.71834998338637e-12</v>
      </c>
      <c r="AI372" s="231">
        <f ca="1" t="shared" si="81"/>
        <v>7.70595774105235e-8</v>
      </c>
      <c r="AJ372" s="231">
        <f ca="1" t="shared" si="82"/>
        <v>9.44233975169714e-7</v>
      </c>
      <c r="AK372" s="231">
        <f ca="1" t="shared" si="83"/>
        <v>3.20701228110434e-9</v>
      </c>
      <c r="AL372" s="231">
        <f ca="1" t="shared" si="84"/>
        <v>4.62981484425092e-10</v>
      </c>
      <c r="AN372" s="12">
        <v>731</v>
      </c>
      <c r="AO372" s="231">
        <f ca="1" t="shared" si="85"/>
        <v>7.56073992690005e-10</v>
      </c>
      <c r="AP372" s="231">
        <f ca="1" t="shared" si="86"/>
        <v>4.18458012637668e-5</v>
      </c>
      <c r="AQ372" s="231">
        <f ca="1" t="shared" si="87"/>
        <v>0.000537529968230276</v>
      </c>
      <c r="AR372" s="231">
        <f ca="1" t="shared" si="88"/>
        <v>1.63472361084681e-6</v>
      </c>
      <c r="AS372" s="231">
        <f ca="1" t="shared" si="89"/>
        <v>2.262948050992e-7</v>
      </c>
    </row>
    <row r="373" ht="15" hidden="1" customHeight="1" spans="3:45">
      <c r="C373" s="221"/>
      <c r="D373" s="221"/>
      <c r="E373" s="221"/>
      <c r="F373" s="221"/>
      <c r="G373" s="221"/>
      <c r="I373" s="12">
        <v>732</v>
      </c>
      <c r="J373" s="230">
        <v>0.0004500528</v>
      </c>
      <c r="L373" s="12">
        <v>732</v>
      </c>
      <c r="M373" s="230"/>
      <c r="N373" s="230">
        <v>3.22588e-5</v>
      </c>
      <c r="O373" s="230">
        <v>0.000496234</v>
      </c>
      <c r="P373" s="232">
        <v>2.25e-6</v>
      </c>
      <c r="Q373" s="230">
        <v>3.1849e-7</v>
      </c>
      <c r="S373" s="12">
        <v>732</v>
      </c>
      <c r="T373" s="230">
        <v>1.19126943770407e-9</v>
      </c>
      <c r="U373" s="230">
        <v>5.26615939375569e-5</v>
      </c>
      <c r="V373" s="230">
        <v>0.000643537708875656</v>
      </c>
      <c r="W373" s="232">
        <v>2.20108594184432e-6</v>
      </c>
      <c r="X373" s="230">
        <v>3.1843075019116e-7</v>
      </c>
      <c r="Z373" s="12">
        <v>732</v>
      </c>
      <c r="AA373" s="230">
        <f ca="1" t="shared" si="75"/>
        <v>1.19126943770407e-9</v>
      </c>
      <c r="AB373" s="230">
        <f ca="1" t="shared" si="76"/>
        <v>5.26615939375569e-5</v>
      </c>
      <c r="AC373" s="230">
        <f ca="1" t="shared" si="77"/>
        <v>0.000643537708875656</v>
      </c>
      <c r="AD373" s="230">
        <f ca="1" t="shared" si="78"/>
        <v>2.20108594184432e-6</v>
      </c>
      <c r="AE373" s="230">
        <f ca="1" t="shared" si="79"/>
        <v>3.1843075019116e-7</v>
      </c>
      <c r="AG373" s="12">
        <v>732</v>
      </c>
      <c r="AH373" s="231">
        <f ca="1" t="shared" si="80"/>
        <v>1.62741726462305e-12</v>
      </c>
      <c r="AI373" s="231">
        <f ca="1" t="shared" si="81"/>
        <v>7.19420682207062e-8</v>
      </c>
      <c r="AJ373" s="231">
        <f ca="1" t="shared" si="82"/>
        <v>8.79149875513191e-7</v>
      </c>
      <c r="AK373" s="231">
        <f ca="1" t="shared" si="83"/>
        <v>3.00694800798404e-9</v>
      </c>
      <c r="AL373" s="231">
        <f ca="1" t="shared" si="84"/>
        <v>4.35014686053497e-10</v>
      </c>
      <c r="AN373" s="12">
        <v>732</v>
      </c>
      <c r="AO373" s="231">
        <f ca="1" t="shared" si="85"/>
        <v>7.16063596434141e-10</v>
      </c>
      <c r="AP373" s="231">
        <f ca="1" t="shared" si="86"/>
        <v>3.90668310212781e-5</v>
      </c>
      <c r="AQ373" s="231">
        <f ca="1" t="shared" si="87"/>
        <v>0.000500479136613696</v>
      </c>
      <c r="AR373" s="231">
        <f ca="1" t="shared" si="88"/>
        <v>1.53274402290334e-6</v>
      </c>
      <c r="AS373" s="231">
        <f ca="1" t="shared" si="89"/>
        <v>2.12625271004101e-7</v>
      </c>
    </row>
    <row r="374" ht="15" hidden="1" customHeight="1" spans="3:45">
      <c r="C374" s="221"/>
      <c r="D374" s="221"/>
      <c r="E374" s="221"/>
      <c r="F374" s="221"/>
      <c r="G374" s="221"/>
      <c r="I374" s="12">
        <v>733</v>
      </c>
      <c r="J374" s="230">
        <v>0.0004183452</v>
      </c>
      <c r="L374" s="12">
        <v>733</v>
      </c>
      <c r="M374" s="230"/>
      <c r="N374" s="230">
        <v>3.01026e-5</v>
      </c>
      <c r="O374" s="230">
        <v>0.000461782</v>
      </c>
      <c r="P374" s="232">
        <v>2.115e-6</v>
      </c>
      <c r="Q374" s="230">
        <v>2.99644e-7</v>
      </c>
      <c r="S374" s="12">
        <v>733</v>
      </c>
      <c r="T374" s="230">
        <v>1.12993640177315e-9</v>
      </c>
      <c r="U374" s="230">
        <v>4.92402217409936e-5</v>
      </c>
      <c r="V374" s="230">
        <v>0.000600088079814195</v>
      </c>
      <c r="W374" s="232">
        <v>2.06695489702101e-6</v>
      </c>
      <c r="X374" s="230">
        <v>2.99655325210442e-7</v>
      </c>
      <c r="Z374" s="12">
        <v>733</v>
      </c>
      <c r="AA374" s="230">
        <f ca="1" t="shared" si="75"/>
        <v>1.12993640177315e-9</v>
      </c>
      <c r="AB374" s="230">
        <f ca="1" t="shared" si="76"/>
        <v>4.92402217409936e-5</v>
      </c>
      <c r="AC374" s="230">
        <f ca="1" t="shared" si="77"/>
        <v>0.000600088079814195</v>
      </c>
      <c r="AD374" s="230">
        <f ca="1" t="shared" si="78"/>
        <v>2.06695489702101e-6</v>
      </c>
      <c r="AE374" s="230">
        <f ca="1" t="shared" si="79"/>
        <v>2.99655325210442e-7</v>
      </c>
      <c r="AG374" s="12">
        <v>733</v>
      </c>
      <c r="AH374" s="231">
        <f ca="1" t="shared" si="80"/>
        <v>1.54152305835355e-12</v>
      </c>
      <c r="AI374" s="231">
        <f ca="1" t="shared" si="81"/>
        <v>6.71762915975356e-8</v>
      </c>
      <c r="AJ374" s="231">
        <f ca="1" t="shared" si="82"/>
        <v>8.18674051588261e-7</v>
      </c>
      <c r="AK374" s="231">
        <f ca="1" t="shared" si="83"/>
        <v>2.81985661257982e-9</v>
      </c>
      <c r="AL374" s="231">
        <f ca="1" t="shared" si="84"/>
        <v>4.08806719250262e-10</v>
      </c>
      <c r="AN374" s="12">
        <v>733</v>
      </c>
      <c r="AO374" s="231">
        <f ca="1" t="shared" si="85"/>
        <v>6.78270145675561e-10</v>
      </c>
      <c r="AP374" s="231">
        <f ca="1" t="shared" si="86"/>
        <v>3.64788627486482e-5</v>
      </c>
      <c r="AQ374" s="231">
        <f ca="1" t="shared" si="87"/>
        <v>0.000466051686884168</v>
      </c>
      <c r="AR374" s="231">
        <f ca="1" t="shared" si="88"/>
        <v>1.43737715347924e-6</v>
      </c>
      <c r="AS374" s="231">
        <f ca="1" t="shared" si="89"/>
        <v>1.99815413721905e-7</v>
      </c>
    </row>
    <row r="375" ht="15" hidden="1" customHeight="1" spans="3:45">
      <c r="C375" s="221"/>
      <c r="D375" s="221"/>
      <c r="E375" s="221"/>
      <c r="F375" s="221"/>
      <c r="G375" s="221"/>
      <c r="I375" s="12">
        <v>734</v>
      </c>
      <c r="J375" s="230">
        <v>0.0003887184</v>
      </c>
      <c r="L375" s="12">
        <v>734</v>
      </c>
      <c r="M375" s="230"/>
      <c r="N375" s="230">
        <v>2.80893e-5</v>
      </c>
      <c r="O375" s="230">
        <v>0.000429654</v>
      </c>
      <c r="P375" s="232">
        <v>1.989e-6</v>
      </c>
      <c r="Q375" s="230">
        <v>2.81981e-7</v>
      </c>
      <c r="S375" s="12">
        <v>734</v>
      </c>
      <c r="T375" s="230">
        <v>1.07192154481123e-9</v>
      </c>
      <c r="U375" s="230">
        <v>4.60494025515722e-5</v>
      </c>
      <c r="V375" s="230">
        <v>0.000559654499830704</v>
      </c>
      <c r="W375" s="232">
        <v>1.94133283453751e-6</v>
      </c>
      <c r="X375" s="230">
        <v>2.82033696785991e-7</v>
      </c>
      <c r="Z375" s="12">
        <v>734</v>
      </c>
      <c r="AA375" s="230">
        <f ca="1" t="shared" si="75"/>
        <v>1.07192154481123e-9</v>
      </c>
      <c r="AB375" s="230">
        <f ca="1" t="shared" si="76"/>
        <v>4.60494025515722e-5</v>
      </c>
      <c r="AC375" s="230">
        <f ca="1" t="shared" si="77"/>
        <v>0.000559654499830704</v>
      </c>
      <c r="AD375" s="230">
        <f ca="1" t="shared" si="78"/>
        <v>1.94133283453751e-6</v>
      </c>
      <c r="AE375" s="230">
        <f ca="1" t="shared" si="79"/>
        <v>2.82033696785991e-7</v>
      </c>
      <c r="AG375" s="12">
        <v>734</v>
      </c>
      <c r="AH375" s="231">
        <f ca="1" t="shared" si="80"/>
        <v>1.4603835760371e-12</v>
      </c>
      <c r="AI375" s="231">
        <f ca="1" t="shared" si="81"/>
        <v>6.27376056560929e-8</v>
      </c>
      <c r="AJ375" s="231">
        <f ca="1" t="shared" si="82"/>
        <v>7.62472070614038e-7</v>
      </c>
      <c r="AK375" s="231">
        <f ca="1" t="shared" si="83"/>
        <v>2.64486762198571e-9</v>
      </c>
      <c r="AL375" s="231">
        <f ca="1" t="shared" si="84"/>
        <v>3.84242093713884e-10</v>
      </c>
      <c r="AN375" s="12">
        <v>734</v>
      </c>
      <c r="AO375" s="231">
        <f ca="1" t="shared" si="85"/>
        <v>6.42568773456323e-10</v>
      </c>
      <c r="AP375" s="231">
        <f ca="1" t="shared" si="86"/>
        <v>3.4068515118679e-5</v>
      </c>
      <c r="AQ375" s="231">
        <f ca="1" t="shared" si="87"/>
        <v>0.000434057234405245</v>
      </c>
      <c r="AR375" s="231">
        <f ca="1" t="shared" si="88"/>
        <v>1.34817929282623e-6</v>
      </c>
      <c r="AS375" s="231">
        <f ca="1" t="shared" si="89"/>
        <v>1.87808784223552e-7</v>
      </c>
    </row>
    <row r="376" ht="15" hidden="1" customHeight="1" spans="3:45">
      <c r="C376" s="221"/>
      <c r="D376" s="221"/>
      <c r="E376" s="221"/>
      <c r="F376" s="221"/>
      <c r="G376" s="221"/>
      <c r="I376" s="12">
        <v>735</v>
      </c>
      <c r="J376" s="230">
        <v>0.0003611</v>
      </c>
      <c r="L376" s="12">
        <v>735</v>
      </c>
      <c r="M376" s="230"/>
      <c r="N376" s="230">
        <v>2.62088e-5</v>
      </c>
      <c r="O376" s="230">
        <v>0.00039967</v>
      </c>
      <c r="P376" s="232">
        <v>1.87e-6</v>
      </c>
      <c r="Q376" s="230">
        <v>2.65493e-7</v>
      </c>
      <c r="S376" s="12">
        <v>735</v>
      </c>
      <c r="T376" s="230">
        <v>1.01703055317863e-9</v>
      </c>
      <c r="U376" s="230">
        <v>4.30728888123373e-5</v>
      </c>
      <c r="V376" s="230">
        <v>0.000522024636935891</v>
      </c>
      <c r="W376" s="232">
        <v>1.82366053567862e-6</v>
      </c>
      <c r="X376" s="230">
        <v>2.65493565507745e-7</v>
      </c>
      <c r="Z376" s="12">
        <v>735</v>
      </c>
      <c r="AA376" s="230">
        <f ca="1" t="shared" si="75"/>
        <v>1.01703055317863e-9</v>
      </c>
      <c r="AB376" s="230">
        <f ca="1" t="shared" si="76"/>
        <v>4.30728888123373e-5</v>
      </c>
      <c r="AC376" s="230">
        <f ca="1" t="shared" si="77"/>
        <v>0.000522024636935891</v>
      </c>
      <c r="AD376" s="230">
        <f ca="1" t="shared" si="78"/>
        <v>1.82366053567862e-6</v>
      </c>
      <c r="AE376" s="230">
        <f ca="1" t="shared" si="79"/>
        <v>2.65493565507745e-7</v>
      </c>
      <c r="AG376" s="12">
        <v>735</v>
      </c>
      <c r="AH376" s="231">
        <f ca="1" t="shared" si="80"/>
        <v>1.38371503833827e-12</v>
      </c>
      <c r="AI376" s="231">
        <f ca="1" t="shared" si="81"/>
        <v>5.86025698127038e-8</v>
      </c>
      <c r="AJ376" s="231">
        <f ca="1" t="shared" si="82"/>
        <v>7.10237601273321e-7</v>
      </c>
      <c r="AK376" s="231">
        <f ca="1" t="shared" si="83"/>
        <v>2.48117079684166e-9</v>
      </c>
      <c r="AL376" s="231">
        <f ca="1" t="shared" si="84"/>
        <v>3.61215735384687e-10</v>
      </c>
      <c r="AN376" s="12">
        <v>735</v>
      </c>
      <c r="AO376" s="231">
        <f ca="1" t="shared" si="85"/>
        <v>6.0883461686884e-10</v>
      </c>
      <c r="AP376" s="231">
        <f ca="1" t="shared" si="86"/>
        <v>3.18230591489531e-5</v>
      </c>
      <c r="AQ376" s="231">
        <f ca="1" t="shared" si="87"/>
        <v>0.000404321392036096</v>
      </c>
      <c r="AR376" s="231">
        <f ca="1" t="shared" si="88"/>
        <v>1.26473743429007e-6</v>
      </c>
      <c r="AS376" s="231">
        <f ca="1" t="shared" si="89"/>
        <v>1.76554024701753e-7</v>
      </c>
    </row>
    <row r="377" ht="15" hidden="1" customHeight="1" spans="3:45">
      <c r="C377" s="221"/>
      <c r="D377" s="221"/>
      <c r="E377" s="221"/>
      <c r="F377" s="221"/>
      <c r="G377" s="221"/>
      <c r="I377" s="12">
        <v>736</v>
      </c>
      <c r="J377" s="230">
        <v>0.0003353835</v>
      </c>
      <c r="L377" s="12">
        <v>736</v>
      </c>
      <c r="M377" s="230"/>
      <c r="N377" s="230">
        <v>2.44529e-5</v>
      </c>
      <c r="O377" s="230">
        <v>0.00037169</v>
      </c>
      <c r="P377" s="232">
        <v>1.759e-6</v>
      </c>
      <c r="Q377" s="230">
        <v>2.50026e-7</v>
      </c>
      <c r="S377" s="12">
        <v>736</v>
      </c>
      <c r="T377" s="230">
        <v>9.65092631971262e-10</v>
      </c>
      <c r="U377" s="230">
        <v>4.02959129817428e-5</v>
      </c>
      <c r="V377" s="230">
        <v>0.000486997800779402</v>
      </c>
      <c r="W377" s="232">
        <v>1.7134167178197e-6</v>
      </c>
      <c r="X377" s="230">
        <v>2.49964307487186e-7</v>
      </c>
      <c r="Z377" s="12">
        <v>736</v>
      </c>
      <c r="AA377" s="230">
        <f ca="1" t="shared" si="75"/>
        <v>9.65092631971262e-10</v>
      </c>
      <c r="AB377" s="230">
        <f ca="1" t="shared" si="76"/>
        <v>4.02959129817428e-5</v>
      </c>
      <c r="AC377" s="230">
        <f ca="1" t="shared" si="77"/>
        <v>0.000486997800779402</v>
      </c>
      <c r="AD377" s="230">
        <f ca="1" t="shared" si="78"/>
        <v>1.7134167178197e-6</v>
      </c>
      <c r="AE377" s="230">
        <f ca="1" t="shared" si="79"/>
        <v>2.49964307487186e-7</v>
      </c>
      <c r="AG377" s="12">
        <v>736</v>
      </c>
      <c r="AH377" s="231">
        <f ca="1" t="shared" si="80"/>
        <v>1.31126716300443e-12</v>
      </c>
      <c r="AI377" s="231">
        <f ca="1" t="shared" si="81"/>
        <v>5.47498817686723e-8</v>
      </c>
      <c r="AJ377" s="231">
        <f ca="1" t="shared" si="82"/>
        <v>6.61681794537231e-7</v>
      </c>
      <c r="AK377" s="231">
        <f ca="1" t="shared" si="83"/>
        <v>2.32801184486372e-9</v>
      </c>
      <c r="AL377" s="231">
        <f ca="1" t="shared" si="84"/>
        <v>3.39625417781503e-10</v>
      </c>
      <c r="AN377" s="12">
        <v>736</v>
      </c>
      <c r="AO377" s="231">
        <f ca="1" t="shared" si="85"/>
        <v>5.7695755172195e-10</v>
      </c>
      <c r="AP377" s="231">
        <f ca="1" t="shared" si="86"/>
        <v>2.97309270138005e-5</v>
      </c>
      <c r="AQ377" s="231">
        <f ca="1" t="shared" si="87"/>
        <v>0.000376679724887279</v>
      </c>
      <c r="AR377" s="231">
        <f ca="1" t="shared" si="88"/>
        <v>1.18666708935062e-6</v>
      </c>
      <c r="AS377" s="231">
        <f ca="1" t="shared" si="89"/>
        <v>1.66001169180739e-7</v>
      </c>
    </row>
    <row r="378" ht="15" hidden="1" customHeight="1" spans="3:45">
      <c r="C378" s="221"/>
      <c r="D378" s="221"/>
      <c r="E378" s="221"/>
      <c r="F378" s="221"/>
      <c r="G378" s="221"/>
      <c r="I378" s="12">
        <v>737</v>
      </c>
      <c r="J378" s="230">
        <v>0.0003114404</v>
      </c>
      <c r="L378" s="12">
        <v>737</v>
      </c>
      <c r="M378" s="230"/>
      <c r="N378" s="230">
        <v>2.28177e-5</v>
      </c>
      <c r="O378" s="230">
        <v>0.00034565</v>
      </c>
      <c r="P378" s="232">
        <v>1.655e-6</v>
      </c>
      <c r="Q378" s="230">
        <v>2.35424e-7</v>
      </c>
      <c r="S378" s="12">
        <v>737</v>
      </c>
      <c r="T378" s="230">
        <v>9.15939946221161e-10</v>
      </c>
      <c r="U378" s="230">
        <v>3.77045706718467e-5</v>
      </c>
      <c r="V378" s="230">
        <v>0.000454390245810309</v>
      </c>
      <c r="W378" s="232">
        <v>1.61011167830313e-6</v>
      </c>
      <c r="X378" s="230">
        <v>2.35382949208993e-7</v>
      </c>
      <c r="Z378" s="12">
        <v>737</v>
      </c>
      <c r="AA378" s="230">
        <f ca="1" t="shared" si="75"/>
        <v>9.15939946221161e-10</v>
      </c>
      <c r="AB378" s="230">
        <f ca="1" t="shared" si="76"/>
        <v>3.77045706718467e-5</v>
      </c>
      <c r="AC378" s="230">
        <f ca="1" t="shared" si="77"/>
        <v>0.000454390245810309</v>
      </c>
      <c r="AD378" s="230">
        <f ca="1" t="shared" si="78"/>
        <v>1.61011167830313e-6</v>
      </c>
      <c r="AE378" s="230">
        <f ca="1" t="shared" si="79"/>
        <v>2.35382949208993e-7</v>
      </c>
      <c r="AG378" s="12">
        <v>737</v>
      </c>
      <c r="AH378" s="231">
        <f ca="1" t="shared" si="80"/>
        <v>1.2427950423625e-12</v>
      </c>
      <c r="AI378" s="231">
        <f ca="1" t="shared" si="81"/>
        <v>5.11595260133605e-8</v>
      </c>
      <c r="AJ378" s="231">
        <f ca="1" t="shared" si="82"/>
        <v>6.16540360665277e-7</v>
      </c>
      <c r="AK378" s="231">
        <f ca="1" t="shared" si="83"/>
        <v>2.1846834169649e-9</v>
      </c>
      <c r="AL378" s="231">
        <f ca="1" t="shared" si="84"/>
        <v>3.19379849672989e-10</v>
      </c>
      <c r="AN378" s="12">
        <v>737</v>
      </c>
      <c r="AO378" s="231">
        <f ca="1" t="shared" si="85"/>
        <v>5.46829818639499e-10</v>
      </c>
      <c r="AP378" s="231">
        <f ca="1" t="shared" si="86"/>
        <v>2.77812496543906e-5</v>
      </c>
      <c r="AQ378" s="231">
        <f ca="1" t="shared" si="87"/>
        <v>0.000350981779088729</v>
      </c>
      <c r="AR378" s="231">
        <f ca="1" t="shared" si="88"/>
        <v>1.11360769803731e-6</v>
      </c>
      <c r="AS378" s="231">
        <f ca="1" t="shared" si="89"/>
        <v>1.56105596585806e-7</v>
      </c>
    </row>
    <row r="379" ht="15" hidden="1" customHeight="1" spans="3:45">
      <c r="C379" s="221"/>
      <c r="D379" s="221"/>
      <c r="E379" s="221"/>
      <c r="F379" s="221"/>
      <c r="G379" s="221"/>
      <c r="I379" s="12">
        <v>738</v>
      </c>
      <c r="J379" s="230">
        <v>0.0002891656</v>
      </c>
      <c r="L379" s="12">
        <v>738</v>
      </c>
      <c r="M379" s="230"/>
      <c r="N379" s="230">
        <v>2.12995e-5</v>
      </c>
      <c r="O379" s="230">
        <v>0.000321494</v>
      </c>
      <c r="P379" s="232">
        <v>1.557e-6</v>
      </c>
      <c r="Q379" s="230">
        <v>2.21681e-7</v>
      </c>
      <c r="S379" s="12">
        <v>738</v>
      </c>
      <c r="T379" s="230">
        <v>8.69412740268622e-10</v>
      </c>
      <c r="U379" s="230">
        <v>3.52861275786014e-5</v>
      </c>
      <c r="V379" s="230">
        <v>0.000424031382643841</v>
      </c>
      <c r="W379" s="232">
        <v>1.51329291924943e-6</v>
      </c>
      <c r="X379" s="230">
        <v>2.21688415850879e-7</v>
      </c>
      <c r="Z379" s="12">
        <v>738</v>
      </c>
      <c r="AA379" s="230">
        <f ca="1" t="shared" si="75"/>
        <v>8.69412740268622e-10</v>
      </c>
      <c r="AB379" s="230">
        <f ca="1" t="shared" si="76"/>
        <v>3.52861275786014e-5</v>
      </c>
      <c r="AC379" s="230">
        <f ca="1" t="shared" si="77"/>
        <v>0.000424031382643841</v>
      </c>
      <c r="AD379" s="230">
        <f ca="1" t="shared" si="78"/>
        <v>1.51329291924943e-6</v>
      </c>
      <c r="AE379" s="230">
        <f ca="1" t="shared" si="79"/>
        <v>2.21688415850879e-7</v>
      </c>
      <c r="AG379" s="12">
        <v>738</v>
      </c>
      <c r="AH379" s="231">
        <f ca="1" t="shared" si="80"/>
        <v>1.17806604372442e-12</v>
      </c>
      <c r="AI379" s="231">
        <f ca="1" t="shared" si="81"/>
        <v>4.78131810008149e-8</v>
      </c>
      <c r="AJ379" s="231">
        <f ca="1" t="shared" si="82"/>
        <v>5.74568269165096e-7</v>
      </c>
      <c r="AK379" s="231">
        <f ca="1" t="shared" si="83"/>
        <v>2.05053241090709e-9</v>
      </c>
      <c r="AL379" s="231">
        <f ca="1" t="shared" si="84"/>
        <v>3.00390807386015e-10</v>
      </c>
      <c r="AN379" s="12">
        <v>738</v>
      </c>
      <c r="AO379" s="231">
        <f ca="1" t="shared" si="85"/>
        <v>5.18349059238745e-10</v>
      </c>
      <c r="AP379" s="231">
        <f ca="1" t="shared" si="86"/>
        <v>2.59640778885893e-5</v>
      </c>
      <c r="AQ379" s="231">
        <f ca="1" t="shared" si="87"/>
        <v>0.000327088064602767</v>
      </c>
      <c r="AR379" s="231">
        <f ca="1" t="shared" si="88"/>
        <v>1.04522635184988e-6</v>
      </c>
      <c r="AS379" s="231">
        <f ca="1" t="shared" si="89"/>
        <v>1.46824185194836e-7</v>
      </c>
    </row>
    <row r="380" ht="15" hidden="1" customHeight="1" spans="3:45">
      <c r="C380" s="221"/>
      <c r="D380" s="221"/>
      <c r="E380" s="221"/>
      <c r="F380" s="221"/>
      <c r="G380" s="221"/>
      <c r="I380" s="12">
        <v>739</v>
      </c>
      <c r="J380" s="230">
        <v>0.0002684539</v>
      </c>
      <c r="L380" s="12">
        <v>739</v>
      </c>
      <c r="M380" s="230"/>
      <c r="N380" s="230">
        <v>1.98941e-5</v>
      </c>
      <c r="O380" s="230">
        <v>0.000299155</v>
      </c>
      <c r="P380" s="232">
        <v>1.466e-6</v>
      </c>
      <c r="Q380" s="230">
        <v>2.08789e-7</v>
      </c>
      <c r="S380" s="12">
        <v>739</v>
      </c>
      <c r="T380" s="230">
        <v>8.25370609331353e-10</v>
      </c>
      <c r="U380" s="230">
        <v>3.30285874195172e-5</v>
      </c>
      <c r="V380" s="230">
        <v>0.000395761916083185</v>
      </c>
      <c r="W380" s="232">
        <v>1.42253512917168e-6</v>
      </c>
      <c r="X380" s="230">
        <v>2.08825245189728e-7</v>
      </c>
      <c r="Z380" s="12">
        <v>739</v>
      </c>
      <c r="AA380" s="230">
        <f ca="1" t="shared" si="75"/>
        <v>8.25370609331353e-10</v>
      </c>
      <c r="AB380" s="230">
        <f ca="1" t="shared" si="76"/>
        <v>3.30285874195172e-5</v>
      </c>
      <c r="AC380" s="230">
        <f ca="1" t="shared" si="77"/>
        <v>0.000395761916083185</v>
      </c>
      <c r="AD380" s="230">
        <f ca="1" t="shared" si="78"/>
        <v>1.42253512917168e-6</v>
      </c>
      <c r="AE380" s="230">
        <f ca="1" t="shared" si="79"/>
        <v>2.08825245189728e-7</v>
      </c>
      <c r="AG380" s="12">
        <v>739</v>
      </c>
      <c r="AH380" s="231">
        <f ca="1" t="shared" si="80"/>
        <v>1.1168749787975e-12</v>
      </c>
      <c r="AI380" s="231">
        <f ca="1" t="shared" si="81"/>
        <v>4.46936230304698e-8</v>
      </c>
      <c r="AJ380" s="231">
        <f ca="1" t="shared" si="82"/>
        <v>5.35537098894702e-7</v>
      </c>
      <c r="AK380" s="231">
        <f ca="1" t="shared" si="83"/>
        <v>1.92494604759361e-9</v>
      </c>
      <c r="AL380" s="231">
        <f ca="1" t="shared" si="84"/>
        <v>2.82578139634273e-10</v>
      </c>
      <c r="AN380" s="12">
        <v>739</v>
      </c>
      <c r="AO380" s="231">
        <f ca="1" t="shared" si="85"/>
        <v>4.914249906709e-10</v>
      </c>
      <c r="AP380" s="231">
        <f ca="1" t="shared" si="86"/>
        <v>2.42700586992233e-5</v>
      </c>
      <c r="AQ380" s="231">
        <f ca="1" t="shared" si="87"/>
        <v>0.000304868546700264</v>
      </c>
      <c r="AR380" s="231">
        <f ca="1" t="shared" si="88"/>
        <v>9.81210696369374e-7</v>
      </c>
      <c r="AS380" s="231">
        <f ca="1" t="shared" si="89"/>
        <v>1.38117758884543e-7</v>
      </c>
    </row>
    <row r="381" ht="15" hidden="1" customHeight="1" spans="3:45">
      <c r="C381" s="221"/>
      <c r="D381" s="221"/>
      <c r="E381" s="221"/>
      <c r="F381" s="221"/>
      <c r="G381" s="221"/>
      <c r="I381" s="12">
        <v>740</v>
      </c>
      <c r="J381" s="230">
        <v>0.0002492</v>
      </c>
      <c r="L381" s="12">
        <v>740</v>
      </c>
      <c r="M381" s="230"/>
      <c r="N381" s="230">
        <v>1.85965e-5</v>
      </c>
      <c r="O381" s="230">
        <v>0.000278553</v>
      </c>
      <c r="P381" s="232">
        <v>1.379e-6</v>
      </c>
      <c r="Q381" s="230">
        <v>1.9674e-7</v>
      </c>
      <c r="S381" s="12">
        <v>740</v>
      </c>
      <c r="T381" s="230">
        <v>7.83669599991484e-10</v>
      </c>
      <c r="U381" s="230">
        <v>3.09208198144797e-5</v>
      </c>
      <c r="V381" s="230">
        <v>0.000369434117196761</v>
      </c>
      <c r="W381" s="232">
        <v>1.33744521098963e-6</v>
      </c>
      <c r="X381" s="230">
        <v>1.96740603840031e-7</v>
      </c>
      <c r="Z381" s="12">
        <v>740</v>
      </c>
      <c r="AA381" s="230">
        <f ca="1" t="shared" si="75"/>
        <v>7.83669599991484e-10</v>
      </c>
      <c r="AB381" s="230">
        <f ca="1" t="shared" si="76"/>
        <v>3.09208198144797e-5</v>
      </c>
      <c r="AC381" s="230">
        <f ca="1" t="shared" si="77"/>
        <v>0.000369434117196761</v>
      </c>
      <c r="AD381" s="230">
        <f ca="1" t="shared" si="78"/>
        <v>1.33744521098963e-6</v>
      </c>
      <c r="AE381" s="230">
        <f ca="1" t="shared" si="79"/>
        <v>1.96740603840031e-7</v>
      </c>
      <c r="AG381" s="12">
        <v>740</v>
      </c>
      <c r="AH381" s="231">
        <f ca="1" t="shared" si="80"/>
        <v>1.05901297296146e-12</v>
      </c>
      <c r="AI381" s="231">
        <f ca="1" t="shared" si="81"/>
        <v>4.17848916411888e-8</v>
      </c>
      <c r="AJ381" s="231">
        <f ca="1" t="shared" si="82"/>
        <v>4.99235293509137e-7</v>
      </c>
      <c r="AK381" s="231">
        <f ca="1" t="shared" si="83"/>
        <v>1.80735839322923e-9</v>
      </c>
      <c r="AL381" s="231">
        <f ca="1" t="shared" si="84"/>
        <v>2.65865680864907e-10</v>
      </c>
      <c r="AN381" s="12">
        <v>740</v>
      </c>
      <c r="AO381" s="231">
        <f ca="1" t="shared" si="85"/>
        <v>4.65965708103045e-10</v>
      </c>
      <c r="AP381" s="231">
        <f ca="1" t="shared" si="86"/>
        <v>2.26905250483041e-5</v>
      </c>
      <c r="AQ381" s="231">
        <f ca="1" t="shared" si="87"/>
        <v>0.000284202791380352</v>
      </c>
      <c r="AR381" s="231">
        <f ca="1" t="shared" si="88"/>
        <v>9.21272255825779e-7</v>
      </c>
      <c r="AS381" s="231">
        <f ca="1" t="shared" si="89"/>
        <v>1.29949089667374e-7</v>
      </c>
    </row>
    <row r="382" ht="15" hidden="1" customHeight="1" spans="3:45">
      <c r="C382" s="221"/>
      <c r="D382" s="221"/>
      <c r="E382" s="221"/>
      <c r="F382" s="221"/>
      <c r="G382" s="221"/>
      <c r="I382" s="12">
        <v>741</v>
      </c>
      <c r="J382" s="230">
        <v>0.0002313019</v>
      </c>
      <c r="L382" s="12">
        <v>741</v>
      </c>
      <c r="M382" s="230"/>
      <c r="N382" s="230">
        <v>1.74003e-5</v>
      </c>
      <c r="O382" s="230">
        <v>0.000259583</v>
      </c>
      <c r="P382" s="232">
        <v>1.299e-6</v>
      </c>
      <c r="Q382" s="230">
        <v>1.85426e-7</v>
      </c>
      <c r="S382" s="12">
        <v>741</v>
      </c>
      <c r="T382" s="230">
        <v>7.44164588458069e-10</v>
      </c>
      <c r="U382" s="230">
        <v>2.8952028659049e-5</v>
      </c>
      <c r="V382" s="230">
        <v>0.000344904610641291</v>
      </c>
      <c r="W382" s="232">
        <v>1.25763032244722e-6</v>
      </c>
      <c r="X382" s="230">
        <v>1.85380905860444e-7</v>
      </c>
      <c r="Z382" s="12">
        <v>741</v>
      </c>
      <c r="AA382" s="230">
        <f ca="1" t="shared" si="75"/>
        <v>7.44164588458069e-10</v>
      </c>
      <c r="AB382" s="230">
        <f ca="1" t="shared" si="76"/>
        <v>2.8952028659049e-5</v>
      </c>
      <c r="AC382" s="230">
        <f ca="1" t="shared" si="77"/>
        <v>0.000344904610641291</v>
      </c>
      <c r="AD382" s="230">
        <f ca="1" t="shared" si="78"/>
        <v>1.25763032244722e-6</v>
      </c>
      <c r="AE382" s="230">
        <f ca="1" t="shared" si="79"/>
        <v>1.85380905860444e-7</v>
      </c>
      <c r="AG382" s="12">
        <v>741</v>
      </c>
      <c r="AH382" s="231">
        <f ca="1" t="shared" si="80"/>
        <v>1.00427069967351e-12</v>
      </c>
      <c r="AI382" s="231">
        <f ca="1" t="shared" si="81"/>
        <v>3.90715636424413e-8</v>
      </c>
      <c r="AJ382" s="231">
        <f ca="1" t="shared" si="82"/>
        <v>4.65458313955858e-7</v>
      </c>
      <c r="AK382" s="231">
        <f ca="1" t="shared" si="83"/>
        <v>1.69720691288424e-9</v>
      </c>
      <c r="AL382" s="231">
        <f ca="1" t="shared" si="84"/>
        <v>2.50176661080221e-10</v>
      </c>
      <c r="AN382" s="12">
        <v>741</v>
      </c>
      <c r="AO382" s="231">
        <f ca="1" t="shared" si="85"/>
        <v>4.41879107856343e-10</v>
      </c>
      <c r="AP382" s="231">
        <f ca="1" t="shared" si="86"/>
        <v>2.12171016528691e-5</v>
      </c>
      <c r="AQ382" s="231">
        <f ca="1" t="shared" si="87"/>
        <v>0.000264974359420016</v>
      </c>
      <c r="AR382" s="231">
        <f ca="1" t="shared" si="88"/>
        <v>8.65124286966838e-7</v>
      </c>
      <c r="AS382" s="231">
        <f ca="1" t="shared" si="89"/>
        <v>1.22280654116908e-7</v>
      </c>
    </row>
    <row r="383" ht="15" hidden="1" customHeight="1" spans="3:45">
      <c r="C383" s="221"/>
      <c r="D383" s="221"/>
      <c r="E383" s="221"/>
      <c r="F383" s="221"/>
      <c r="G383" s="221"/>
      <c r="I383" s="12">
        <v>742</v>
      </c>
      <c r="J383" s="230">
        <v>0.0002146856</v>
      </c>
      <c r="L383" s="12">
        <v>742</v>
      </c>
      <c r="M383" s="230"/>
      <c r="N383" s="230">
        <v>1.62931e-5</v>
      </c>
      <c r="O383" s="230">
        <v>0.000242061</v>
      </c>
      <c r="P383" s="232">
        <v>1.223e-6</v>
      </c>
      <c r="Q383" s="230">
        <v>1.74736e-7</v>
      </c>
      <c r="S383" s="12">
        <v>742</v>
      </c>
      <c r="T383" s="230">
        <v>7.06753552255463e-10</v>
      </c>
      <c r="U383" s="230">
        <v>2.71132763123295e-5</v>
      </c>
      <c r="V383" s="230">
        <v>0.000322054224259188</v>
      </c>
      <c r="W383" s="232">
        <v>1.1827773520078e-6</v>
      </c>
      <c r="X383" s="230">
        <v>1.74705669976349e-7</v>
      </c>
      <c r="Z383" s="12">
        <v>742</v>
      </c>
      <c r="AA383" s="230">
        <f ca="1" t="shared" si="75"/>
        <v>7.06753552255463e-10</v>
      </c>
      <c r="AB383" s="230">
        <f ca="1" t="shared" si="76"/>
        <v>2.71132763123295e-5</v>
      </c>
      <c r="AC383" s="230">
        <f ca="1" t="shared" si="77"/>
        <v>0.000322054224259188</v>
      </c>
      <c r="AD383" s="230">
        <f ca="1" t="shared" si="78"/>
        <v>1.1827773520078e-6</v>
      </c>
      <c r="AE383" s="230">
        <f ca="1" t="shared" si="79"/>
        <v>1.74705669976349e-7</v>
      </c>
      <c r="AG383" s="12">
        <v>742</v>
      </c>
      <c r="AH383" s="231">
        <f ca="1" t="shared" si="80"/>
        <v>9.5249804886181e-13</v>
      </c>
      <c r="AI383" s="231">
        <f ca="1" t="shared" si="81"/>
        <v>3.65408036554306e-8</v>
      </c>
      <c r="AJ383" s="231">
        <f ca="1" t="shared" si="82"/>
        <v>4.34035342667369e-7</v>
      </c>
      <c r="AK383" s="231">
        <f ca="1" t="shared" si="83"/>
        <v>1.59403955796199e-9</v>
      </c>
      <c r="AL383" s="231">
        <f ca="1" t="shared" si="84"/>
        <v>2.35452385412869e-10</v>
      </c>
      <c r="AN383" s="12">
        <v>742</v>
      </c>
      <c r="AO383" s="231">
        <f ca="1" t="shared" si="85"/>
        <v>4.19099141499196e-10</v>
      </c>
      <c r="AP383" s="231">
        <f ca="1" t="shared" si="86"/>
        <v>1.98428184940274e-5</v>
      </c>
      <c r="AQ383" s="231">
        <f ca="1" t="shared" si="87"/>
        <v>0.000247086008436494</v>
      </c>
      <c r="AR383" s="231">
        <f ca="1" t="shared" si="88"/>
        <v>8.12536365195011e-7</v>
      </c>
      <c r="AS383" s="231">
        <f ca="1" t="shared" si="89"/>
        <v>1.15083763518771e-7</v>
      </c>
    </row>
    <row r="384" ht="15" hidden="1" customHeight="1" spans="3:45">
      <c r="C384" s="221"/>
      <c r="D384" s="221"/>
      <c r="E384" s="221"/>
      <c r="F384" s="221"/>
      <c r="G384" s="221"/>
      <c r="I384" s="12">
        <v>743</v>
      </c>
      <c r="J384" s="230">
        <v>0.0001992884</v>
      </c>
      <c r="L384" s="12">
        <v>743</v>
      </c>
      <c r="M384" s="230"/>
      <c r="N384" s="230">
        <v>1.52632e-5</v>
      </c>
      <c r="O384" s="230">
        <v>0.000225809</v>
      </c>
      <c r="P384" s="232">
        <v>1.151e-6</v>
      </c>
      <c r="Q384" s="230">
        <v>1.64666e-7</v>
      </c>
      <c r="S384" s="12">
        <v>743</v>
      </c>
      <c r="T384" s="230">
        <v>6.71314457039246e-10</v>
      </c>
      <c r="U384" s="230">
        <v>2.53956890006117e-5</v>
      </c>
      <c r="V384" s="230">
        <v>0.000300764794978367</v>
      </c>
      <c r="W384" s="232">
        <v>1.1125614303744e-6</v>
      </c>
      <c r="X384" s="230">
        <v>1.64671711756422e-7</v>
      </c>
      <c r="Z384" s="12">
        <v>743</v>
      </c>
      <c r="AA384" s="230">
        <f ca="1" t="shared" si="75"/>
        <v>6.71314457039246e-10</v>
      </c>
      <c r="AB384" s="230">
        <f ca="1" t="shared" si="76"/>
        <v>2.53956890006117e-5</v>
      </c>
      <c r="AC384" s="230">
        <f ca="1" t="shared" si="77"/>
        <v>0.000300764794978367</v>
      </c>
      <c r="AD384" s="230">
        <f ca="1" t="shared" si="78"/>
        <v>1.1125614303744e-6</v>
      </c>
      <c r="AE384" s="230">
        <f ca="1" t="shared" si="79"/>
        <v>1.64671711756422e-7</v>
      </c>
      <c r="AG384" s="12">
        <v>743</v>
      </c>
      <c r="AH384" s="231">
        <f ca="1" t="shared" si="80"/>
        <v>9.03518784709618e-13</v>
      </c>
      <c r="AI384" s="231">
        <f ca="1" t="shared" si="81"/>
        <v>3.41799313601773e-8</v>
      </c>
      <c r="AJ384" s="231">
        <f ca="1" t="shared" si="82"/>
        <v>4.04797839809377e-7</v>
      </c>
      <c r="AK384" s="231">
        <f ca="1" t="shared" si="83"/>
        <v>1.49739088879462e-9</v>
      </c>
      <c r="AL384" s="231">
        <f ca="1" t="shared" si="84"/>
        <v>2.21630836818872e-10</v>
      </c>
      <c r="AN384" s="12">
        <v>743</v>
      </c>
      <c r="AO384" s="231">
        <f ca="1" t="shared" si="85"/>
        <v>3.97548265272232e-10</v>
      </c>
      <c r="AP384" s="231">
        <f ca="1" t="shared" si="86"/>
        <v>1.85607897547572e-5</v>
      </c>
      <c r="AQ384" s="231">
        <f ca="1" t="shared" si="87"/>
        <v>0.000230441792706421</v>
      </c>
      <c r="AR384" s="231">
        <f ca="1" t="shared" si="88"/>
        <v>7.63271240026725e-7</v>
      </c>
      <c r="AS384" s="231">
        <f ca="1" t="shared" si="89"/>
        <v>1.08328105354317e-7</v>
      </c>
    </row>
    <row r="385" ht="15" hidden="1" customHeight="1" spans="3:45">
      <c r="C385" s="221"/>
      <c r="D385" s="221"/>
      <c r="E385" s="221"/>
      <c r="F385" s="221"/>
      <c r="G385" s="221"/>
      <c r="I385" s="12">
        <v>744</v>
      </c>
      <c r="J385" s="230">
        <v>0.0001850475</v>
      </c>
      <c r="L385" s="12">
        <v>744</v>
      </c>
      <c r="M385" s="230"/>
      <c r="N385" s="230">
        <v>1.43005e-5</v>
      </c>
      <c r="O385" s="230">
        <v>0.000210674</v>
      </c>
      <c r="P385" s="232">
        <v>1.084e-6</v>
      </c>
      <c r="Q385" s="230">
        <v>1.55212e-7</v>
      </c>
      <c r="S385" s="12">
        <v>744</v>
      </c>
      <c r="T385" s="230">
        <v>6.37743439948117e-10</v>
      </c>
      <c r="U385" s="230">
        <v>2.37910165990699e-5</v>
      </c>
      <c r="V385" s="230">
        <v>0.000280927335451798</v>
      </c>
      <c r="W385" s="232">
        <v>1.04668981931595e-6</v>
      </c>
      <c r="X385" s="230">
        <v>1.55239415898092e-7</v>
      </c>
      <c r="Z385" s="12">
        <v>744</v>
      </c>
      <c r="AA385" s="230">
        <f ca="1" t="shared" si="75"/>
        <v>6.37743439948117e-10</v>
      </c>
      <c r="AB385" s="230">
        <f ca="1" t="shared" si="76"/>
        <v>2.37910165990699e-5</v>
      </c>
      <c r="AC385" s="230">
        <f ca="1" t="shared" si="77"/>
        <v>0.000280927335451798</v>
      </c>
      <c r="AD385" s="230">
        <f ca="1" t="shared" si="78"/>
        <v>1.04668981931595e-6</v>
      </c>
      <c r="AE385" s="230">
        <f ca="1" t="shared" si="79"/>
        <v>1.55239415898092e-7</v>
      </c>
      <c r="AG385" s="12">
        <v>744</v>
      </c>
      <c r="AH385" s="231">
        <f ca="1" t="shared" si="80"/>
        <v>8.57182042941017e-13</v>
      </c>
      <c r="AI385" s="231">
        <f ca="1" t="shared" si="81"/>
        <v>3.19771728482122e-8</v>
      </c>
      <c r="AJ385" s="231">
        <f ca="1" t="shared" si="82"/>
        <v>3.77590504639513e-7</v>
      </c>
      <c r="AK385" s="231">
        <f ca="1" t="shared" si="83"/>
        <v>1.40684115499456e-9</v>
      </c>
      <c r="AL385" s="231">
        <f ca="1" t="shared" si="84"/>
        <v>2.08655128895285e-10</v>
      </c>
      <c r="AN385" s="12">
        <v>744</v>
      </c>
      <c r="AO385" s="231">
        <f ca="1" t="shared" si="85"/>
        <v>3.77160098894048e-10</v>
      </c>
      <c r="AP385" s="231">
        <f ca="1" t="shared" si="86"/>
        <v>1.73646218283137e-5</v>
      </c>
      <c r="AQ385" s="231">
        <f ca="1" t="shared" si="87"/>
        <v>0.000214953303206921</v>
      </c>
      <c r="AR385" s="231">
        <f ca="1" t="shared" si="88"/>
        <v>7.17114950363912e-7</v>
      </c>
      <c r="AS385" s="231">
        <f ca="1" t="shared" si="89"/>
        <v>1.01985874845383e-7</v>
      </c>
    </row>
    <row r="386" ht="15" hidden="1" customHeight="1" spans="3:45">
      <c r="C386" s="221"/>
      <c r="D386" s="221"/>
      <c r="E386" s="221"/>
      <c r="F386" s="221"/>
      <c r="G386" s="221"/>
      <c r="I386" s="12">
        <v>745</v>
      </c>
      <c r="J386" s="230">
        <v>0.0001719</v>
      </c>
      <c r="L386" s="12">
        <v>745</v>
      </c>
      <c r="M386" s="230"/>
      <c r="N386" s="230">
        <v>1.33965e-5</v>
      </c>
      <c r="O386" s="230">
        <v>0.000196528</v>
      </c>
      <c r="P386" s="232">
        <v>1.022e-6</v>
      </c>
      <c r="Q386" s="230">
        <v>1.4637e-7</v>
      </c>
      <c r="S386" s="12">
        <v>745</v>
      </c>
      <c r="T386" s="230">
        <v>6.05936340907611e-10</v>
      </c>
      <c r="U386" s="230">
        <v>2.22916389334234e-5</v>
      </c>
      <c r="V386" s="230">
        <v>0.000262439982424055</v>
      </c>
      <c r="W386" s="232">
        <v>9.84881545935368e-7</v>
      </c>
      <c r="X386" s="230">
        <v>1.46370312483214e-7</v>
      </c>
      <c r="Z386" s="12">
        <v>745</v>
      </c>
      <c r="AA386" s="230">
        <f ca="1" t="shared" si="75"/>
        <v>6.05936340907611e-10</v>
      </c>
      <c r="AB386" s="230">
        <f ca="1" t="shared" si="76"/>
        <v>2.22916389334234e-5</v>
      </c>
      <c r="AC386" s="230">
        <f ca="1" t="shared" si="77"/>
        <v>0.000262439982424055</v>
      </c>
      <c r="AD386" s="230">
        <f ca="1" t="shared" si="78"/>
        <v>9.84881545935368e-7</v>
      </c>
      <c r="AE386" s="230">
        <f ca="1" t="shared" si="79"/>
        <v>1.46370312483214e-7</v>
      </c>
      <c r="AG386" s="12">
        <v>745</v>
      </c>
      <c r="AH386" s="231">
        <f ca="1" t="shared" si="80"/>
        <v>8.13337370345787e-13</v>
      </c>
      <c r="AI386" s="231">
        <f ca="1" t="shared" si="81"/>
        <v>2.99216629978838e-8</v>
      </c>
      <c r="AJ386" s="231">
        <f ca="1" t="shared" si="82"/>
        <v>3.52268432783966e-7</v>
      </c>
      <c r="AK386" s="231">
        <f ca="1" t="shared" si="83"/>
        <v>1.32198865226224e-9</v>
      </c>
      <c r="AL386" s="231">
        <f ca="1" t="shared" si="84"/>
        <v>1.96470218098274e-10</v>
      </c>
      <c r="AN386" s="12">
        <v>745</v>
      </c>
      <c r="AO386" s="231">
        <f ca="1" t="shared" si="85"/>
        <v>3.57868442952146e-10</v>
      </c>
      <c r="AP386" s="231">
        <f ca="1" t="shared" si="86"/>
        <v>1.62484146080959e-5</v>
      </c>
      <c r="AQ386" s="231">
        <f ca="1" t="shared" si="87"/>
        <v>0.000200538049320732</v>
      </c>
      <c r="AR386" s="231">
        <f ca="1" t="shared" si="88"/>
        <v>6.73862733815431e-7</v>
      </c>
      <c r="AS386" s="231">
        <f ca="1" t="shared" si="89"/>
        <v>9.60301679613705e-8</v>
      </c>
    </row>
    <row r="387" ht="15" hidden="1" customHeight="1" spans="3:45">
      <c r="C387" s="221"/>
      <c r="D387" s="221"/>
      <c r="E387" s="221"/>
      <c r="F387" s="221"/>
      <c r="G387" s="221"/>
      <c r="I387" s="12">
        <v>746</v>
      </c>
      <c r="J387" s="230">
        <v>0.0001597781</v>
      </c>
      <c r="L387" s="12">
        <v>746</v>
      </c>
      <c r="M387" s="230"/>
      <c r="N387" s="230">
        <v>1.25449e-5</v>
      </c>
      <c r="O387" s="230">
        <v>0.000183271</v>
      </c>
      <c r="P387" s="231">
        <v>9.62e-7</v>
      </c>
      <c r="Q387" s="230">
        <v>1.38062e-7</v>
      </c>
      <c r="S387" s="12">
        <v>746</v>
      </c>
      <c r="T387" s="230">
        <v>5.75796472588318e-10</v>
      </c>
      <c r="U387" s="230">
        <v>2.08903155459073e-5</v>
      </c>
      <c r="V387" s="230">
        <v>0.000245208206031276</v>
      </c>
      <c r="W387" s="231">
        <v>9.26876774868318e-7</v>
      </c>
      <c r="X387" s="230">
        <v>1.38030480558416e-7</v>
      </c>
      <c r="Z387" s="12">
        <v>746</v>
      </c>
      <c r="AA387" s="230">
        <f ca="1" t="shared" si="75"/>
        <v>5.75796472588318e-10</v>
      </c>
      <c r="AB387" s="230">
        <f ca="1" t="shared" si="76"/>
        <v>2.08903155459073e-5</v>
      </c>
      <c r="AC387" s="230">
        <f ca="1" t="shared" si="77"/>
        <v>0.000245208206031276</v>
      </c>
      <c r="AD387" s="230">
        <f ca="1" t="shared" si="78"/>
        <v>9.26876774868318e-7</v>
      </c>
      <c r="AE387" s="230">
        <f ca="1" t="shared" si="79"/>
        <v>1.38030480558416e-7</v>
      </c>
      <c r="AG387" s="12">
        <v>746</v>
      </c>
      <c r="AH387" s="231">
        <f ca="1" t="shared" si="80"/>
        <v>7.71845137517853e-13</v>
      </c>
      <c r="AI387" s="231">
        <f ca="1" t="shared" si="81"/>
        <v>2.80031039489374e-8</v>
      </c>
      <c r="AJ387" s="231">
        <f ca="1" t="shared" si="82"/>
        <v>3.28697327119673e-7</v>
      </c>
      <c r="AK387" s="231">
        <f ca="1" t="shared" si="83"/>
        <v>1.24246216470284e-9</v>
      </c>
      <c r="AL387" s="231">
        <f ca="1" t="shared" si="84"/>
        <v>1.85027453831657e-10</v>
      </c>
      <c r="AN387" s="12">
        <v>746</v>
      </c>
      <c r="AO387" s="231">
        <f ca="1" t="shared" si="85"/>
        <v>3.39611860507855e-10</v>
      </c>
      <c r="AP387" s="231">
        <f ca="1" t="shared" si="86"/>
        <v>1.52065760284822e-5</v>
      </c>
      <c r="AQ387" s="231">
        <f ca="1" t="shared" si="87"/>
        <v>0.000187119578886428</v>
      </c>
      <c r="AR387" s="231">
        <f ca="1" t="shared" si="88"/>
        <v>6.33325368970574e-7</v>
      </c>
      <c r="AS387" s="231">
        <f ca="1" t="shared" si="89"/>
        <v>9.04372053988922e-8</v>
      </c>
    </row>
    <row r="388" ht="15" hidden="1" customHeight="1" spans="3:45">
      <c r="C388" s="221"/>
      <c r="D388" s="221"/>
      <c r="E388" s="221"/>
      <c r="F388" s="221"/>
      <c r="G388" s="221"/>
      <c r="I388" s="12">
        <v>747</v>
      </c>
      <c r="J388" s="230">
        <v>0.0001486044</v>
      </c>
      <c r="L388" s="12">
        <v>747</v>
      </c>
      <c r="M388" s="230"/>
      <c r="N388" s="230">
        <v>1.17441e-5</v>
      </c>
      <c r="O388" s="230">
        <v>0.000170868</v>
      </c>
      <c r="P388" s="231">
        <v>9.07e-7</v>
      </c>
      <c r="Q388" s="230">
        <v>1.30208e-7</v>
      </c>
      <c r="S388" s="12">
        <v>747</v>
      </c>
      <c r="T388" s="230">
        <v>5.4723138848935e-10</v>
      </c>
      <c r="U388" s="230">
        <v>1.95804649421063e-5</v>
      </c>
      <c r="V388" s="230">
        <v>0.000229144796720476</v>
      </c>
      <c r="W388" s="231">
        <v>8.72430821370363e-7</v>
      </c>
      <c r="X388" s="230">
        <v>1.3018621481432e-7</v>
      </c>
      <c r="Z388" s="12">
        <v>747</v>
      </c>
      <c r="AA388" s="230">
        <f ca="1" t="shared" si="75"/>
        <v>5.4723138848935e-10</v>
      </c>
      <c r="AB388" s="230">
        <f ca="1" t="shared" si="76"/>
        <v>1.95804649421063e-5</v>
      </c>
      <c r="AC388" s="230">
        <f ca="1" t="shared" si="77"/>
        <v>0.000229144796720476</v>
      </c>
      <c r="AD388" s="230">
        <f ca="1" t="shared" si="78"/>
        <v>8.72430821370363e-7</v>
      </c>
      <c r="AE388" s="230">
        <f ca="1" t="shared" si="79"/>
        <v>1.3018621481432e-7</v>
      </c>
      <c r="AG388" s="12">
        <v>747</v>
      </c>
      <c r="AH388" s="231">
        <f ca="1" t="shared" si="80"/>
        <v>7.32572139878648e-13</v>
      </c>
      <c r="AI388" s="231">
        <f ca="1" t="shared" si="81"/>
        <v>2.6212135129995e-8</v>
      </c>
      <c r="AJ388" s="231">
        <f ca="1" t="shared" si="82"/>
        <v>3.06753409264359e-7</v>
      </c>
      <c r="AK388" s="231">
        <f ca="1" t="shared" si="83"/>
        <v>1.16791274614506e-9</v>
      </c>
      <c r="AL388" s="231">
        <f ca="1" t="shared" si="84"/>
        <v>1.74278734691191e-10</v>
      </c>
      <c r="AN388" s="12">
        <v>747</v>
      </c>
      <c r="AO388" s="231">
        <f ca="1" t="shared" si="85"/>
        <v>3.22331741546605e-10</v>
      </c>
      <c r="AP388" s="231">
        <f ca="1" t="shared" si="86"/>
        <v>1.42340230015196e-5</v>
      </c>
      <c r="AQ388" s="231">
        <f ca="1" t="shared" si="87"/>
        <v>0.000174627427811802</v>
      </c>
      <c r="AR388" s="231">
        <f ca="1" t="shared" si="88"/>
        <v>5.95324986056751e-7</v>
      </c>
      <c r="AS388" s="231">
        <f ca="1" t="shared" si="89"/>
        <v>8.51834762870724e-8</v>
      </c>
    </row>
    <row r="389" ht="15" hidden="1" customHeight="1" spans="3:45">
      <c r="C389" s="221"/>
      <c r="D389" s="221"/>
      <c r="E389" s="221"/>
      <c r="F389" s="221"/>
      <c r="G389" s="221"/>
      <c r="I389" s="12">
        <v>748</v>
      </c>
      <c r="J389" s="230">
        <v>0.0001383016</v>
      </c>
      <c r="L389" s="12">
        <v>748</v>
      </c>
      <c r="M389" s="230"/>
      <c r="N389" s="230">
        <v>1.09929e-5</v>
      </c>
      <c r="O389" s="230">
        <v>0.00015929</v>
      </c>
      <c r="P389" s="231">
        <v>8.55e-7</v>
      </c>
      <c r="Q389" s="230">
        <v>1.22805e-7</v>
      </c>
      <c r="S389" s="12">
        <v>748</v>
      </c>
      <c r="T389" s="230">
        <v>5.20155266478981e-10</v>
      </c>
      <c r="U389" s="230">
        <v>1.83558288637874e-5</v>
      </c>
      <c r="V389" s="230">
        <v>0.000214168206599085</v>
      </c>
      <c r="W389" s="231">
        <v>8.21317355255193e-7</v>
      </c>
      <c r="X389" s="230">
        <v>1.22807530965162e-7</v>
      </c>
      <c r="Z389" s="12">
        <v>748</v>
      </c>
      <c r="AA389" s="230">
        <f ca="1" t="shared" si="75"/>
        <v>5.20155266478981e-10</v>
      </c>
      <c r="AB389" s="230">
        <f ca="1" t="shared" si="76"/>
        <v>1.83558288637874e-5</v>
      </c>
      <c r="AC389" s="230">
        <f ca="1" t="shared" si="77"/>
        <v>0.000214168206599085</v>
      </c>
      <c r="AD389" s="230">
        <f ca="1" t="shared" si="78"/>
        <v>8.21317355255193e-7</v>
      </c>
      <c r="AE389" s="230">
        <f ca="1" t="shared" si="79"/>
        <v>1.22807530965162e-7</v>
      </c>
      <c r="AG389" s="12">
        <v>748</v>
      </c>
      <c r="AH389" s="231">
        <f ca="1" t="shared" si="80"/>
        <v>6.9539474128206e-13</v>
      </c>
      <c r="AI389" s="231">
        <f ca="1" t="shared" si="81"/>
        <v>2.45398781601436e-8</v>
      </c>
      <c r="AJ389" s="231">
        <f ca="1" t="shared" si="82"/>
        <v>2.86321131816959e-7</v>
      </c>
      <c r="AK389" s="231">
        <f ca="1" t="shared" si="83"/>
        <v>1.09801785461924e-9</v>
      </c>
      <c r="AL389" s="231">
        <f ca="1" t="shared" si="84"/>
        <v>1.64181191129896e-10</v>
      </c>
      <c r="AN389" s="12">
        <v>748</v>
      </c>
      <c r="AO389" s="231">
        <f ca="1" t="shared" si="85"/>
        <v>3.05973686164107e-10</v>
      </c>
      <c r="AP389" s="231">
        <f ca="1" t="shared" si="86"/>
        <v>1.33259342840126e-5</v>
      </c>
      <c r="AQ389" s="231">
        <f ca="1" t="shared" si="87"/>
        <v>0.00016299581770669</v>
      </c>
      <c r="AR389" s="231">
        <f ca="1" t="shared" si="88"/>
        <v>5.59697174424083e-7</v>
      </c>
      <c r="AS389" s="231">
        <f ca="1" t="shared" si="89"/>
        <v>8.02480269677081e-8</v>
      </c>
    </row>
    <row r="390" ht="15" hidden="1" customHeight="1" spans="3:45">
      <c r="C390" s="221"/>
      <c r="D390" s="221"/>
      <c r="E390" s="221"/>
      <c r="F390" s="221"/>
      <c r="G390" s="221"/>
      <c r="I390" s="12">
        <v>749</v>
      </c>
      <c r="J390" s="230">
        <v>0.0001287925</v>
      </c>
      <c r="L390" s="12">
        <v>749</v>
      </c>
      <c r="M390" s="230"/>
      <c r="N390" s="230">
        <v>1.029e-5</v>
      </c>
      <c r="O390" s="230">
        <v>0.000148506</v>
      </c>
      <c r="P390" s="231">
        <v>8.06e-7</v>
      </c>
      <c r="Q390" s="230">
        <v>1.15848e-7</v>
      </c>
      <c r="S390" s="12">
        <v>749</v>
      </c>
      <c r="T390" s="230">
        <v>4.94485999700327e-10</v>
      </c>
      <c r="U390" s="230">
        <v>1.72107580775885e-5</v>
      </c>
      <c r="V390" s="230">
        <v>0.000200202271183143</v>
      </c>
      <c r="W390" s="231">
        <v>7.73324910525027e-7</v>
      </c>
      <c r="X390" s="230">
        <v>1.1586519583177e-7</v>
      </c>
      <c r="Z390" s="12">
        <v>749</v>
      </c>
      <c r="AA390" s="230">
        <f ca="1" t="shared" si="75"/>
        <v>4.94485999700327e-10</v>
      </c>
      <c r="AB390" s="230">
        <f ca="1" t="shared" si="76"/>
        <v>1.72107580775885e-5</v>
      </c>
      <c r="AC390" s="230">
        <f ca="1" t="shared" si="77"/>
        <v>0.000200202271183143</v>
      </c>
      <c r="AD390" s="230">
        <f ca="1" t="shared" si="78"/>
        <v>7.73324910525027e-7</v>
      </c>
      <c r="AE390" s="230">
        <f ca="1" t="shared" si="79"/>
        <v>1.1586519583177e-7</v>
      </c>
      <c r="AG390" s="12">
        <v>749</v>
      </c>
      <c r="AH390" s="231">
        <f ca="1" t="shared" si="80"/>
        <v>6.60194926168661e-13</v>
      </c>
      <c r="AI390" s="231">
        <f ca="1" t="shared" si="81"/>
        <v>2.29783151903718e-8</v>
      </c>
      <c r="AJ390" s="231">
        <f ca="1" t="shared" si="82"/>
        <v>2.67292751913409e-7</v>
      </c>
      <c r="AK390" s="231">
        <f ca="1" t="shared" si="83"/>
        <v>1.03247651605478e-9</v>
      </c>
      <c r="AL390" s="231">
        <f ca="1" t="shared" si="84"/>
        <v>1.54693185356168e-10</v>
      </c>
      <c r="AN390" s="12">
        <v>749</v>
      </c>
      <c r="AO390" s="231">
        <f ca="1" t="shared" si="85"/>
        <v>2.90485767514211e-10</v>
      </c>
      <c r="AP390" s="231">
        <f ca="1" t="shared" si="86"/>
        <v>1.24779559289561e-5</v>
      </c>
      <c r="AQ390" s="231">
        <f ca="1" t="shared" si="87"/>
        <v>0.00015216341311842</v>
      </c>
      <c r="AR390" s="231">
        <f ca="1" t="shared" si="88"/>
        <v>5.26288517316932e-7</v>
      </c>
      <c r="AS390" s="231">
        <f ca="1" t="shared" si="89"/>
        <v>7.56105058365728e-8</v>
      </c>
    </row>
    <row r="391" ht="15" hidden="1" customHeight="1" spans="3:45">
      <c r="C391" s="221"/>
      <c r="D391" s="221"/>
      <c r="E391" s="221"/>
      <c r="F391" s="221"/>
      <c r="G391" s="221"/>
      <c r="I391" s="12">
        <v>750</v>
      </c>
      <c r="J391" s="230">
        <v>0.00012</v>
      </c>
      <c r="L391" s="12">
        <v>750</v>
      </c>
      <c r="M391" s="230"/>
      <c r="N391" s="230">
        <v>9.63397e-6</v>
      </c>
      <c r="O391" s="230">
        <v>0.000138482</v>
      </c>
      <c r="P391" s="231">
        <v>7.6e-7</v>
      </c>
      <c r="Q391" s="230">
        <v>1.09332e-7</v>
      </c>
      <c r="S391" s="12">
        <v>750</v>
      </c>
      <c r="T391" s="230">
        <v>4.70148440634387e-10</v>
      </c>
      <c r="U391" s="230">
        <v>1.61398687982425e-5</v>
      </c>
      <c r="V391" s="230">
        <v>0.000187177654119016</v>
      </c>
      <c r="W391" s="231">
        <v>7.28254203391554e-7</v>
      </c>
      <c r="X391" s="230">
        <v>1.09332429810826e-7</v>
      </c>
      <c r="Z391" s="12">
        <v>750</v>
      </c>
      <c r="AA391" s="230">
        <f ca="1" t="shared" si="75"/>
        <v>4.70148440634387e-10</v>
      </c>
      <c r="AB391" s="230">
        <f ca="1" t="shared" si="76"/>
        <v>1.61398687982425e-5</v>
      </c>
      <c r="AC391" s="230">
        <f ca="1" t="shared" si="77"/>
        <v>0.000187177654119016</v>
      </c>
      <c r="AD391" s="230">
        <f ca="1" t="shared" si="78"/>
        <v>7.28254203391554e-7</v>
      </c>
      <c r="AE391" s="230">
        <f ca="1" t="shared" si="79"/>
        <v>1.09332429810826e-7</v>
      </c>
      <c r="AG391" s="12">
        <v>750</v>
      </c>
      <c r="AH391" s="231">
        <f ca="1" t="shared" si="80"/>
        <v>6.26864587512516e-13</v>
      </c>
      <c r="AI391" s="231">
        <f ca="1" t="shared" si="81"/>
        <v>2.15198250643233e-8</v>
      </c>
      <c r="AJ391" s="231">
        <f ca="1" t="shared" si="82"/>
        <v>2.49570205492021e-7</v>
      </c>
      <c r="AK391" s="231">
        <f ca="1" t="shared" si="83"/>
        <v>9.71005604522072e-10</v>
      </c>
      <c r="AL391" s="231">
        <f ca="1" t="shared" si="84"/>
        <v>1.45776573081101e-10</v>
      </c>
      <c r="AN391" s="12">
        <v>750</v>
      </c>
      <c r="AO391" s="231">
        <f ca="1" t="shared" si="85"/>
        <v>2.75820418505507e-10</v>
      </c>
      <c r="AP391" s="231">
        <f ca="1" t="shared" si="86"/>
        <v>1.16859494060724e-5</v>
      </c>
      <c r="AQ391" s="231">
        <f ca="1" t="shared" si="87"/>
        <v>0.000142074388506554</v>
      </c>
      <c r="AR391" s="231">
        <f ca="1" t="shared" si="88"/>
        <v>4.94954695786263e-7</v>
      </c>
      <c r="AS391" s="231">
        <f ca="1" t="shared" si="89"/>
        <v>7.12522688339916e-8</v>
      </c>
    </row>
    <row r="392" ht="15" hidden="1" customHeight="1" spans="3:45">
      <c r="C392" s="221"/>
      <c r="D392" s="221"/>
      <c r="E392" s="221"/>
      <c r="F392" s="221"/>
      <c r="G392" s="221"/>
      <c r="I392" s="12">
        <v>751</v>
      </c>
      <c r="J392" s="230">
        <v>0.0001118595</v>
      </c>
      <c r="L392" s="12">
        <v>751</v>
      </c>
      <c r="M392" s="230"/>
      <c r="N392" s="230">
        <v>9.02263e-6</v>
      </c>
      <c r="O392" s="230">
        <v>0.000129179</v>
      </c>
      <c r="P392" s="231">
        <v>7.16e-7</v>
      </c>
      <c r="Q392" s="230">
        <v>1.03202e-7</v>
      </c>
      <c r="S392" s="12">
        <v>751</v>
      </c>
      <c r="T392" s="230">
        <v>4.47039604283854e-10</v>
      </c>
      <c r="U392" s="230">
        <v>1.51371460076141e-5</v>
      </c>
      <c r="V392" s="230">
        <v>0.0001750165022078</v>
      </c>
      <c r="W392" s="231">
        <v>6.85875042318322e-7</v>
      </c>
      <c r="X392" s="230">
        <v>1.03177024691769e-7</v>
      </c>
      <c r="Z392" s="12">
        <v>751</v>
      </c>
      <c r="AA392" s="230">
        <f ca="1" t="shared" si="75"/>
        <v>4.47039604283854e-10</v>
      </c>
      <c r="AB392" s="230">
        <f ca="1" t="shared" si="76"/>
        <v>1.51371460076141e-5</v>
      </c>
      <c r="AC392" s="230">
        <f ca="1" t="shared" si="77"/>
        <v>0.0001750165022078</v>
      </c>
      <c r="AD392" s="230">
        <f ca="1" t="shared" si="78"/>
        <v>6.85875042318322e-7</v>
      </c>
      <c r="AE392" s="230">
        <f ca="1" t="shared" si="79"/>
        <v>1.03177024691769e-7</v>
      </c>
      <c r="AG392" s="12">
        <v>751</v>
      </c>
      <c r="AH392" s="231">
        <f ca="1" t="shared" si="80"/>
        <v>5.95259126875971e-13</v>
      </c>
      <c r="AI392" s="231">
        <f ca="1" t="shared" si="81"/>
        <v>2.01559866945594e-8</v>
      </c>
      <c r="AJ392" s="231">
        <f ca="1" t="shared" si="82"/>
        <v>2.33044610130226e-7</v>
      </c>
      <c r="AK392" s="231">
        <f ca="1" t="shared" si="83"/>
        <v>9.13282346628924e-10</v>
      </c>
      <c r="AL392" s="231">
        <f ca="1" t="shared" si="84"/>
        <v>1.37386184676124e-10</v>
      </c>
      <c r="AN392" s="12">
        <v>751</v>
      </c>
      <c r="AO392" s="231">
        <f ca="1" t="shared" si="85"/>
        <v>2.61914015825427e-10</v>
      </c>
      <c r="AP392" s="231">
        <f ca="1" t="shared" si="86"/>
        <v>1.09453417970662e-5</v>
      </c>
      <c r="AQ392" s="231">
        <f ca="1" t="shared" si="87"/>
        <v>0.000132666759694833</v>
      </c>
      <c r="AR392" s="231">
        <f ca="1" t="shared" si="88"/>
        <v>4.65531181218232e-7</v>
      </c>
      <c r="AS392" s="231">
        <f ca="1" t="shared" si="89"/>
        <v>6.71512380742654e-8</v>
      </c>
    </row>
    <row r="393" ht="15" hidden="1" customHeight="1" spans="3:45">
      <c r="C393" s="221"/>
      <c r="D393" s="221"/>
      <c r="E393" s="221"/>
      <c r="F393" s="221"/>
      <c r="G393" s="221"/>
      <c r="I393" s="12">
        <v>752</v>
      </c>
      <c r="J393" s="230">
        <v>0.0001043224</v>
      </c>
      <c r="L393" s="12">
        <v>752</v>
      </c>
      <c r="M393" s="230"/>
      <c r="N393" s="230">
        <v>8.45301e-6</v>
      </c>
      <c r="O393" s="230">
        <v>0.000120542</v>
      </c>
      <c r="P393" s="231">
        <v>6.75e-7</v>
      </c>
      <c r="Q393" s="230">
        <v>9.74005e-8</v>
      </c>
      <c r="S393" s="12">
        <v>752</v>
      </c>
      <c r="T393" s="230">
        <v>4.25125347562817e-10</v>
      </c>
      <c r="U393" s="230">
        <v>1.4199105956829e-5</v>
      </c>
      <c r="V393" s="230">
        <v>0.000163671476403926</v>
      </c>
      <c r="W393" s="231">
        <v>6.4606468141448e-7</v>
      </c>
      <c r="X393" s="230">
        <v>9.73834149707826e-8</v>
      </c>
      <c r="Z393" s="12">
        <v>752</v>
      </c>
      <c r="AA393" s="230">
        <f ca="1" t="shared" si="75"/>
        <v>4.25125347562817e-10</v>
      </c>
      <c r="AB393" s="230">
        <f ca="1" t="shared" si="76"/>
        <v>1.4199105956829e-5</v>
      </c>
      <c r="AC393" s="230">
        <f ca="1" t="shared" si="77"/>
        <v>0.000163671476403926</v>
      </c>
      <c r="AD393" s="230">
        <f ca="1" t="shared" si="78"/>
        <v>6.4606468141448e-7</v>
      </c>
      <c r="AE393" s="230">
        <f ca="1" t="shared" si="79"/>
        <v>9.73834149707826e-8</v>
      </c>
      <c r="AG393" s="12">
        <v>752</v>
      </c>
      <c r="AH393" s="231">
        <f ca="1" t="shared" si="80"/>
        <v>5.65326260056937e-13</v>
      </c>
      <c r="AI393" s="231">
        <f ca="1" t="shared" si="81"/>
        <v>1.88817898362088e-8</v>
      </c>
      <c r="AJ393" s="231">
        <f ca="1" t="shared" si="82"/>
        <v>2.17648239898838e-7</v>
      </c>
      <c r="AK393" s="231">
        <f ca="1" t="shared" si="83"/>
        <v>8.59128565710745e-10</v>
      </c>
      <c r="AL393" s="231">
        <f ca="1" t="shared" si="84"/>
        <v>1.29499222035615e-10</v>
      </c>
      <c r="AN393" s="12">
        <v>752</v>
      </c>
      <c r="AO393" s="231">
        <f ca="1" t="shared" si="85"/>
        <v>2.48743554425052e-10</v>
      </c>
      <c r="AP393" s="231">
        <f ca="1" t="shared" si="86"/>
        <v>1.02534123796311e-5</v>
      </c>
      <c r="AQ393" s="231">
        <f ca="1" t="shared" si="87"/>
        <v>0.000123901971920858</v>
      </c>
      <c r="AR393" s="231">
        <f ca="1" t="shared" si="88"/>
        <v>4.3792715088596e-7</v>
      </c>
      <c r="AS393" s="231">
        <f ca="1" t="shared" si="89"/>
        <v>6.3296270362598e-8</v>
      </c>
    </row>
    <row r="394" ht="15" hidden="1" customHeight="1" spans="3:45">
      <c r="C394" s="221"/>
      <c r="D394" s="221"/>
      <c r="E394" s="221"/>
      <c r="F394" s="221"/>
      <c r="G394" s="221"/>
      <c r="I394" s="12">
        <v>753</v>
      </c>
      <c r="J394" s="230">
        <v>9.73356e-5</v>
      </c>
      <c r="L394" s="12">
        <v>753</v>
      </c>
      <c r="M394" s="230"/>
      <c r="N394" s="230">
        <v>7.92207e-6</v>
      </c>
      <c r="O394" s="230">
        <v>0.000112519</v>
      </c>
      <c r="P394" s="231">
        <v>6.37e-7</v>
      </c>
      <c r="Q394" s="230">
        <v>9.19274e-8</v>
      </c>
      <c r="S394" s="12">
        <v>753</v>
      </c>
      <c r="T394" s="230">
        <v>4.04338410967375e-10</v>
      </c>
      <c r="U394" s="230">
        <v>1.33214346918662e-5</v>
      </c>
      <c r="V394" s="230">
        <v>0.000153087242377516</v>
      </c>
      <c r="W394" s="231">
        <v>6.08663137012009e-7</v>
      </c>
      <c r="X394" s="230">
        <v>9.19293099120146e-8</v>
      </c>
      <c r="Z394" s="12">
        <v>753</v>
      </c>
      <c r="AA394" s="230">
        <f ca="1" t="shared" si="75"/>
        <v>4.04338410967375e-10</v>
      </c>
      <c r="AB394" s="230">
        <f ca="1" t="shared" si="76"/>
        <v>1.33214346918662e-5</v>
      </c>
      <c r="AC394" s="230">
        <f ca="1" t="shared" si="77"/>
        <v>0.000153087242377516</v>
      </c>
      <c r="AD394" s="230">
        <f ca="1" t="shared" si="78"/>
        <v>6.08663137012009e-7</v>
      </c>
      <c r="AE394" s="230">
        <f ca="1" t="shared" si="79"/>
        <v>9.19293099120146e-8</v>
      </c>
      <c r="AG394" s="12">
        <v>753</v>
      </c>
      <c r="AH394" s="231">
        <f ca="1" t="shared" si="80"/>
        <v>5.36970001284695e-13</v>
      </c>
      <c r="AI394" s="231">
        <f ca="1" t="shared" si="81"/>
        <v>1.76911483291716e-8</v>
      </c>
      <c r="AJ394" s="231">
        <f ca="1" t="shared" si="82"/>
        <v>2.03303110727113e-7</v>
      </c>
      <c r="AK394" s="231">
        <f ca="1" t="shared" si="83"/>
        <v>8.08317579033213e-10</v>
      </c>
      <c r="AL394" s="231">
        <f ca="1" t="shared" si="84"/>
        <v>1.22084076908386e-10</v>
      </c>
      <c r="AN394" s="12">
        <v>753</v>
      </c>
      <c r="AO394" s="231">
        <f ca="1" t="shared" si="85"/>
        <v>2.36266800565266e-10</v>
      </c>
      <c r="AP394" s="231">
        <f ca="1" t="shared" si="86"/>
        <v>9.60685617527453e-6</v>
      </c>
      <c r="AQ394" s="231">
        <f ca="1" t="shared" si="87"/>
        <v>0.000115735630705959</v>
      </c>
      <c r="AR394" s="231">
        <f ca="1" t="shared" si="88"/>
        <v>4.12027056863376e-7</v>
      </c>
      <c r="AS394" s="231">
        <f ca="1" t="shared" si="89"/>
        <v>5.96719163056916e-8</v>
      </c>
    </row>
    <row r="395" ht="15" hidden="1" customHeight="1" spans="3:45">
      <c r="C395" s="221"/>
      <c r="D395" s="221"/>
      <c r="E395" s="221"/>
      <c r="F395" s="221"/>
      <c r="G395" s="221"/>
      <c r="I395" s="12">
        <v>754</v>
      </c>
      <c r="J395" s="230">
        <v>9.084587e-5</v>
      </c>
      <c r="L395" s="12">
        <v>754</v>
      </c>
      <c r="M395" s="230"/>
      <c r="N395" s="230">
        <v>7.427e-6</v>
      </c>
      <c r="O395" s="230">
        <v>0.000105061</v>
      </c>
      <c r="P395" s="231">
        <v>6.01e-7</v>
      </c>
      <c r="Q395" s="230">
        <v>8.67807e-8</v>
      </c>
      <c r="S395" s="12">
        <v>754</v>
      </c>
      <c r="T395" s="230">
        <v>3.84621006480692e-10</v>
      </c>
      <c r="U395" s="230">
        <v>1.25001147553794e-5</v>
      </c>
      <c r="V395" s="230">
        <v>0.000143210216074284</v>
      </c>
      <c r="W395" s="231">
        <v>5.73519250733269e-7</v>
      </c>
      <c r="X395" s="230">
        <v>8.67942590500972e-8</v>
      </c>
      <c r="Z395" s="12">
        <v>754</v>
      </c>
      <c r="AA395" s="230">
        <f ca="1" t="shared" si="75"/>
        <v>3.84621006480692e-10</v>
      </c>
      <c r="AB395" s="230">
        <f ca="1" t="shared" si="76"/>
        <v>1.25001147553794e-5</v>
      </c>
      <c r="AC395" s="230">
        <f ca="1" t="shared" si="77"/>
        <v>0.000143210216074284</v>
      </c>
      <c r="AD395" s="230">
        <f ca="1" t="shared" si="78"/>
        <v>5.73519250733269e-7</v>
      </c>
      <c r="AE395" s="230">
        <f ca="1" t="shared" si="79"/>
        <v>8.67942590500972e-8</v>
      </c>
      <c r="AG395" s="12">
        <v>754</v>
      </c>
      <c r="AH395" s="231">
        <f ca="1" t="shared" si="80"/>
        <v>5.10107435650785e-13</v>
      </c>
      <c r="AI395" s="231">
        <f ca="1" t="shared" si="81"/>
        <v>1.65784015323334e-8</v>
      </c>
      <c r="AJ395" s="231">
        <f ca="1" t="shared" si="82"/>
        <v>1.89933973573321e-7</v>
      </c>
      <c r="AK395" s="231">
        <f ca="1" t="shared" si="83"/>
        <v>7.60635611052081e-10</v>
      </c>
      <c r="AL395" s="231">
        <f ca="1" t="shared" si="84"/>
        <v>1.15111749403312e-10</v>
      </c>
      <c r="AN395" s="12">
        <v>754</v>
      </c>
      <c r="AO395" s="231">
        <f ca="1" t="shared" si="85"/>
        <v>2.24447271686346e-10</v>
      </c>
      <c r="AP395" s="231">
        <f ca="1" t="shared" si="86"/>
        <v>9.00259927584565e-6</v>
      </c>
      <c r="AQ395" s="231">
        <f ca="1" t="shared" si="87"/>
        <v>0.000108124898558503</v>
      </c>
      <c r="AR395" s="231">
        <f ca="1" t="shared" si="88"/>
        <v>3.87721930459695e-7</v>
      </c>
      <c r="AS395" s="231">
        <f ca="1" t="shared" si="89"/>
        <v>5.62640014172426e-8</v>
      </c>
    </row>
    <row r="396" ht="15" hidden="1" customHeight="1" spans="3:45">
      <c r="C396" s="221"/>
      <c r="D396" s="221"/>
      <c r="E396" s="221"/>
      <c r="F396" s="221"/>
      <c r="G396" s="221"/>
      <c r="I396" s="12">
        <v>755</v>
      </c>
      <c r="J396" s="230">
        <v>8.48e-5</v>
      </c>
      <c r="L396" s="12">
        <v>755</v>
      </c>
      <c r="M396" s="230"/>
      <c r="N396" s="230">
        <v>6.96522e-6</v>
      </c>
      <c r="O396" s="230">
        <v>9.81226e-5</v>
      </c>
      <c r="P396" s="231">
        <v>5.67e-7</v>
      </c>
      <c r="Q396" s="230">
        <v>8.19587e-8</v>
      </c>
      <c r="S396" s="12">
        <v>755</v>
      </c>
      <c r="T396" s="230">
        <v>3.65913135490967e-10</v>
      </c>
      <c r="U396" s="230">
        <v>1.17313772290924e-5</v>
      </c>
      <c r="V396" s="230">
        <v>0.000133992348772198</v>
      </c>
      <c r="W396" s="231">
        <v>5.40490419200155e-7</v>
      </c>
      <c r="X396" s="230">
        <v>8.19586884584814e-8</v>
      </c>
      <c r="Z396" s="12">
        <v>755</v>
      </c>
      <c r="AA396" s="230">
        <f ca="1" t="shared" si="75"/>
        <v>3.65913135490967e-10</v>
      </c>
      <c r="AB396" s="230">
        <f ca="1" t="shared" si="76"/>
        <v>1.17313772290924e-5</v>
      </c>
      <c r="AC396" s="230">
        <f ca="1" t="shared" si="77"/>
        <v>0.000133992348772198</v>
      </c>
      <c r="AD396" s="230">
        <f ca="1" t="shared" si="78"/>
        <v>5.40490419200155e-7</v>
      </c>
      <c r="AE396" s="230">
        <f ca="1" t="shared" si="79"/>
        <v>8.19586884584814e-8</v>
      </c>
      <c r="AG396" s="12">
        <v>755</v>
      </c>
      <c r="AH396" s="231">
        <f ca="1" t="shared" si="80"/>
        <v>4.84653159590685e-13</v>
      </c>
      <c r="AI396" s="231">
        <f ca="1" t="shared" si="81"/>
        <v>1.55382479855528e-8</v>
      </c>
      <c r="AJ396" s="231">
        <f ca="1" t="shared" si="82"/>
        <v>1.7747330963205e-7</v>
      </c>
      <c r="AK396" s="231">
        <f ca="1" t="shared" si="83"/>
        <v>7.1588134993398e-10</v>
      </c>
      <c r="AL396" s="231">
        <f ca="1" t="shared" si="84"/>
        <v>1.08554554249644e-10</v>
      </c>
      <c r="AN396" s="12">
        <v>755</v>
      </c>
      <c r="AO396" s="231">
        <f ca="1" t="shared" si="85"/>
        <v>2.13247390219901e-10</v>
      </c>
      <c r="AP396" s="231">
        <f ca="1" t="shared" si="86"/>
        <v>8.43776281988504e-6</v>
      </c>
      <c r="AQ396" s="231">
        <f ca="1" t="shared" si="87"/>
        <v>0.000101031338626733</v>
      </c>
      <c r="AR396" s="231">
        <f ca="1" t="shared" si="88"/>
        <v>3.64909156162938e-7</v>
      </c>
      <c r="AS396" s="231">
        <f ca="1" t="shared" si="89"/>
        <v>5.30589937674459e-8</v>
      </c>
    </row>
    <row r="397" ht="15" hidden="1" customHeight="1" spans="3:45">
      <c r="C397" s="221"/>
      <c r="D397" s="221"/>
      <c r="E397" s="221"/>
      <c r="F397" s="221"/>
      <c r="G397" s="221"/>
      <c r="I397" s="12">
        <v>756</v>
      </c>
      <c r="J397" s="230">
        <v>7.914667e-5</v>
      </c>
      <c r="L397" s="12">
        <v>756</v>
      </c>
      <c r="M397" s="230"/>
      <c r="N397" s="230">
        <v>6.53422e-6</v>
      </c>
      <c r="O397" s="230">
        <v>9.16641e-5</v>
      </c>
      <c r="P397" s="231">
        <v>5.35e-7</v>
      </c>
      <c r="Q397" s="230">
        <v>7.74202e-8</v>
      </c>
      <c r="S397" s="12">
        <v>756</v>
      </c>
      <c r="T397" s="230">
        <v>3.48162506278146e-10</v>
      </c>
      <c r="U397" s="230">
        <v>1.10117920132131e-5</v>
      </c>
      <c r="V397" s="230">
        <v>0.00012538829586969</v>
      </c>
      <c r="W397" s="231">
        <v>5.09444643196365e-7</v>
      </c>
      <c r="X397" s="230">
        <v>7.74042844077423e-8</v>
      </c>
      <c r="Z397" s="12">
        <v>756</v>
      </c>
      <c r="AA397" s="230">
        <f ca="1" t="shared" si="75"/>
        <v>3.48162506278146e-10</v>
      </c>
      <c r="AB397" s="230">
        <f ca="1" t="shared" si="76"/>
        <v>1.10117920132131e-5</v>
      </c>
      <c r="AC397" s="230">
        <f ca="1" t="shared" si="77"/>
        <v>0.00012538829586969</v>
      </c>
      <c r="AD397" s="230">
        <f ca="1" t="shared" si="78"/>
        <v>5.09444643196365e-7</v>
      </c>
      <c r="AE397" s="230">
        <f ca="1" t="shared" si="79"/>
        <v>7.74042844077423e-8</v>
      </c>
      <c r="AG397" s="12">
        <v>756</v>
      </c>
      <c r="AH397" s="231">
        <f ca="1" t="shared" si="80"/>
        <v>4.60532415711833e-13</v>
      </c>
      <c r="AI397" s="231">
        <f ca="1" t="shared" si="81"/>
        <v>1.45658624513401e-8</v>
      </c>
      <c r="AJ397" s="231">
        <f ca="1" t="shared" si="82"/>
        <v>1.65857534219167e-7</v>
      </c>
      <c r="AK397" s="231">
        <f ca="1" t="shared" si="83"/>
        <v>6.73868575656567e-10</v>
      </c>
      <c r="AL397" s="231">
        <f ca="1" t="shared" si="84"/>
        <v>1.02386619586961e-10</v>
      </c>
      <c r="AN397" s="12">
        <v>756</v>
      </c>
      <c r="AO397" s="231">
        <f ca="1" t="shared" si="85"/>
        <v>2.02634262913207e-10</v>
      </c>
      <c r="AP397" s="231">
        <f ca="1" t="shared" si="86"/>
        <v>7.90972654997848e-6</v>
      </c>
      <c r="AQ397" s="231">
        <f ca="1" t="shared" si="87"/>
        <v>9.44187536606659e-5</v>
      </c>
      <c r="AR397" s="231">
        <f ca="1" t="shared" si="88"/>
        <v>3.43493811272268e-7</v>
      </c>
      <c r="AS397" s="231">
        <f ca="1" t="shared" si="89"/>
        <v>5.00442477801635e-8</v>
      </c>
    </row>
    <row r="398" ht="15" hidden="1" customHeight="1" spans="3:45">
      <c r="C398" s="221"/>
      <c r="D398" s="221"/>
      <c r="E398" s="221"/>
      <c r="F398" s="221"/>
      <c r="G398" s="221"/>
      <c r="I398" s="12">
        <v>757</v>
      </c>
      <c r="J398" s="230">
        <v>7.3858e-5</v>
      </c>
      <c r="L398" s="12">
        <v>757</v>
      </c>
      <c r="M398" s="230"/>
      <c r="N398" s="230">
        <v>6.13129e-6</v>
      </c>
      <c r="O398" s="230">
        <v>8.56455e-5</v>
      </c>
      <c r="P398" s="231">
        <v>5.05e-7</v>
      </c>
      <c r="Q398" s="230">
        <v>7.31243e-8</v>
      </c>
      <c r="S398" s="12">
        <v>757</v>
      </c>
      <c r="T398" s="230">
        <v>3.31317213404312e-10</v>
      </c>
      <c r="U398" s="230">
        <v>1.03380350437378e-5</v>
      </c>
      <c r="V398" s="230">
        <v>0.000117355378908567</v>
      </c>
      <c r="W398" s="231">
        <v>4.80257327711578e-7</v>
      </c>
      <c r="X398" s="230">
        <v>7.3114245051108e-8</v>
      </c>
      <c r="Z398" s="12">
        <v>757</v>
      </c>
      <c r="AA398" s="230">
        <f ca="1" t="shared" si="75"/>
        <v>3.31317213404312e-10</v>
      </c>
      <c r="AB398" s="230">
        <f ca="1" t="shared" si="76"/>
        <v>1.03380350437378e-5</v>
      </c>
      <c r="AC398" s="230">
        <f ca="1" t="shared" si="77"/>
        <v>0.000117355378908567</v>
      </c>
      <c r="AD398" s="230">
        <f ca="1" t="shared" si="78"/>
        <v>4.80257327711578e-7</v>
      </c>
      <c r="AE398" s="230">
        <f ca="1" t="shared" si="79"/>
        <v>7.3114245051108e-8</v>
      </c>
      <c r="AG398" s="12">
        <v>757</v>
      </c>
      <c r="AH398" s="231">
        <f ca="1" t="shared" si="80"/>
        <v>4.37671351921152e-13</v>
      </c>
      <c r="AI398" s="231">
        <f ca="1" t="shared" si="81"/>
        <v>1.36565852625334e-8</v>
      </c>
      <c r="AJ398" s="231">
        <f ca="1" t="shared" si="82"/>
        <v>1.55026920618979e-7</v>
      </c>
      <c r="AK398" s="231">
        <f ca="1" t="shared" si="83"/>
        <v>6.34421833172494e-10</v>
      </c>
      <c r="AL398" s="231">
        <f ca="1" t="shared" si="84"/>
        <v>9.65842074651361e-11</v>
      </c>
      <c r="AN398" s="12">
        <v>757</v>
      </c>
      <c r="AO398" s="231">
        <f ca="1" t="shared" si="85"/>
        <v>1.92575394845307e-10</v>
      </c>
      <c r="AP398" s="231">
        <f ca="1" t="shared" si="86"/>
        <v>7.4159601186655e-6</v>
      </c>
      <c r="AQ398" s="231">
        <f ca="1" t="shared" si="87"/>
        <v>8.82531426600906e-5</v>
      </c>
      <c r="AR398" s="231">
        <f ca="1" t="shared" si="88"/>
        <v>3.23386460361998e-7</v>
      </c>
      <c r="AS398" s="231">
        <f ca="1" t="shared" si="89"/>
        <v>4.72081608860104e-8</v>
      </c>
    </row>
    <row r="399" ht="15" hidden="1" customHeight="1" spans="3:45">
      <c r="C399" s="221"/>
      <c r="D399" s="221"/>
      <c r="E399" s="221"/>
      <c r="F399" s="221"/>
      <c r="G399" s="221"/>
      <c r="I399" s="12">
        <v>758</v>
      </c>
      <c r="J399" s="230">
        <v>6.8916e-5</v>
      </c>
      <c r="L399" s="12">
        <v>758</v>
      </c>
      <c r="M399" s="230"/>
      <c r="N399" s="230">
        <v>5.75391e-6</v>
      </c>
      <c r="O399" s="230">
        <v>8.00302e-5</v>
      </c>
      <c r="P399" s="231">
        <v>4.77e-7</v>
      </c>
      <c r="Q399" s="230">
        <v>6.90693e-8</v>
      </c>
      <c r="S399" s="12">
        <v>758</v>
      </c>
      <c r="T399" s="230">
        <v>3.15329062779711e-10</v>
      </c>
      <c r="U399" s="230">
        <v>9.70713344594375e-6</v>
      </c>
      <c r="V399" s="230">
        <v>0.000109855296351934</v>
      </c>
      <c r="W399" s="231">
        <v>4.52814160769751e-7</v>
      </c>
      <c r="X399" s="230">
        <v>6.9072472154065e-8</v>
      </c>
      <c r="Z399" s="12">
        <v>758</v>
      </c>
      <c r="AA399" s="230">
        <f ca="1" t="shared" si="75"/>
        <v>3.15329062779711e-10</v>
      </c>
      <c r="AB399" s="230">
        <f ca="1" t="shared" si="76"/>
        <v>9.70713344594375e-6</v>
      </c>
      <c r="AC399" s="230">
        <f ca="1" t="shared" si="77"/>
        <v>0.000109855296351934</v>
      </c>
      <c r="AD399" s="230">
        <f ca="1" t="shared" si="78"/>
        <v>4.52814160769751e-7</v>
      </c>
      <c r="AE399" s="230">
        <f ca="1" t="shared" si="79"/>
        <v>6.9072472154065e-8</v>
      </c>
      <c r="AG399" s="12">
        <v>758</v>
      </c>
      <c r="AH399" s="231">
        <f ca="1" t="shared" si="80"/>
        <v>4.16001402084051e-13</v>
      </c>
      <c r="AI399" s="231">
        <f ca="1" t="shared" si="81"/>
        <v>1.28062446516408e-8</v>
      </c>
      <c r="AJ399" s="231">
        <f ca="1" t="shared" si="82"/>
        <v>1.44927831598858e-7</v>
      </c>
      <c r="AK399" s="231">
        <f ca="1" t="shared" si="83"/>
        <v>5.97380159326848e-10</v>
      </c>
      <c r="AL399" s="231">
        <f ca="1" t="shared" si="84"/>
        <v>9.11246334486346e-11</v>
      </c>
      <c r="AN399" s="12">
        <v>758</v>
      </c>
      <c r="AO399" s="231">
        <f ca="1" t="shared" si="85"/>
        <v>1.83040616916983e-10</v>
      </c>
      <c r="AP399" s="231">
        <f ca="1" t="shared" si="86"/>
        <v>6.954198123523e-6</v>
      </c>
      <c r="AQ399" s="231">
        <f ca="1" t="shared" si="87"/>
        <v>8.2503971222826e-5</v>
      </c>
      <c r="AR399" s="231">
        <f ca="1" t="shared" si="88"/>
        <v>3.04505055018607e-7</v>
      </c>
      <c r="AS399" s="231">
        <f ca="1" t="shared" si="89"/>
        <v>4.45396454495389e-8</v>
      </c>
    </row>
    <row r="400" ht="15" hidden="1" customHeight="1" spans="3:45">
      <c r="C400" s="221"/>
      <c r="D400" s="221"/>
      <c r="E400" s="221"/>
      <c r="F400" s="221"/>
      <c r="G400" s="221"/>
      <c r="I400" s="12">
        <v>759</v>
      </c>
      <c r="J400" s="230">
        <v>6.430267e-5</v>
      </c>
      <c r="L400" s="12">
        <v>759</v>
      </c>
      <c r="M400" s="230"/>
      <c r="N400" s="230">
        <v>5.39984e-6</v>
      </c>
      <c r="O400" s="230">
        <v>7.47858e-5</v>
      </c>
      <c r="P400" s="231">
        <v>4.5e-7</v>
      </c>
      <c r="Q400" s="230">
        <v>6.52534e-8</v>
      </c>
      <c r="S400" s="12">
        <v>759</v>
      </c>
      <c r="T400" s="230">
        <v>3.00151833071204e-10</v>
      </c>
      <c r="U400" s="230">
        <v>9.11622425315527e-6</v>
      </c>
      <c r="V400" s="230">
        <v>0.000102851114004157</v>
      </c>
      <c r="W400" s="231">
        <v>4.2700503892478e-7</v>
      </c>
      <c r="X400" s="230">
        <v>6.52640468901564e-8</v>
      </c>
      <c r="Z400" s="12">
        <v>759</v>
      </c>
      <c r="AA400" s="230">
        <f ca="1" t="shared" si="75"/>
        <v>3.00151833071204e-10</v>
      </c>
      <c r="AB400" s="230">
        <f ca="1" t="shared" si="76"/>
        <v>9.11622425315527e-6</v>
      </c>
      <c r="AC400" s="230">
        <f ca="1" t="shared" si="77"/>
        <v>0.000102851114004157</v>
      </c>
      <c r="AD400" s="230">
        <f ca="1" t="shared" si="78"/>
        <v>4.2700503892478e-7</v>
      </c>
      <c r="AE400" s="230">
        <f ca="1" t="shared" si="79"/>
        <v>6.52640468901564e-8</v>
      </c>
      <c r="AG400" s="12">
        <v>759</v>
      </c>
      <c r="AH400" s="231">
        <f ca="1" t="shared" si="80"/>
        <v>3.95456960568121e-13</v>
      </c>
      <c r="AI400" s="231">
        <f ca="1" t="shared" si="81"/>
        <v>1.20108356431558e-8</v>
      </c>
      <c r="AJ400" s="231">
        <f ca="1" t="shared" si="82"/>
        <v>1.35508714102974e-7</v>
      </c>
      <c r="AK400" s="231">
        <f ca="1" t="shared" si="83"/>
        <v>5.62588984090619e-10</v>
      </c>
      <c r="AL400" s="231">
        <f ca="1" t="shared" si="84"/>
        <v>8.59868865482957e-11</v>
      </c>
      <c r="AN400" s="12">
        <v>759</v>
      </c>
      <c r="AO400" s="231">
        <f ca="1" t="shared" si="85"/>
        <v>1.74001062649973e-10</v>
      </c>
      <c r="AP400" s="231">
        <f ca="1" t="shared" si="86"/>
        <v>6.5222657354805e-6</v>
      </c>
      <c r="AQ400" s="231">
        <f ca="1" t="shared" si="87"/>
        <v>7.71418914190256e-5</v>
      </c>
      <c r="AR400" s="231">
        <f ca="1" t="shared" si="88"/>
        <v>2.86770805623034e-7</v>
      </c>
      <c r="AS400" s="231">
        <f ca="1" t="shared" si="89"/>
        <v>4.20284317777764e-8</v>
      </c>
    </row>
    <row r="401" ht="15" hidden="1" customHeight="1" spans="3:45">
      <c r="C401" s="221"/>
      <c r="D401" s="221"/>
      <c r="E401" s="221"/>
      <c r="F401" s="221"/>
      <c r="G401" s="221"/>
      <c r="I401" s="12">
        <v>760</v>
      </c>
      <c r="J401" s="230">
        <v>6e-5</v>
      </c>
      <c r="L401" s="12">
        <v>760</v>
      </c>
      <c r="M401" s="230"/>
      <c r="N401" s="230">
        <v>5.06711e-6</v>
      </c>
      <c r="O401" s="230">
        <v>6.98827e-5</v>
      </c>
      <c r="P401" s="231">
        <v>4.25e-7</v>
      </c>
      <c r="Q401" s="230">
        <v>6.16749e-8</v>
      </c>
      <c r="S401" s="12">
        <v>760</v>
      </c>
      <c r="T401" s="230">
        <v>2.85742605197475e-10</v>
      </c>
      <c r="U401" s="230">
        <v>8.56270535325167e-6</v>
      </c>
      <c r="V401" s="230">
        <v>9.63090280531915e-5</v>
      </c>
      <c r="W401" s="231">
        <v>4.02730943919266e-7</v>
      </c>
      <c r="X401" s="230">
        <v>6.16749775391445e-8</v>
      </c>
      <c r="Z401" s="12">
        <v>760</v>
      </c>
      <c r="AA401" s="230">
        <f ca="1" t="shared" si="75"/>
        <v>2.85742605197475e-10</v>
      </c>
      <c r="AB401" s="230">
        <f ca="1" t="shared" si="76"/>
        <v>8.56270535325167e-6</v>
      </c>
      <c r="AC401" s="230">
        <f ca="1" t="shared" si="77"/>
        <v>9.63090280531915e-5</v>
      </c>
      <c r="AD401" s="230">
        <f ca="1" t="shared" si="78"/>
        <v>4.02730943919266e-7</v>
      </c>
      <c r="AE401" s="230">
        <f ca="1" t="shared" si="79"/>
        <v>6.16749775391445e-8</v>
      </c>
      <c r="AG401" s="12">
        <v>760</v>
      </c>
      <c r="AH401" s="231">
        <f ca="1" t="shared" si="80"/>
        <v>3.75977112101941e-13</v>
      </c>
      <c r="AI401" s="231">
        <f ca="1" t="shared" si="81"/>
        <v>1.1266717570068e-8</v>
      </c>
      <c r="AJ401" s="231">
        <f ca="1" t="shared" si="82"/>
        <v>1.26722405333147e-7</v>
      </c>
      <c r="AK401" s="231">
        <f ca="1" t="shared" si="83"/>
        <v>5.29909136735876e-10</v>
      </c>
      <c r="AL401" s="231">
        <f ca="1" t="shared" si="84"/>
        <v>8.11512862357165e-11</v>
      </c>
      <c r="AN401" s="12">
        <v>760</v>
      </c>
      <c r="AO401" s="231">
        <f ca="1" t="shared" si="85"/>
        <v>1.65429929324854e-10</v>
      </c>
      <c r="AP401" s="231">
        <f ca="1" t="shared" si="86"/>
        <v>6.11818595656702e-6</v>
      </c>
      <c r="AQ401" s="231">
        <f ca="1" t="shared" si="87"/>
        <v>7.21400545882151e-5</v>
      </c>
      <c r="AR401" s="231">
        <f ca="1" t="shared" si="88"/>
        <v>2.70112772105534e-7</v>
      </c>
      <c r="AS401" s="231">
        <f ca="1" t="shared" si="89"/>
        <v>3.96649004766671e-8</v>
      </c>
    </row>
    <row r="402" ht="15" hidden="1" customHeight="1" spans="3:45">
      <c r="C402" s="221"/>
      <c r="D402" s="221"/>
      <c r="E402" s="221"/>
      <c r="F402" s="221"/>
      <c r="G402" s="221"/>
      <c r="I402" s="12">
        <v>761</v>
      </c>
      <c r="J402" s="230">
        <v>5.598187e-5</v>
      </c>
      <c r="L402" s="12">
        <v>761</v>
      </c>
      <c r="M402" s="230"/>
      <c r="N402" s="230">
        <v>4.75413e-6</v>
      </c>
      <c r="O402" s="230">
        <v>6.52966e-5</v>
      </c>
      <c r="P402" s="231">
        <v>4.01e-7</v>
      </c>
      <c r="Q402" s="230">
        <v>5.83044e-8</v>
      </c>
      <c r="S402" s="12">
        <v>761</v>
      </c>
      <c r="T402" s="230">
        <v>2.72067082811118e-10</v>
      </c>
      <c r="U402" s="230">
        <v>8.04429521035967e-6</v>
      </c>
      <c r="V402" s="230">
        <v>9.01998883562763e-5</v>
      </c>
      <c r="W402" s="231">
        <v>3.7990411699509e-7</v>
      </c>
      <c r="X402" s="230">
        <v>5.82933481134311e-8</v>
      </c>
      <c r="Z402" s="12">
        <v>761</v>
      </c>
      <c r="AA402" s="230">
        <f ca="1" t="shared" si="75"/>
        <v>2.72067082811118e-10</v>
      </c>
      <c r="AB402" s="230">
        <f ca="1" t="shared" si="76"/>
        <v>8.04429521035967e-6</v>
      </c>
      <c r="AC402" s="230">
        <f ca="1" t="shared" si="77"/>
        <v>9.01998883562763e-5</v>
      </c>
      <c r="AD402" s="230">
        <f ca="1" t="shared" si="78"/>
        <v>3.7990411699509e-7</v>
      </c>
      <c r="AE402" s="230">
        <f ca="1" t="shared" si="79"/>
        <v>5.82933481134311e-8</v>
      </c>
      <c r="AG402" s="12">
        <v>761</v>
      </c>
      <c r="AH402" s="231">
        <f ca="1" t="shared" si="80"/>
        <v>3.57512592393059e-13</v>
      </c>
      <c r="AI402" s="231">
        <f ca="1" t="shared" si="81"/>
        <v>1.05706901581599e-8</v>
      </c>
      <c r="AJ402" s="231">
        <f ca="1" t="shared" si="82"/>
        <v>1.18528105593004e-7</v>
      </c>
      <c r="AK402" s="231">
        <f ca="1" t="shared" si="83"/>
        <v>4.99216973712339e-10</v>
      </c>
      <c r="AL402" s="231">
        <f ca="1" t="shared" si="84"/>
        <v>7.66009830662695e-11</v>
      </c>
      <c r="AN402" s="12">
        <v>761</v>
      </c>
      <c r="AO402" s="231">
        <f ca="1" t="shared" si="85"/>
        <v>1.57305540652946e-10</v>
      </c>
      <c r="AP402" s="231">
        <f ca="1" t="shared" si="86"/>
        <v>5.740220936104e-6</v>
      </c>
      <c r="AQ402" s="231">
        <f ca="1" t="shared" si="87"/>
        <v>6.74752344326002e-5</v>
      </c>
      <c r="AR402" s="231">
        <f ca="1" t="shared" si="88"/>
        <v>2.54467929128738e-7</v>
      </c>
      <c r="AS402" s="231">
        <f ca="1" t="shared" si="89"/>
        <v>3.74408159214264e-8</v>
      </c>
    </row>
    <row r="403" ht="15" hidden="1" customHeight="1" spans="3:45">
      <c r="C403" s="221"/>
      <c r="D403" s="221"/>
      <c r="E403" s="221"/>
      <c r="F403" s="221"/>
      <c r="G403" s="221"/>
      <c r="I403" s="12">
        <v>762</v>
      </c>
      <c r="J403" s="230">
        <v>5.22256e-5</v>
      </c>
      <c r="L403" s="12">
        <v>762</v>
      </c>
      <c r="M403" s="230"/>
      <c r="N403" s="230">
        <v>4.46019e-6</v>
      </c>
      <c r="O403" s="230">
        <v>6.10128e-5</v>
      </c>
      <c r="P403" s="232">
        <v>3.79e-7</v>
      </c>
      <c r="Q403" s="230">
        <v>5.51124e-8</v>
      </c>
      <c r="S403" s="12">
        <v>762</v>
      </c>
      <c r="T403" s="230">
        <v>2.59080066586231e-10</v>
      </c>
      <c r="U403" s="230">
        <v>7.55850665860826e-6</v>
      </c>
      <c r="V403" s="230">
        <v>8.44918851443845e-5</v>
      </c>
      <c r="W403" s="232">
        <v>3.58426408043714e-7</v>
      </c>
      <c r="X403" s="230">
        <v>5.51053797996911e-8</v>
      </c>
      <c r="Z403" s="12">
        <v>762</v>
      </c>
      <c r="AA403" s="230">
        <f ca="1" t="shared" si="75"/>
        <v>2.59080066586231e-10</v>
      </c>
      <c r="AB403" s="230">
        <f ca="1" t="shared" si="76"/>
        <v>7.55850665860826e-6</v>
      </c>
      <c r="AC403" s="230">
        <f ca="1" t="shared" si="77"/>
        <v>8.44918851443845e-5</v>
      </c>
      <c r="AD403" s="230">
        <f ca="1" t="shared" si="78"/>
        <v>3.58426408043714e-7</v>
      </c>
      <c r="AE403" s="230">
        <f ca="1" t="shared" si="79"/>
        <v>5.51053797996911e-8</v>
      </c>
      <c r="AG403" s="12">
        <v>762</v>
      </c>
      <c r="AH403" s="231">
        <f ca="1" t="shared" si="80"/>
        <v>3.40000087383505e-13</v>
      </c>
      <c r="AI403" s="231">
        <f ca="1" t="shared" si="81"/>
        <v>9.91930007691373e-9</v>
      </c>
      <c r="AJ403" s="231">
        <f ca="1" t="shared" si="82"/>
        <v>1.10881739034625e-7</v>
      </c>
      <c r="AK403" s="231">
        <f ca="1" t="shared" si="83"/>
        <v>4.70375863574428e-10</v>
      </c>
      <c r="AL403" s="231">
        <f ca="1" t="shared" si="84"/>
        <v>7.23167713906707e-11</v>
      </c>
      <c r="AN403" s="12">
        <v>762</v>
      </c>
      <c r="AO403" s="231">
        <f ca="1" t="shared" si="85"/>
        <v>1.49600038448742e-10</v>
      </c>
      <c r="AP403" s="231">
        <f ca="1" t="shared" si="86"/>
        <v>5.38649540579382e-6</v>
      </c>
      <c r="AQ403" s="231">
        <f ca="1" t="shared" si="87"/>
        <v>6.3122339619147e-5</v>
      </c>
      <c r="AR403" s="231">
        <f ca="1" t="shared" si="88"/>
        <v>2.39766630981778e-7</v>
      </c>
      <c r="AS403" s="231">
        <f ca="1" t="shared" si="89"/>
        <v>3.53467908280963e-8</v>
      </c>
    </row>
    <row r="404" ht="15" hidden="1" customHeight="1" spans="3:45">
      <c r="C404" s="221"/>
      <c r="D404" s="221"/>
      <c r="E404" s="221"/>
      <c r="F404" s="221"/>
      <c r="G404" s="221"/>
      <c r="I404" s="12">
        <v>763</v>
      </c>
      <c r="J404" s="230">
        <v>4.87184e-5</v>
      </c>
      <c r="L404" s="12">
        <v>763</v>
      </c>
      <c r="M404" s="230"/>
      <c r="N404" s="230">
        <v>4.18466e-6</v>
      </c>
      <c r="O404" s="230">
        <v>5.70183e-5</v>
      </c>
      <c r="P404" s="232">
        <v>3.58e-7</v>
      </c>
      <c r="Q404" s="230">
        <v>5.20972e-8</v>
      </c>
      <c r="S404" s="12">
        <v>763</v>
      </c>
      <c r="T404" s="230">
        <v>2.46745931225095e-10</v>
      </c>
      <c r="U404" s="230">
        <v>7.10321565276559e-6</v>
      </c>
      <c r="V404" s="230">
        <v>7.91578518487337e-5</v>
      </c>
      <c r="W404" s="232">
        <v>3.3821588401226e-7</v>
      </c>
      <c r="X404" s="230">
        <v>5.20995533374661e-8</v>
      </c>
      <c r="Z404" s="12">
        <v>763</v>
      </c>
      <c r="AA404" s="230">
        <f ca="1" t="shared" si="75"/>
        <v>2.46745931225095e-10</v>
      </c>
      <c r="AB404" s="230">
        <f ca="1" t="shared" si="76"/>
        <v>7.10321565276559e-6</v>
      </c>
      <c r="AC404" s="230">
        <f ca="1" t="shared" si="77"/>
        <v>7.91578518487337e-5</v>
      </c>
      <c r="AD404" s="230">
        <f ca="1" t="shared" si="78"/>
        <v>3.3821588401226e-7</v>
      </c>
      <c r="AE404" s="230">
        <f ca="1" t="shared" si="79"/>
        <v>5.20995533374661e-8</v>
      </c>
      <c r="AG404" s="12">
        <v>763</v>
      </c>
      <c r="AH404" s="231">
        <f ca="1" t="shared" si="80"/>
        <v>3.23389162811396e-13</v>
      </c>
      <c r="AI404" s="231">
        <f ca="1" t="shared" si="81"/>
        <v>9.30958801148832e-9</v>
      </c>
      <c r="AJ404" s="231">
        <f ca="1" t="shared" si="82"/>
        <v>1.03745546328616e-7</v>
      </c>
      <c r="AK404" s="231">
        <f ca="1" t="shared" si="83"/>
        <v>4.43271145494443e-10</v>
      </c>
      <c r="AL404" s="231">
        <f ca="1" t="shared" si="84"/>
        <v>6.82825076506764e-11</v>
      </c>
      <c r="AN404" s="12">
        <v>763</v>
      </c>
      <c r="AO404" s="231">
        <f ca="1" t="shared" si="85"/>
        <v>1.42291231637014e-10</v>
      </c>
      <c r="AP404" s="231">
        <f ca="1" t="shared" si="86"/>
        <v>5.05540236356247e-6</v>
      </c>
      <c r="AQ404" s="231">
        <f ca="1" t="shared" si="87"/>
        <v>5.90598746587466e-5</v>
      </c>
      <c r="AR404" s="231">
        <f ca="1" t="shared" si="88"/>
        <v>2.25950431127551e-7</v>
      </c>
      <c r="AS404" s="231">
        <f ca="1" t="shared" si="89"/>
        <v>3.33749345930799e-8</v>
      </c>
    </row>
    <row r="405" ht="15" hidden="1" customHeight="1" spans="3:45">
      <c r="C405" s="221"/>
      <c r="D405" s="221"/>
      <c r="E405" s="221"/>
      <c r="F405" s="221"/>
      <c r="G405" s="221"/>
      <c r="I405" s="12">
        <v>764</v>
      </c>
      <c r="J405" s="230">
        <v>4.544747e-5</v>
      </c>
      <c r="L405" s="12">
        <v>764</v>
      </c>
      <c r="M405" s="230"/>
      <c r="N405" s="230">
        <v>3.9269e-6</v>
      </c>
      <c r="O405" s="230">
        <v>5.32996e-5</v>
      </c>
      <c r="P405" s="232">
        <v>3.382e-7</v>
      </c>
      <c r="Q405" s="230">
        <v>4.92575e-8</v>
      </c>
      <c r="S405" s="12">
        <v>764</v>
      </c>
      <c r="T405" s="230">
        <v>2.35027672637315e-10</v>
      </c>
      <c r="U405" s="230">
        <v>6.67644076208779e-6</v>
      </c>
      <c r="V405" s="230">
        <v>7.4172684921979e-5</v>
      </c>
      <c r="W405" s="232">
        <v>3.1919347142973e-7</v>
      </c>
      <c r="X405" s="230">
        <v>4.92650581788763e-8</v>
      </c>
      <c r="Z405" s="12">
        <v>764</v>
      </c>
      <c r="AA405" s="230">
        <f ca="1" t="shared" ref="AA405:AA421" si="90">OFFSET(M405,0,$AA$8)</f>
        <v>2.35027672637315e-10</v>
      </c>
      <c r="AB405" s="230">
        <f ca="1" t="shared" ref="AB405:AB421" si="91">OFFSET(N405,0,$AA$8)</f>
        <v>6.67644076208779e-6</v>
      </c>
      <c r="AC405" s="230">
        <f ca="1" t="shared" ref="AC405:AC421" si="92">OFFSET(O405,0,$AA$8)</f>
        <v>7.4172684921979e-5</v>
      </c>
      <c r="AD405" s="230">
        <f ca="1" t="shared" ref="AD405:AD421" si="93">OFFSET(P405,0,$AA$8)</f>
        <v>3.1919347142973e-7</v>
      </c>
      <c r="AE405" s="230">
        <f ca="1" t="shared" ref="AE405:AE421" si="94">OFFSET(Q405,0,$AA$8)</f>
        <v>4.92650581788763e-8</v>
      </c>
      <c r="AG405" s="12">
        <v>764</v>
      </c>
      <c r="AH405" s="231">
        <f ca="1" t="shared" ref="AH405:AH421" si="95">AA405/$Z405</f>
        <v>3.07627843766119e-13</v>
      </c>
      <c r="AI405" s="231">
        <f ca="1" t="shared" ref="AI405:AI421" si="96">AB405/$Z405</f>
        <v>8.73879680901543e-9</v>
      </c>
      <c r="AJ405" s="231">
        <f ca="1" t="shared" ref="AJ405:AJ421" si="97">AC405/$Z405</f>
        <v>9.70846661282448e-8</v>
      </c>
      <c r="AK405" s="231">
        <f ca="1" t="shared" ref="AK405:AK421" si="98">AD405/$Z405</f>
        <v>4.17792501871374e-10</v>
      </c>
      <c r="AL405" s="231">
        <f ca="1" t="shared" ref="AL405:AL421" si="99">AE405/$Z405</f>
        <v>6.44830604435554e-11</v>
      </c>
      <c r="AN405" s="12">
        <v>764</v>
      </c>
      <c r="AO405" s="231">
        <f ca="1" t="shared" ref="AO405:AO421" si="100">IF(AH405=0,"",AH405/AH$11)</f>
        <v>1.35356251257092e-10</v>
      </c>
      <c r="AP405" s="231">
        <f ca="1" t="shared" ref="AP405:AP421" si="101">IF(AI405=0,"",AI405/AI$11)</f>
        <v>4.74544458771662e-6</v>
      </c>
      <c r="AQ405" s="231">
        <f ca="1" t="shared" ref="AQ405:AQ421" si="102">IF(AJ405=0,"",AJ405/AJ$11)</f>
        <v>5.5267993814968e-5</v>
      </c>
      <c r="AR405" s="231">
        <f ca="1" t="shared" ref="AR405:AR421" si="103">IF(AK405=0,"",AK405/AK$11)</f>
        <v>2.12963096919826e-7</v>
      </c>
      <c r="AS405" s="231">
        <f ca="1" t="shared" ref="AS405:AS421" si="104">IF(AL405=0,"",AL405/AL$11)</f>
        <v>3.15178513313425e-8</v>
      </c>
    </row>
    <row r="406" ht="15" hidden="1" customHeight="1" spans="3:45">
      <c r="C406" s="221"/>
      <c r="D406" s="221"/>
      <c r="E406" s="221"/>
      <c r="F406" s="221"/>
      <c r="G406" s="221"/>
      <c r="I406" s="12">
        <v>765</v>
      </c>
      <c r="J406" s="230">
        <v>4.24e-5</v>
      </c>
      <c r="L406" s="12">
        <v>765</v>
      </c>
      <c r="M406" s="230"/>
      <c r="N406" s="230">
        <v>3.68617e-6</v>
      </c>
      <c r="O406" s="230">
        <v>4.9843e-5</v>
      </c>
      <c r="P406" s="232">
        <v>3.196e-7</v>
      </c>
      <c r="Q406" s="230">
        <v>4.65916e-8</v>
      </c>
      <c r="S406" s="12">
        <v>765</v>
      </c>
      <c r="T406" s="230">
        <v>2.23896342943692e-10</v>
      </c>
      <c r="U406" s="230">
        <v>6.27631887117564e-6</v>
      </c>
      <c r="V406" s="230">
        <v>6.95126747704448e-5</v>
      </c>
      <c r="W406" s="232">
        <v>3.01287421071713e-7</v>
      </c>
      <c r="X406" s="230">
        <v>4.65916402528384e-8</v>
      </c>
      <c r="Z406" s="12">
        <v>765</v>
      </c>
      <c r="AA406" s="230">
        <f ca="1" t="shared" si="90"/>
        <v>2.23896342943692e-10</v>
      </c>
      <c r="AB406" s="230">
        <f ca="1" t="shared" si="91"/>
        <v>6.27631887117564e-6</v>
      </c>
      <c r="AC406" s="230">
        <f ca="1" t="shared" si="92"/>
        <v>6.95126747704448e-5</v>
      </c>
      <c r="AD406" s="230">
        <f ca="1" t="shared" si="93"/>
        <v>3.01287421071713e-7</v>
      </c>
      <c r="AE406" s="230">
        <f ca="1" t="shared" si="94"/>
        <v>4.65916402528384e-8</v>
      </c>
      <c r="AG406" s="12">
        <v>765</v>
      </c>
      <c r="AH406" s="231">
        <f ca="1" t="shared" si="95"/>
        <v>2.92674958096329e-13</v>
      </c>
      <c r="AI406" s="231">
        <f ca="1" t="shared" si="96"/>
        <v>8.20433839369365e-9</v>
      </c>
      <c r="AJ406" s="231">
        <f ca="1" t="shared" si="97"/>
        <v>9.08662415299932e-8</v>
      </c>
      <c r="AK406" s="231">
        <f ca="1" t="shared" si="98"/>
        <v>3.93839766106814e-10</v>
      </c>
      <c r="AL406" s="231">
        <f ca="1" t="shared" si="99"/>
        <v>6.09041049056711e-11</v>
      </c>
      <c r="AN406" s="12">
        <v>765</v>
      </c>
      <c r="AO406" s="231">
        <f ca="1" t="shared" si="100"/>
        <v>1.28776981562385e-10</v>
      </c>
      <c r="AP406" s="231">
        <f ca="1" t="shared" si="101"/>
        <v>4.45521667078739e-6</v>
      </c>
      <c r="AQ406" s="231">
        <f ca="1" t="shared" si="102"/>
        <v>5.17279924332768e-5</v>
      </c>
      <c r="AR406" s="231">
        <f ca="1" t="shared" si="103"/>
        <v>2.00753570024838e-7</v>
      </c>
      <c r="AS406" s="231">
        <f ca="1" t="shared" si="104"/>
        <v>2.97685393757901e-8</v>
      </c>
    </row>
    <row r="407" ht="15" hidden="1" customHeight="1" spans="3:45">
      <c r="C407" s="221"/>
      <c r="D407" s="221"/>
      <c r="E407" s="221"/>
      <c r="F407" s="221"/>
      <c r="G407" s="221"/>
      <c r="I407" s="12">
        <v>766</v>
      </c>
      <c r="J407" s="230">
        <v>3.956104e-5</v>
      </c>
      <c r="L407" s="12">
        <v>766</v>
      </c>
      <c r="M407" s="230"/>
      <c r="N407" s="230">
        <v>3.46157e-6</v>
      </c>
      <c r="O407" s="230">
        <v>4.66322e-5</v>
      </c>
      <c r="P407" s="232">
        <v>3.021e-7</v>
      </c>
      <c r="Q407" s="230">
        <v>4.40782e-8</v>
      </c>
      <c r="S407" s="12">
        <v>766</v>
      </c>
      <c r="T407" s="230">
        <v>2.13319226375841e-10</v>
      </c>
      <c r="U407" s="230">
        <v>5.90112752548329e-6</v>
      </c>
      <c r="V407" s="230">
        <v>6.51559377943951e-5</v>
      </c>
      <c r="W407" s="232">
        <v>2.84429082258787e-7</v>
      </c>
      <c r="X407" s="230">
        <v>4.40697919251508e-8</v>
      </c>
      <c r="Z407" s="12">
        <v>766</v>
      </c>
      <c r="AA407" s="230">
        <f ca="1" t="shared" si="90"/>
        <v>2.13319226375841e-10</v>
      </c>
      <c r="AB407" s="230">
        <f ca="1" t="shared" si="91"/>
        <v>5.90112752548329e-6</v>
      </c>
      <c r="AC407" s="230">
        <f ca="1" t="shared" si="92"/>
        <v>6.51559377943951e-5</v>
      </c>
      <c r="AD407" s="230">
        <f ca="1" t="shared" si="93"/>
        <v>2.84429082258787e-7</v>
      </c>
      <c r="AE407" s="230">
        <f ca="1" t="shared" si="94"/>
        <v>4.40697919251508e-8</v>
      </c>
      <c r="AG407" s="12">
        <v>766</v>
      </c>
      <c r="AH407" s="231">
        <f ca="1" t="shared" si="95"/>
        <v>2.78484629733474e-13</v>
      </c>
      <c r="AI407" s="231">
        <f ca="1" t="shared" si="96"/>
        <v>7.70382183483458e-9</v>
      </c>
      <c r="AJ407" s="231">
        <f ca="1" t="shared" si="97"/>
        <v>8.50599710109597e-8</v>
      </c>
      <c r="AK407" s="231">
        <f ca="1" t="shared" si="98"/>
        <v>3.7131733976343e-10</v>
      </c>
      <c r="AL407" s="231">
        <f ca="1" t="shared" si="99"/>
        <v>5.75323654375337e-11</v>
      </c>
      <c r="AN407" s="12">
        <v>766</v>
      </c>
      <c r="AO407" s="231">
        <f ca="1" t="shared" si="100"/>
        <v>1.22533237082729e-10</v>
      </c>
      <c r="AP407" s="231">
        <f ca="1" t="shared" si="101"/>
        <v>4.18342026137209e-6</v>
      </c>
      <c r="AQ407" s="231">
        <f ca="1" t="shared" si="102"/>
        <v>4.84226205766122e-5</v>
      </c>
      <c r="AR407" s="231">
        <f ca="1" t="shared" si="103"/>
        <v>1.89273120656427e-7</v>
      </c>
      <c r="AS407" s="231">
        <f ca="1" t="shared" si="104"/>
        <v>2.81205099157461e-8</v>
      </c>
    </row>
    <row r="408" ht="15" hidden="1" customHeight="1" spans="3:45">
      <c r="C408" s="221"/>
      <c r="D408" s="221"/>
      <c r="E408" s="221"/>
      <c r="F408" s="221"/>
      <c r="G408" s="221"/>
      <c r="I408" s="12">
        <v>767</v>
      </c>
      <c r="J408" s="230">
        <v>3.691512e-5</v>
      </c>
      <c r="L408" s="12">
        <v>767</v>
      </c>
      <c r="M408" s="230"/>
      <c r="N408" s="230">
        <v>3.25155e-6</v>
      </c>
      <c r="O408" s="230">
        <v>4.36424e-5</v>
      </c>
      <c r="P408" s="232">
        <v>2.855e-7</v>
      </c>
      <c r="Q408" s="230">
        <v>4.16962e-8</v>
      </c>
      <c r="S408" s="12">
        <v>767</v>
      </c>
      <c r="T408" s="230">
        <v>2.03268929501892e-10</v>
      </c>
      <c r="U408" s="230">
        <v>5.54925906300249e-6</v>
      </c>
      <c r="V408" s="230">
        <v>6.10821056727232e-5</v>
      </c>
      <c r="W408" s="232">
        <v>2.68554850013595e-7</v>
      </c>
      <c r="X408" s="230">
        <v>4.16905860400813e-8</v>
      </c>
      <c r="Z408" s="12">
        <v>767</v>
      </c>
      <c r="AA408" s="230">
        <f ca="1" t="shared" si="90"/>
        <v>2.03268929501892e-10</v>
      </c>
      <c r="AB408" s="230">
        <f ca="1" t="shared" si="91"/>
        <v>5.54925906300249e-6</v>
      </c>
      <c r="AC408" s="230">
        <f ca="1" t="shared" si="92"/>
        <v>6.10821056727232e-5</v>
      </c>
      <c r="AD408" s="230">
        <f ca="1" t="shared" si="93"/>
        <v>2.68554850013595e-7</v>
      </c>
      <c r="AE408" s="230">
        <f ca="1" t="shared" si="94"/>
        <v>4.16905860400813e-8</v>
      </c>
      <c r="AG408" s="12">
        <v>767</v>
      </c>
      <c r="AH408" s="231">
        <f ca="1" t="shared" si="95"/>
        <v>2.65018161019416e-13</v>
      </c>
      <c r="AI408" s="231">
        <f ca="1" t="shared" si="96"/>
        <v>7.23501833507495e-9</v>
      </c>
      <c r="AJ408" s="231">
        <f ca="1" t="shared" si="97"/>
        <v>7.96376866658712e-8</v>
      </c>
      <c r="AK408" s="231">
        <f ca="1" t="shared" si="98"/>
        <v>3.50136701451884e-10</v>
      </c>
      <c r="AL408" s="231">
        <f ca="1" t="shared" si="99"/>
        <v>5.43553924903276e-11</v>
      </c>
      <c r="AN408" s="12">
        <v>767</v>
      </c>
      <c r="AO408" s="231">
        <f ca="1" t="shared" si="100"/>
        <v>1.16607990848543e-10</v>
      </c>
      <c r="AP408" s="231">
        <f ca="1" t="shared" si="101"/>
        <v>3.92884505161989e-6</v>
      </c>
      <c r="AQ408" s="231">
        <f ca="1" t="shared" si="102"/>
        <v>4.5335842925737e-5</v>
      </c>
      <c r="AR408" s="231">
        <f ca="1" t="shared" si="103"/>
        <v>1.78476626441329e-7</v>
      </c>
      <c r="AS408" s="231">
        <f ca="1" t="shared" si="104"/>
        <v>2.65676778952903e-8</v>
      </c>
    </row>
    <row r="409" ht="15" hidden="1" customHeight="1" spans="3:45">
      <c r="C409" s="221"/>
      <c r="D409" s="221"/>
      <c r="E409" s="221"/>
      <c r="F409" s="221"/>
      <c r="G409" s="221"/>
      <c r="I409" s="12">
        <v>768</v>
      </c>
      <c r="J409" s="230">
        <v>3.444868e-5</v>
      </c>
      <c r="L409" s="12">
        <v>768</v>
      </c>
      <c r="M409" s="230"/>
      <c r="N409" s="230">
        <v>3.05464e-6</v>
      </c>
      <c r="O409" s="230">
        <v>4.08501e-5</v>
      </c>
      <c r="P409" s="232">
        <v>2.699e-7</v>
      </c>
      <c r="Q409" s="230">
        <v>3.94444e-8</v>
      </c>
      <c r="S409" s="12">
        <v>768</v>
      </c>
      <c r="T409" s="230">
        <v>1.93715334135179e-10</v>
      </c>
      <c r="U409" s="230">
        <v>5.21921274641591e-6</v>
      </c>
      <c r="V409" s="230">
        <v>5.72720857957737e-5</v>
      </c>
      <c r="W409" s="232">
        <v>2.53604526002616e-7</v>
      </c>
      <c r="X409" s="230">
        <v>3.94455485536453e-8</v>
      </c>
      <c r="Z409" s="12">
        <v>768</v>
      </c>
      <c r="AA409" s="230">
        <f ca="1" t="shared" si="90"/>
        <v>1.93715334135179e-10</v>
      </c>
      <c r="AB409" s="230">
        <f ca="1" t="shared" si="91"/>
        <v>5.21921274641591e-6</v>
      </c>
      <c r="AC409" s="230">
        <f ca="1" t="shared" si="92"/>
        <v>5.72720857957737e-5</v>
      </c>
      <c r="AD409" s="230">
        <f ca="1" t="shared" si="93"/>
        <v>2.53604526002616e-7</v>
      </c>
      <c r="AE409" s="230">
        <f ca="1" t="shared" si="94"/>
        <v>3.94455485536453e-8</v>
      </c>
      <c r="AG409" s="12">
        <v>768</v>
      </c>
      <c r="AH409" s="231">
        <f ca="1" t="shared" si="95"/>
        <v>2.52233507988514e-13</v>
      </c>
      <c r="AI409" s="231">
        <f ca="1" t="shared" si="96"/>
        <v>6.79584993022905e-9</v>
      </c>
      <c r="AJ409" s="231">
        <f ca="1" t="shared" si="97"/>
        <v>7.45730283799137e-8</v>
      </c>
      <c r="AK409" s="231">
        <f ca="1" t="shared" si="98"/>
        <v>3.30214226565906e-10</v>
      </c>
      <c r="AL409" s="231">
        <f ca="1" t="shared" si="99"/>
        <v>5.13613913458923e-11</v>
      </c>
      <c r="AN409" s="12">
        <v>768</v>
      </c>
      <c r="AO409" s="231">
        <f ca="1" t="shared" si="100"/>
        <v>1.10982743514946e-10</v>
      </c>
      <c r="AP409" s="231">
        <f ca="1" t="shared" si="101"/>
        <v>3.69036264089235e-6</v>
      </c>
      <c r="AQ409" s="231">
        <f ca="1" t="shared" si="102"/>
        <v>4.24526532935713e-5</v>
      </c>
      <c r="AR409" s="231">
        <f ca="1" t="shared" si="103"/>
        <v>1.68321461063729e-7</v>
      </c>
      <c r="AS409" s="231">
        <f ca="1" t="shared" si="104"/>
        <v>2.51042783248127e-8</v>
      </c>
    </row>
    <row r="410" ht="15" hidden="1" customHeight="1" spans="3:45">
      <c r="C410" s="221"/>
      <c r="D410" s="221"/>
      <c r="E410" s="221"/>
      <c r="F410" s="221"/>
      <c r="G410" s="221"/>
      <c r="I410" s="12">
        <v>769</v>
      </c>
      <c r="J410" s="230">
        <v>3.214816e-5</v>
      </c>
      <c r="L410" s="12">
        <v>769</v>
      </c>
      <c r="M410" s="230"/>
      <c r="N410" s="230">
        <v>2.86951e-6</v>
      </c>
      <c r="O410" s="230">
        <v>3.82346e-5</v>
      </c>
      <c r="P410" s="232">
        <v>2.552e-7</v>
      </c>
      <c r="Q410" s="230">
        <v>3.73218e-8</v>
      </c>
      <c r="S410" s="12">
        <v>769</v>
      </c>
      <c r="T410" s="230">
        <v>1.84633711521404e-10</v>
      </c>
      <c r="U410" s="230">
        <v>4.9095761438708e-6</v>
      </c>
      <c r="V410" s="230">
        <v>5.37084971143234e-5</v>
      </c>
      <c r="W410" s="232">
        <v>2.39523428794989e-7</v>
      </c>
      <c r="X410" s="230">
        <v>3.73269925444891e-8</v>
      </c>
      <c r="Z410" s="12">
        <v>769</v>
      </c>
      <c r="AA410" s="230">
        <f ca="1" t="shared" si="90"/>
        <v>1.84633711521404e-10</v>
      </c>
      <c r="AB410" s="230">
        <f ca="1" t="shared" si="91"/>
        <v>4.9095761438708e-6</v>
      </c>
      <c r="AC410" s="230">
        <f ca="1" t="shared" si="92"/>
        <v>5.37084971143234e-5</v>
      </c>
      <c r="AD410" s="230">
        <f ca="1" t="shared" si="93"/>
        <v>2.39523428794989e-7</v>
      </c>
      <c r="AE410" s="230">
        <f ca="1" t="shared" si="94"/>
        <v>3.73269925444891e-8</v>
      </c>
      <c r="AG410" s="12">
        <v>769</v>
      </c>
      <c r="AH410" s="231">
        <f ca="1" t="shared" si="95"/>
        <v>2.40095853733945e-13</v>
      </c>
      <c r="AI410" s="231">
        <f ca="1" t="shared" si="96"/>
        <v>6.38436429632094e-9</v>
      </c>
      <c r="AJ410" s="231">
        <f ca="1" t="shared" si="97"/>
        <v>6.98419988482749e-8</v>
      </c>
      <c r="AK410" s="231">
        <f ca="1" t="shared" si="98"/>
        <v>3.11473899603367e-10</v>
      </c>
      <c r="AL410" s="231">
        <f ca="1" t="shared" si="99"/>
        <v>4.85396522034969e-11</v>
      </c>
      <c r="AN410" s="12">
        <v>769</v>
      </c>
      <c r="AO410" s="231">
        <f ca="1" t="shared" si="100"/>
        <v>1.05642175642936e-10</v>
      </c>
      <c r="AP410" s="231">
        <f ca="1" t="shared" si="101"/>
        <v>3.46691285518067e-6</v>
      </c>
      <c r="AQ410" s="231">
        <f ca="1" t="shared" si="102"/>
        <v>3.97593905846318e-5</v>
      </c>
      <c r="AR410" s="231">
        <f ca="1" t="shared" si="103"/>
        <v>1.5876887682788e-7</v>
      </c>
      <c r="AS410" s="231">
        <f ca="1" t="shared" si="104"/>
        <v>2.37250764976336e-8</v>
      </c>
    </row>
    <row r="411" ht="15" hidden="1" customHeight="1" spans="2:45">
      <c r="B411" s="233"/>
      <c r="C411" s="221"/>
      <c r="D411" s="221"/>
      <c r="E411" s="221"/>
      <c r="F411" s="221"/>
      <c r="G411" s="221"/>
      <c r="I411" s="12">
        <v>770</v>
      </c>
      <c r="J411" s="230">
        <v>3e-5</v>
      </c>
      <c r="L411" s="12">
        <v>770</v>
      </c>
      <c r="M411" s="230"/>
      <c r="N411" s="230">
        <v>2.69504e-6</v>
      </c>
      <c r="O411" s="230">
        <v>3.57781e-5</v>
      </c>
      <c r="P411" s="232">
        <v>2.413e-7</v>
      </c>
      <c r="Q411" s="230">
        <v>3.53272e-8</v>
      </c>
      <c r="S411" s="12">
        <v>770</v>
      </c>
      <c r="T411" s="230">
        <v>1.76002566168535e-10</v>
      </c>
      <c r="U411" s="230">
        <v>4.61904294429395e-6</v>
      </c>
      <c r="V411" s="230">
        <v>5.03747611542452e-5</v>
      </c>
      <c r="W411" s="232">
        <v>2.26257508262284e-7</v>
      </c>
      <c r="X411" s="230">
        <v>3.53272636894992e-8</v>
      </c>
      <c r="Z411" s="12">
        <v>770</v>
      </c>
      <c r="AA411" s="230">
        <f ca="1" t="shared" si="90"/>
        <v>1.76002566168535e-10</v>
      </c>
      <c r="AB411" s="230">
        <f ca="1" t="shared" si="91"/>
        <v>4.61904294429395e-6</v>
      </c>
      <c r="AC411" s="230">
        <f ca="1" t="shared" si="92"/>
        <v>5.03747611542452e-5</v>
      </c>
      <c r="AD411" s="230">
        <f ca="1" t="shared" si="93"/>
        <v>2.26257508262284e-7</v>
      </c>
      <c r="AE411" s="230">
        <f ca="1" t="shared" si="94"/>
        <v>3.53272636894992e-8</v>
      </c>
      <c r="AG411" s="12">
        <v>770</v>
      </c>
      <c r="AH411" s="231">
        <f ca="1" t="shared" si="95"/>
        <v>2.28574761257838e-13</v>
      </c>
      <c r="AI411" s="231">
        <f ca="1" t="shared" si="96"/>
        <v>5.99875707051162e-9</v>
      </c>
      <c r="AJ411" s="231">
        <f ca="1" t="shared" si="97"/>
        <v>6.5421767732786e-8</v>
      </c>
      <c r="AK411" s="231">
        <f ca="1" t="shared" si="98"/>
        <v>2.93840919821148e-10</v>
      </c>
      <c r="AL411" s="231">
        <f ca="1" t="shared" si="99"/>
        <v>4.58795632331158e-11</v>
      </c>
      <c r="AN411" s="12">
        <v>770</v>
      </c>
      <c r="AO411" s="231">
        <f ca="1" t="shared" si="100"/>
        <v>1.00572894953449e-10</v>
      </c>
      <c r="AP411" s="231">
        <f ca="1" t="shared" si="101"/>
        <v>3.25751586807903e-6</v>
      </c>
      <c r="AQ411" s="231">
        <f ca="1" t="shared" si="102"/>
        <v>3.72430580298196e-5</v>
      </c>
      <c r="AR411" s="231">
        <f ca="1" t="shared" si="103"/>
        <v>1.49780745242162e-7</v>
      </c>
      <c r="AS411" s="231">
        <f ca="1" t="shared" si="104"/>
        <v>2.24248855929231e-8</v>
      </c>
    </row>
    <row r="412" ht="15" hidden="1" customHeight="1" spans="2:45">
      <c r="B412" s="233"/>
      <c r="C412" s="233"/>
      <c r="E412" s="233"/>
      <c r="F412" s="233"/>
      <c r="G412" s="233"/>
      <c r="I412" s="12">
        <v>771</v>
      </c>
      <c r="J412" s="230">
        <v>2.799125e-5</v>
      </c>
      <c r="L412" s="12">
        <v>771</v>
      </c>
      <c r="M412" s="230"/>
      <c r="N412" s="230">
        <v>2.5304e-6</v>
      </c>
      <c r="O412" s="230">
        <v>3.34676e-5</v>
      </c>
      <c r="P412" s="232">
        <v>2.282e-7</v>
      </c>
      <c r="Q412" s="230">
        <v>3.34451e-8</v>
      </c>
      <c r="S412" s="12">
        <v>771</v>
      </c>
      <c r="T412" s="230">
        <v>1.67790357742668e-10</v>
      </c>
      <c r="U412" s="230">
        <v>4.3462929959964e-6</v>
      </c>
      <c r="V412" s="230">
        <v>4.72543724500226e-5</v>
      </c>
      <c r="W412" s="232">
        <v>2.13753876720849e-7</v>
      </c>
      <c r="X412" s="230">
        <v>3.34387473536946e-8</v>
      </c>
      <c r="Z412" s="12">
        <v>771</v>
      </c>
      <c r="AA412" s="230">
        <f ca="1" t="shared" si="90"/>
        <v>1.67790357742668e-10</v>
      </c>
      <c r="AB412" s="230">
        <f ca="1" t="shared" si="91"/>
        <v>4.3462929959964e-6</v>
      </c>
      <c r="AC412" s="230">
        <f ca="1" t="shared" si="92"/>
        <v>4.72543724500226e-5</v>
      </c>
      <c r="AD412" s="230">
        <f ca="1" t="shared" si="93"/>
        <v>2.13753876720849e-7</v>
      </c>
      <c r="AE412" s="230">
        <f ca="1" t="shared" si="94"/>
        <v>3.34387473536946e-8</v>
      </c>
      <c r="AG412" s="12">
        <v>771</v>
      </c>
      <c r="AH412" s="231">
        <f ca="1" t="shared" si="95"/>
        <v>2.17626923142241e-13</v>
      </c>
      <c r="AI412" s="231">
        <f ca="1" t="shared" si="96"/>
        <v>5.63721529960623e-9</v>
      </c>
      <c r="AJ412" s="231">
        <f ca="1" t="shared" si="97"/>
        <v>6.12897178340111e-8</v>
      </c>
      <c r="AK412" s="231">
        <f ca="1" t="shared" si="98"/>
        <v>2.7724238225791e-10</v>
      </c>
      <c r="AL412" s="231">
        <f ca="1" t="shared" si="99"/>
        <v>4.33706191357907e-11</v>
      </c>
      <c r="AN412" s="12">
        <v>771</v>
      </c>
      <c r="AO412" s="231">
        <f ca="1" t="shared" si="100"/>
        <v>9.57558461825862e-11</v>
      </c>
      <c r="AP412" s="231">
        <f ca="1" t="shared" si="101"/>
        <v>3.06118718834517e-6</v>
      </c>
      <c r="AQ412" s="231">
        <f ca="1" t="shared" si="102"/>
        <v>3.48907801948528e-5</v>
      </c>
      <c r="AR412" s="231">
        <f ca="1" t="shared" si="103"/>
        <v>1.4131990415963e-7</v>
      </c>
      <c r="AS412" s="231">
        <f ca="1" t="shared" si="104"/>
        <v>2.11985708598101e-8</v>
      </c>
    </row>
    <row r="413" ht="15" hidden="1" customHeight="1" spans="3:45">
      <c r="C413" s="233"/>
      <c r="E413" s="233"/>
      <c r="F413" s="233"/>
      <c r="G413" s="233"/>
      <c r="I413" s="12">
        <v>772</v>
      </c>
      <c r="J413" s="230">
        <v>2.611356e-5</v>
      </c>
      <c r="L413" s="12">
        <v>772</v>
      </c>
      <c r="M413" s="230"/>
      <c r="N413" s="230">
        <v>2.3755e-6</v>
      </c>
      <c r="O413" s="230">
        <v>3.13007e-5</v>
      </c>
      <c r="P413" s="232">
        <v>2.159e-7</v>
      </c>
      <c r="Q413" s="230">
        <v>3.166e-8</v>
      </c>
      <c r="S413" s="12">
        <v>772</v>
      </c>
      <c r="T413" s="230">
        <v>1.59981586768653e-10</v>
      </c>
      <c r="U413" s="230">
        <v>4.09029847254549e-6</v>
      </c>
      <c r="V413" s="230">
        <v>4.43343147282917e-5</v>
      </c>
      <c r="W413" s="232">
        <v>2.01970992669408e-7</v>
      </c>
      <c r="X413" s="230">
        <v>3.16557057230758e-8</v>
      </c>
      <c r="Z413" s="12">
        <v>772</v>
      </c>
      <c r="AA413" s="230">
        <f ca="1" t="shared" si="90"/>
        <v>1.59981586768653e-10</v>
      </c>
      <c r="AB413" s="230">
        <f ca="1" t="shared" si="91"/>
        <v>4.09029847254549e-6</v>
      </c>
      <c r="AC413" s="230">
        <f ca="1" t="shared" si="92"/>
        <v>4.43343147282917e-5</v>
      </c>
      <c r="AD413" s="230">
        <f ca="1" t="shared" si="93"/>
        <v>2.01970992669408e-7</v>
      </c>
      <c r="AE413" s="230">
        <f ca="1" t="shared" si="94"/>
        <v>3.16557057230758e-8</v>
      </c>
      <c r="AG413" s="12">
        <v>772</v>
      </c>
      <c r="AH413" s="231">
        <f ca="1" t="shared" si="95"/>
        <v>2.07230034674421e-13</v>
      </c>
      <c r="AI413" s="231">
        <f ca="1" t="shared" si="96"/>
        <v>5.29831408360815e-9</v>
      </c>
      <c r="AJ413" s="231">
        <f ca="1" t="shared" si="97"/>
        <v>5.74278688190307e-8</v>
      </c>
      <c r="AK413" s="231">
        <f ca="1" t="shared" si="98"/>
        <v>2.61620456825658e-10</v>
      </c>
      <c r="AL413" s="231">
        <f ca="1" t="shared" si="99"/>
        <v>4.10048001594246e-11</v>
      </c>
      <c r="AN413" s="12">
        <v>772</v>
      </c>
      <c r="AO413" s="231">
        <f ca="1" t="shared" si="100"/>
        <v>9.11812152567452e-11</v>
      </c>
      <c r="AP413" s="231">
        <f ca="1" t="shared" si="101"/>
        <v>2.87715304996476e-6</v>
      </c>
      <c r="AQ413" s="231">
        <f ca="1" t="shared" si="102"/>
        <v>3.26923213033906e-5</v>
      </c>
      <c r="AR413" s="231">
        <f ca="1" t="shared" si="103"/>
        <v>1.33356875610766e-7</v>
      </c>
      <c r="AS413" s="231">
        <f ca="1" t="shared" si="104"/>
        <v>2.00422124261213e-8</v>
      </c>
    </row>
    <row r="414" ht="15" hidden="1" customHeight="1" spans="9:45">
      <c r="I414" s="12">
        <v>773</v>
      </c>
      <c r="J414" s="230">
        <v>2.436024e-5</v>
      </c>
      <c r="L414" s="12">
        <v>773</v>
      </c>
      <c r="M414" s="230"/>
      <c r="N414" s="230">
        <v>2.23033e-6</v>
      </c>
      <c r="O414" s="230">
        <v>2.92761e-5</v>
      </c>
      <c r="P414" s="232">
        <v>2.042e-7</v>
      </c>
      <c r="Q414" s="230">
        <v>2.99712e-8</v>
      </c>
      <c r="S414" s="12">
        <v>773</v>
      </c>
      <c r="T414" s="230">
        <v>1.52556599611109e-10</v>
      </c>
      <c r="U414" s="230">
        <v>3.84998466801963e-6</v>
      </c>
      <c r="V414" s="230">
        <v>4.1601405166907e-5</v>
      </c>
      <c r="W414" s="232">
        <v>1.90866188081184e-7</v>
      </c>
      <c r="X414" s="230">
        <v>2.99721570792851e-8</v>
      </c>
      <c r="Z414" s="12">
        <v>773</v>
      </c>
      <c r="AA414" s="230">
        <f ca="1" t="shared" si="90"/>
        <v>1.52556599611109e-10</v>
      </c>
      <c r="AB414" s="230">
        <f ca="1" t="shared" si="91"/>
        <v>3.84998466801963e-6</v>
      </c>
      <c r="AC414" s="230">
        <f ca="1" t="shared" si="92"/>
        <v>4.1601405166907e-5</v>
      </c>
      <c r="AD414" s="230">
        <f ca="1" t="shared" si="93"/>
        <v>1.90866188081184e-7</v>
      </c>
      <c r="AE414" s="230">
        <f ca="1" t="shared" si="94"/>
        <v>2.99721570792851e-8</v>
      </c>
      <c r="AG414" s="12">
        <v>773</v>
      </c>
      <c r="AH414" s="231">
        <f ca="1" t="shared" si="95"/>
        <v>1.97356532485264e-13</v>
      </c>
      <c r="AI414" s="231">
        <f ca="1" t="shared" si="96"/>
        <v>4.98057524970198e-9</v>
      </c>
      <c r="AJ414" s="231">
        <f ca="1" t="shared" si="97"/>
        <v>5.38181179390776e-8</v>
      </c>
      <c r="AK414" s="231">
        <f ca="1" t="shared" si="98"/>
        <v>2.46916155344352e-10</v>
      </c>
      <c r="AL414" s="231">
        <f ca="1" t="shared" si="99"/>
        <v>3.87738125217142e-11</v>
      </c>
      <c r="AN414" s="12">
        <v>773</v>
      </c>
      <c r="AO414" s="231">
        <f ca="1" t="shared" si="100"/>
        <v>8.68368742935161e-11</v>
      </c>
      <c r="AP414" s="231">
        <f ca="1" t="shared" si="101"/>
        <v>2.70461075808862e-6</v>
      </c>
      <c r="AQ414" s="231">
        <f ca="1" t="shared" si="102"/>
        <v>3.06373758906589e-5</v>
      </c>
      <c r="AR414" s="231">
        <f ca="1" t="shared" si="103"/>
        <v>1.25861591307014e-7</v>
      </c>
      <c r="AS414" s="231">
        <f ca="1" t="shared" si="104"/>
        <v>1.89517564799589e-8</v>
      </c>
    </row>
    <row r="415" ht="15" hidden="1" customHeight="1" spans="9:45">
      <c r="I415" s="12">
        <v>774</v>
      </c>
      <c r="J415" s="230">
        <v>2.272461e-5</v>
      </c>
      <c r="L415" s="12">
        <v>774</v>
      </c>
      <c r="M415" s="230"/>
      <c r="N415" s="230">
        <v>2.09478e-6</v>
      </c>
      <c r="O415" s="230">
        <v>2.73908e-5</v>
      </c>
      <c r="P415" s="232">
        <v>1.932e-7</v>
      </c>
      <c r="Q415" s="230">
        <v>2.83782e-8</v>
      </c>
      <c r="S415" s="12">
        <v>774</v>
      </c>
      <c r="T415" s="230">
        <v>1.45493971891847e-10</v>
      </c>
      <c r="U415" s="230">
        <v>3.62435725688511e-6</v>
      </c>
      <c r="V415" s="230">
        <v>3.90431635504696e-5</v>
      </c>
      <c r="W415" s="232">
        <v>1.80398532360455e-7</v>
      </c>
      <c r="X415" s="230">
        <v>2.83821309842877e-8</v>
      </c>
      <c r="Z415" s="12">
        <v>774</v>
      </c>
      <c r="AA415" s="230">
        <f ca="1" t="shared" si="90"/>
        <v>1.45493971891847e-10</v>
      </c>
      <c r="AB415" s="230">
        <f ca="1" t="shared" si="91"/>
        <v>3.62435725688511e-6</v>
      </c>
      <c r="AC415" s="230">
        <f ca="1" t="shared" si="92"/>
        <v>3.90431635504696e-5</v>
      </c>
      <c r="AD415" s="230">
        <f ca="1" t="shared" si="93"/>
        <v>1.80398532360455e-7</v>
      </c>
      <c r="AE415" s="230">
        <f ca="1" t="shared" si="94"/>
        <v>2.83821309842877e-8</v>
      </c>
      <c r="AG415" s="12">
        <v>774</v>
      </c>
      <c r="AH415" s="231">
        <f ca="1" t="shared" si="95"/>
        <v>1.87976707870603e-13</v>
      </c>
      <c r="AI415" s="231">
        <f ca="1" t="shared" si="96"/>
        <v>4.68263211483864e-9</v>
      </c>
      <c r="AJ415" s="231">
        <f ca="1" t="shared" si="97"/>
        <v>5.04433637602966e-8</v>
      </c>
      <c r="AK415" s="231">
        <f ca="1" t="shared" si="98"/>
        <v>2.33073039225394e-10</v>
      </c>
      <c r="AL415" s="231">
        <f ca="1" t="shared" si="99"/>
        <v>3.66694198763407e-11</v>
      </c>
      <c r="AN415" s="12">
        <v>774</v>
      </c>
      <c r="AO415" s="231">
        <f ca="1" t="shared" si="100"/>
        <v>8.27097514630655e-11</v>
      </c>
      <c r="AP415" s="231">
        <f ca="1" t="shared" si="101"/>
        <v>2.54281816035641e-6</v>
      </c>
      <c r="AQ415" s="231">
        <f ca="1" t="shared" si="102"/>
        <v>2.8716208516673e-5</v>
      </c>
      <c r="AR415" s="231">
        <f ca="1" t="shared" si="103"/>
        <v>1.1880528257359e-7</v>
      </c>
      <c r="AS415" s="231">
        <f ca="1" t="shared" si="104"/>
        <v>1.79231772828268e-8</v>
      </c>
    </row>
    <row r="416" ht="15" hidden="1" customHeight="1" spans="9:45">
      <c r="I416" s="12">
        <v>775</v>
      </c>
      <c r="J416" s="230">
        <v>2.12e-5</v>
      </c>
      <c r="L416" s="12">
        <v>775</v>
      </c>
      <c r="M416" s="230"/>
      <c r="N416" s="230">
        <v>1.96864e-6</v>
      </c>
      <c r="O416" s="230">
        <v>2.56411e-5</v>
      </c>
      <c r="P416" s="232">
        <v>1.829e-7</v>
      </c>
      <c r="Q416" s="230">
        <v>2.68803e-8</v>
      </c>
      <c r="S416" s="12">
        <v>775</v>
      </c>
      <c r="T416" s="230">
        <v>1.38775563670657e-10</v>
      </c>
      <c r="U416" s="230">
        <v>3.41249481362311e-6</v>
      </c>
      <c r="V416" s="230">
        <v>3.66480608613104e-5</v>
      </c>
      <c r="W416" s="232">
        <v>1.70529688990959e-7</v>
      </c>
      <c r="X416" s="230">
        <v>2.68802931055237e-8</v>
      </c>
      <c r="Z416" s="12">
        <v>775</v>
      </c>
      <c r="AA416" s="230">
        <f ca="1" t="shared" si="90"/>
        <v>1.38775563670657e-10</v>
      </c>
      <c r="AB416" s="230">
        <f ca="1" t="shared" si="91"/>
        <v>3.41249481362311e-6</v>
      </c>
      <c r="AC416" s="230">
        <f ca="1" t="shared" si="92"/>
        <v>3.66480608613104e-5</v>
      </c>
      <c r="AD416" s="230">
        <f ca="1" t="shared" si="93"/>
        <v>1.70529688990959e-7</v>
      </c>
      <c r="AE416" s="230">
        <f ca="1" t="shared" si="94"/>
        <v>2.68802931055237e-8</v>
      </c>
      <c r="AG416" s="12">
        <v>775</v>
      </c>
      <c r="AH416" s="231">
        <f ca="1" t="shared" si="95"/>
        <v>1.79065243446009e-13</v>
      </c>
      <c r="AI416" s="231">
        <f ca="1" t="shared" si="96"/>
        <v>4.4032191143524e-9</v>
      </c>
      <c r="AJ416" s="231">
        <f ca="1" t="shared" si="97"/>
        <v>4.7287820466207e-8</v>
      </c>
      <c r="AK416" s="231">
        <f ca="1" t="shared" si="98"/>
        <v>2.20038308375431e-10</v>
      </c>
      <c r="AL416" s="231">
        <f ca="1" t="shared" si="99"/>
        <v>3.46842491684177e-11</v>
      </c>
      <c r="AN416" s="12">
        <v>775</v>
      </c>
      <c r="AO416" s="231">
        <f ca="1" t="shared" si="100"/>
        <v>7.8788707116244e-11</v>
      </c>
      <c r="AP416" s="231">
        <f ca="1" t="shared" si="101"/>
        <v>2.39108801490581e-6</v>
      </c>
      <c r="AQ416" s="231">
        <f ca="1" t="shared" si="102"/>
        <v>2.69198326911617e-5</v>
      </c>
      <c r="AR416" s="231">
        <f ca="1" t="shared" si="103"/>
        <v>1.12161035400913e-7</v>
      </c>
      <c r="AS416" s="231">
        <f ca="1" t="shared" si="104"/>
        <v>1.69528710534192e-8</v>
      </c>
    </row>
    <row r="417" ht="15" hidden="1" customHeight="1" spans="9:45">
      <c r="I417" s="12">
        <v>776</v>
      </c>
      <c r="J417" s="230">
        <v>1.977855e-5</v>
      </c>
      <c r="L417" s="12">
        <v>776</v>
      </c>
      <c r="M417" s="230"/>
      <c r="N417" s="230">
        <v>1.85152e-6</v>
      </c>
      <c r="O417" s="230">
        <v>2.40205e-5</v>
      </c>
      <c r="P417" s="232">
        <v>1.731e-7</v>
      </c>
      <c r="Q417" s="230">
        <v>2.548e-8</v>
      </c>
      <c r="S417" s="12">
        <v>776</v>
      </c>
      <c r="T417" s="230">
        <v>1.3238171406821e-10</v>
      </c>
      <c r="U417" s="230">
        <v>3.21351254751096e-6</v>
      </c>
      <c r="V417" s="230">
        <v>3.44053515676588e-5</v>
      </c>
      <c r="W417" s="232">
        <v>1.61224856848642e-7</v>
      </c>
      <c r="X417" s="230">
        <v>2.54615594812796e-8</v>
      </c>
      <c r="Z417" s="12">
        <v>776</v>
      </c>
      <c r="AA417" s="230">
        <f ca="1" t="shared" si="90"/>
        <v>1.3238171406821e-10</v>
      </c>
      <c r="AB417" s="230">
        <f ca="1" t="shared" si="91"/>
        <v>3.21351254751096e-6</v>
      </c>
      <c r="AC417" s="230">
        <f ca="1" t="shared" si="92"/>
        <v>3.44053515676588e-5</v>
      </c>
      <c r="AD417" s="230">
        <f ca="1" t="shared" si="93"/>
        <v>1.61224856848642e-7</v>
      </c>
      <c r="AE417" s="230">
        <f ca="1" t="shared" si="94"/>
        <v>2.54615594812796e-8</v>
      </c>
      <c r="AG417" s="12">
        <v>776</v>
      </c>
      <c r="AH417" s="231">
        <f ca="1" t="shared" si="95"/>
        <v>1.70594992355941e-13</v>
      </c>
      <c r="AI417" s="231">
        <f ca="1" t="shared" si="96"/>
        <v>4.14112441689557e-9</v>
      </c>
      <c r="AJ417" s="231">
        <f ca="1" t="shared" si="97"/>
        <v>4.43367932572923e-8</v>
      </c>
      <c r="AK417" s="231">
        <f ca="1" t="shared" si="98"/>
        <v>2.07763990784332e-10</v>
      </c>
      <c r="AL417" s="231">
        <f ca="1" t="shared" si="99"/>
        <v>3.28112879913397e-11</v>
      </c>
      <c r="AN417" s="12">
        <v>776</v>
      </c>
      <c r="AO417" s="231">
        <f ca="1" t="shared" si="100"/>
        <v>7.50617966366139e-11</v>
      </c>
      <c r="AP417" s="231">
        <f ca="1" t="shared" si="101"/>
        <v>2.2487622587751e-6</v>
      </c>
      <c r="AQ417" s="231">
        <f ca="1" t="shared" si="102"/>
        <v>2.52398830138908e-5</v>
      </c>
      <c r="AR417" s="231">
        <f ca="1" t="shared" si="103"/>
        <v>1.05904396818198e-7</v>
      </c>
      <c r="AS417" s="231">
        <f ca="1" t="shared" si="104"/>
        <v>1.6037410287096e-8</v>
      </c>
    </row>
    <row r="418" ht="15" hidden="1" customHeight="1" spans="9:45">
      <c r="I418" s="12">
        <v>777</v>
      </c>
      <c r="J418" s="230">
        <v>1.845285e-5</v>
      </c>
      <c r="L418" s="12">
        <v>777</v>
      </c>
      <c r="M418" s="230"/>
      <c r="N418" s="230">
        <v>1.74248e-6</v>
      </c>
      <c r="O418" s="230">
        <v>2.2516e-5</v>
      </c>
      <c r="P418" s="232">
        <v>1.638e-7</v>
      </c>
      <c r="Q418" s="230">
        <v>2.4166e-8</v>
      </c>
      <c r="S418" s="12">
        <v>777</v>
      </c>
      <c r="T418" s="230">
        <v>1.26300770504569e-10</v>
      </c>
      <c r="U418" s="230">
        <v>3.02660677570317e-6</v>
      </c>
      <c r="V418" s="230">
        <v>3.23049445552313e-5</v>
      </c>
      <c r="W418" s="232">
        <v>1.52449849513409e-7</v>
      </c>
      <c r="X418" s="230">
        <v>2.41210939377362e-8</v>
      </c>
      <c r="Z418" s="12">
        <v>777</v>
      </c>
      <c r="AA418" s="230">
        <f ca="1" t="shared" si="90"/>
        <v>1.26300770504569e-10</v>
      </c>
      <c r="AB418" s="230">
        <f ca="1" t="shared" si="91"/>
        <v>3.02660677570317e-6</v>
      </c>
      <c r="AC418" s="230">
        <f ca="1" t="shared" si="92"/>
        <v>3.23049445552313e-5</v>
      </c>
      <c r="AD418" s="230">
        <f ca="1" t="shared" si="93"/>
        <v>1.52449849513409e-7</v>
      </c>
      <c r="AE418" s="230">
        <f ca="1" t="shared" si="94"/>
        <v>2.41210939377362e-8</v>
      </c>
      <c r="AG418" s="12">
        <v>777</v>
      </c>
      <c r="AH418" s="231">
        <f ca="1" t="shared" si="95"/>
        <v>1.62549254188634e-13</v>
      </c>
      <c r="AI418" s="231">
        <f ca="1" t="shared" si="96"/>
        <v>3.8952468155768e-9</v>
      </c>
      <c r="AJ418" s="231">
        <f ca="1" t="shared" si="97"/>
        <v>4.15765052190879e-8</v>
      </c>
      <c r="AK418" s="231">
        <f ca="1" t="shared" si="98"/>
        <v>1.9620315252691e-10</v>
      </c>
      <c r="AL418" s="231">
        <f ca="1" t="shared" si="99"/>
        <v>3.10438789417454e-11</v>
      </c>
      <c r="AN418" s="12">
        <v>777</v>
      </c>
      <c r="AO418" s="231">
        <f ca="1" t="shared" si="100"/>
        <v>7.15216718429992e-11</v>
      </c>
      <c r="AP418" s="231">
        <f ca="1" t="shared" si="101"/>
        <v>2.11524290160054e-6</v>
      </c>
      <c r="AQ418" s="231">
        <f ca="1" t="shared" si="102"/>
        <v>2.3668516614778e-5</v>
      </c>
      <c r="AR418" s="231">
        <f ca="1" t="shared" si="103"/>
        <v>1.0001144300198e-7</v>
      </c>
      <c r="AS418" s="231">
        <f ca="1" t="shared" si="104"/>
        <v>1.51735409967179e-8</v>
      </c>
    </row>
    <row r="419" ht="15" hidden="1" customHeight="1" spans="9:45">
      <c r="I419" s="12">
        <v>778</v>
      </c>
      <c r="J419" s="230">
        <v>1.721687e-5</v>
      </c>
      <c r="L419" s="12">
        <v>778</v>
      </c>
      <c r="M419" s="230"/>
      <c r="N419" s="230">
        <v>1.6406e-6</v>
      </c>
      <c r="O419" s="230">
        <v>2.11145e-5</v>
      </c>
      <c r="P419" s="232">
        <v>1.551e-7</v>
      </c>
      <c r="Q419" s="230">
        <v>2.29167e-8</v>
      </c>
      <c r="S419" s="12">
        <v>778</v>
      </c>
      <c r="T419" s="230">
        <v>1.2051247339724e-10</v>
      </c>
      <c r="U419" s="230">
        <v>2.85100513810981e-6</v>
      </c>
      <c r="V419" s="230">
        <v>3.03376544253301e-5</v>
      </c>
      <c r="W419" s="232">
        <v>1.44173685356646e-7</v>
      </c>
      <c r="X419" s="230">
        <v>2.28544618768467e-8</v>
      </c>
      <c r="Z419" s="12">
        <v>778</v>
      </c>
      <c r="AA419" s="230">
        <f ca="1" t="shared" si="90"/>
        <v>1.2051247339724e-10</v>
      </c>
      <c r="AB419" s="230">
        <f ca="1" t="shared" si="91"/>
        <v>2.85100513810981e-6</v>
      </c>
      <c r="AC419" s="230">
        <f ca="1" t="shared" si="92"/>
        <v>3.03376544253301e-5</v>
      </c>
      <c r="AD419" s="230">
        <f ca="1" t="shared" si="93"/>
        <v>1.44173685356646e-7</v>
      </c>
      <c r="AE419" s="230">
        <f ca="1" t="shared" si="94"/>
        <v>2.28544618768467e-8</v>
      </c>
      <c r="AG419" s="12">
        <v>778</v>
      </c>
      <c r="AH419" s="231">
        <f ca="1" t="shared" si="95"/>
        <v>1.54900351410334e-13</v>
      </c>
      <c r="AI419" s="231">
        <f ca="1" t="shared" si="96"/>
        <v>3.66453102584808e-9</v>
      </c>
      <c r="AJ419" s="231">
        <f ca="1" t="shared" si="97"/>
        <v>3.89944144284449e-8</v>
      </c>
      <c r="AK419" s="231">
        <f ca="1" t="shared" si="98"/>
        <v>1.85313220252758e-10</v>
      </c>
      <c r="AL419" s="231">
        <f ca="1" t="shared" si="99"/>
        <v>2.93759150088004e-11</v>
      </c>
      <c r="AN419" s="12">
        <v>778</v>
      </c>
      <c r="AO419" s="231">
        <f ca="1" t="shared" si="100"/>
        <v>6.8156154620547e-11</v>
      </c>
      <c r="AP419" s="231">
        <f ca="1" t="shared" si="101"/>
        <v>1.98995689031127e-6</v>
      </c>
      <c r="AQ419" s="231">
        <f ca="1" t="shared" si="102"/>
        <v>2.21985936749552e-5</v>
      </c>
      <c r="AR419" s="231">
        <f ca="1" t="shared" si="103"/>
        <v>9.44604728625868e-8</v>
      </c>
      <c r="AS419" s="231">
        <f ca="1" t="shared" si="104"/>
        <v>1.43582782144773e-8</v>
      </c>
    </row>
    <row r="420" ht="15" hidden="1" customHeight="1" spans="9:45">
      <c r="I420" s="12">
        <v>779</v>
      </c>
      <c r="J420" s="230">
        <v>1.606459e-5</v>
      </c>
      <c r="L420" s="12">
        <v>779</v>
      </c>
      <c r="M420" s="230"/>
      <c r="N420" s="230">
        <v>1.54507e-6</v>
      </c>
      <c r="O420" s="230">
        <v>1.98046e-5</v>
      </c>
      <c r="P420" s="232">
        <v>1.468e-7</v>
      </c>
      <c r="Q420" s="230">
        <v>2.17105e-8</v>
      </c>
      <c r="S420" s="12">
        <v>779</v>
      </c>
      <c r="T420" s="230">
        <v>1.15003219886434e-10</v>
      </c>
      <c r="U420" s="230">
        <v>2.68601231797977e-6</v>
      </c>
      <c r="V420" s="230">
        <v>2.84945629404093e-5</v>
      </c>
      <c r="W420" s="232">
        <v>1.36366282091771e-7</v>
      </c>
      <c r="X420" s="230">
        <v>2.16573342849408e-8</v>
      </c>
      <c r="Z420" s="12">
        <v>779</v>
      </c>
      <c r="AA420" s="230">
        <f ca="1" t="shared" si="90"/>
        <v>1.15003219886434e-10</v>
      </c>
      <c r="AB420" s="230">
        <f ca="1" t="shared" si="91"/>
        <v>2.68601231797977e-6</v>
      </c>
      <c r="AC420" s="230">
        <f ca="1" t="shared" si="92"/>
        <v>2.84945629404093e-5</v>
      </c>
      <c r="AD420" s="230">
        <f ca="1" t="shared" si="93"/>
        <v>1.36366282091771e-7</v>
      </c>
      <c r="AE420" s="230">
        <f ca="1" t="shared" si="94"/>
        <v>2.16573342849408e-8</v>
      </c>
      <c r="AG420" s="12">
        <v>779</v>
      </c>
      <c r="AH420" s="231">
        <f ca="1" t="shared" si="95"/>
        <v>1.4762929382084e-13</v>
      </c>
      <c r="AI420" s="231">
        <f ca="1" t="shared" si="96"/>
        <v>3.44802608213064e-9</v>
      </c>
      <c r="AJ420" s="231">
        <f ca="1" t="shared" si="97"/>
        <v>3.65783863163149e-8</v>
      </c>
      <c r="AK420" s="231">
        <f ca="1" t="shared" si="98"/>
        <v>1.75052993699321e-10</v>
      </c>
      <c r="AL420" s="231">
        <f ca="1" t="shared" si="99"/>
        <v>2.78014560782295e-11</v>
      </c>
      <c r="AN420" s="12">
        <v>779</v>
      </c>
      <c r="AO420" s="231">
        <f ca="1" t="shared" si="100"/>
        <v>6.49568892811694e-11</v>
      </c>
      <c r="AP420" s="231">
        <f ca="1" t="shared" si="101"/>
        <v>1.87238782035442e-6</v>
      </c>
      <c r="AQ420" s="231">
        <f ca="1" t="shared" si="102"/>
        <v>2.08232062725656e-5</v>
      </c>
      <c r="AR420" s="231">
        <f ca="1" t="shared" si="103"/>
        <v>8.92304852200805e-8</v>
      </c>
      <c r="AS420" s="231">
        <f ca="1" t="shared" si="104"/>
        <v>1.35887185478037e-8</v>
      </c>
    </row>
    <row r="421" ht="15" hidden="1" customHeight="1" spans="9:45">
      <c r="I421" s="12">
        <v>780</v>
      </c>
      <c r="J421" s="230">
        <v>1.499e-5</v>
      </c>
      <c r="L421" s="12">
        <v>780</v>
      </c>
      <c r="M421" s="230"/>
      <c r="N421" s="230">
        <v>1.45518e-6</v>
      </c>
      <c r="O421" s="230">
        <v>1.85766e-5</v>
      </c>
      <c r="P421" s="232">
        <v>1.39e-7</v>
      </c>
      <c r="Q421" s="230">
        <v>2.05258e-8</v>
      </c>
      <c r="S421" s="12">
        <v>780</v>
      </c>
      <c r="T421" s="230">
        <v>1.09761491541203e-10</v>
      </c>
      <c r="U421" s="230">
        <v>2.53095835948295e-6</v>
      </c>
      <c r="V421" s="230">
        <v>2.67676965315619e-5</v>
      </c>
      <c r="W421" s="232">
        <v>1.29000680119568e-7</v>
      </c>
      <c r="X421" s="230">
        <v>2.05257956095253e-8</v>
      </c>
      <c r="Z421" s="12">
        <v>780</v>
      </c>
      <c r="AA421" s="230">
        <f ca="1" t="shared" si="90"/>
        <v>1.09761491541203e-10</v>
      </c>
      <c r="AB421" s="230">
        <f ca="1" t="shared" si="91"/>
        <v>2.53095835948295e-6</v>
      </c>
      <c r="AC421" s="230">
        <f ca="1" t="shared" si="92"/>
        <v>2.67676965315619e-5</v>
      </c>
      <c r="AD421" s="230">
        <f ca="1" t="shared" si="93"/>
        <v>1.29000680119568e-7</v>
      </c>
      <c r="AE421" s="230">
        <f ca="1" t="shared" si="94"/>
        <v>2.05257956095253e-8</v>
      </c>
      <c r="AG421" s="12">
        <v>780</v>
      </c>
      <c r="AH421" s="231">
        <f ca="1" t="shared" si="95"/>
        <v>1.4071986095026e-13</v>
      </c>
      <c r="AI421" s="231">
        <f ca="1" t="shared" si="96"/>
        <v>3.24481840959353e-9</v>
      </c>
      <c r="AJ421" s="231">
        <f ca="1" t="shared" si="97"/>
        <v>3.43175596558486e-8</v>
      </c>
      <c r="AK421" s="231">
        <f ca="1" t="shared" si="98"/>
        <v>1.65385487332779e-10</v>
      </c>
      <c r="AL421" s="231">
        <f ca="1" t="shared" si="99"/>
        <v>2.63151225763145e-11</v>
      </c>
      <c r="AN421" s="12">
        <v>780</v>
      </c>
      <c r="AO421" s="231">
        <f ca="1" t="shared" si="100"/>
        <v>6.19167388181145e-11</v>
      </c>
      <c r="AP421" s="231">
        <f ca="1" t="shared" si="101"/>
        <v>1.76203959154232e-6</v>
      </c>
      <c r="AQ421" s="231">
        <f ca="1" t="shared" si="102"/>
        <v>1.95361713692132e-5</v>
      </c>
      <c r="AR421" s="231">
        <f ca="1" t="shared" si="103"/>
        <v>8.4302627285606e-8</v>
      </c>
      <c r="AS421" s="231">
        <f ca="1" t="shared" si="104"/>
        <v>1.28622325835843e-8</v>
      </c>
    </row>
    <row r="422" ht="15" hidden="1" customHeight="1" spans="8:45">
      <c r="H422" s="233"/>
      <c r="I422" s="233"/>
      <c r="L422" s="233"/>
      <c r="N422" s="233"/>
      <c r="O422" s="233"/>
      <c r="Q422" s="233"/>
      <c r="S422" s="233"/>
      <c r="U422" s="233"/>
      <c r="V422" s="233"/>
      <c r="X422" s="233"/>
      <c r="Z422" s="233"/>
      <c r="AB422" s="233"/>
      <c r="AC422" s="233"/>
      <c r="AE422" s="233"/>
      <c r="AG422" s="233"/>
      <c r="AH422" s="233"/>
      <c r="AI422" s="233"/>
      <c r="AJ422" s="233"/>
      <c r="AK422" s="233"/>
      <c r="AL422" s="233"/>
      <c r="AN422" s="233"/>
      <c r="AO422" s="233"/>
      <c r="AP422" s="233"/>
      <c r="AQ422" s="233"/>
      <c r="AR422" s="233"/>
      <c r="AS422" s="233"/>
    </row>
    <row r="423" ht="15" hidden="1" customHeight="1" spans="8:45">
      <c r="H423" s="233"/>
      <c r="I423" s="233"/>
      <c r="L423" s="233"/>
      <c r="N423" s="233"/>
      <c r="O423" s="233"/>
      <c r="Q423" s="233"/>
      <c r="S423" s="233"/>
      <c r="U423" s="233"/>
      <c r="V423" s="233"/>
      <c r="X423" s="233"/>
      <c r="Z423" s="233"/>
      <c r="AB423" s="233"/>
      <c r="AC423" s="233"/>
      <c r="AE423" s="233"/>
      <c r="AG423" s="233"/>
      <c r="AH423" s="233"/>
      <c r="AI423" s="233"/>
      <c r="AJ423" s="233"/>
      <c r="AK423" s="233"/>
      <c r="AL423" s="233"/>
      <c r="AN423" s="233"/>
      <c r="AO423" s="233"/>
      <c r="AP423" s="233"/>
      <c r="AQ423" s="233"/>
      <c r="AR423" s="233"/>
      <c r="AS423" s="233"/>
    </row>
  </sheetData>
  <sheetProtection password="CAB0" sheet="1" objects="1" scenarios="1"/>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tabColor theme="7" tint="-0.249977111117893"/>
  </sheetPr>
  <dimension ref="A1:BE427"/>
  <sheetViews>
    <sheetView workbookViewId="0">
      <selection activeCell="B3" sqref="B3"/>
    </sheetView>
  </sheetViews>
  <sheetFormatPr defaultColWidth="0" defaultRowHeight="14.4" zeroHeight="1"/>
  <cols>
    <col min="1" max="1" width="5.71296296296296" style="235" customWidth="1"/>
    <col min="2" max="5" width="15.712962962963" style="235" customWidth="1"/>
    <col min="6" max="6" width="9.13888888888889" style="235" customWidth="1"/>
    <col min="7" max="56" width="0.138888888888889" style="236" customWidth="1"/>
    <col min="57" max="57" width="9.13888888888889" style="235" hidden="1" customWidth="1"/>
    <col min="58" max="16384" width="9.13888888888889" style="235" hidden="1"/>
  </cols>
  <sheetData>
    <row r="1" s="7" customFormat="1" ht="24.95" customHeight="1" spans="2:57">
      <c r="B1" s="23" t="str">
        <f>LEFT(Disclaimer!B1,Maintenance!I3)</f>
        <v>CIE S 026 α-opic Toolbox - v1.049a - 2020/11</v>
      </c>
      <c r="C1" s="221"/>
      <c r="E1" s="221"/>
      <c r="F1" s="221"/>
      <c r="G1" s="237" t="s">
        <v>339</v>
      </c>
      <c r="H1" s="237"/>
      <c r="I1" s="237"/>
      <c r="J1" s="239"/>
      <c r="K1" s="239"/>
      <c r="L1" s="237"/>
      <c r="M1" s="239"/>
      <c r="N1" s="237"/>
      <c r="O1" s="237"/>
      <c r="P1" s="239"/>
      <c r="Q1" s="237"/>
      <c r="R1" s="239"/>
      <c r="S1" s="237"/>
      <c r="T1" s="239"/>
      <c r="U1" s="237"/>
      <c r="V1" s="237"/>
      <c r="W1" s="239"/>
      <c r="X1" s="237"/>
      <c r="Y1" s="239"/>
      <c r="Z1" s="237"/>
      <c r="AA1" s="239"/>
      <c r="AB1" s="237"/>
      <c r="AC1" s="237"/>
      <c r="AD1" s="239"/>
      <c r="AE1" s="237"/>
      <c r="AF1" s="239"/>
      <c r="AG1" s="237"/>
      <c r="AH1" s="237"/>
      <c r="AI1" s="237"/>
      <c r="AJ1" s="237"/>
      <c r="AK1" s="237"/>
      <c r="AL1" s="237"/>
      <c r="AM1" s="239"/>
      <c r="AN1" s="237"/>
      <c r="AO1" s="237"/>
      <c r="AP1" s="237"/>
      <c r="AQ1" s="237"/>
      <c r="AR1" s="237"/>
      <c r="AS1" s="237"/>
      <c r="AT1" s="239"/>
      <c r="AU1" s="239"/>
      <c r="AV1" s="239"/>
      <c r="AW1" s="239"/>
      <c r="AX1" s="239"/>
      <c r="AY1" s="239"/>
      <c r="AZ1" s="239"/>
      <c r="BA1" s="239"/>
      <c r="BB1" s="239"/>
      <c r="BC1" s="239"/>
      <c r="BD1" s="239"/>
      <c r="BE1" s="7" t="s">
        <v>340</v>
      </c>
    </row>
    <row r="2" spans="1:57">
      <c r="A2" s="7"/>
      <c r="B2" s="7"/>
      <c r="C2" s="8"/>
      <c r="D2" s="8"/>
      <c r="BE2" s="246" t="s">
        <v>341</v>
      </c>
    </row>
    <row r="3" spans="1:57">
      <c r="A3" s="7"/>
      <c r="B3" s="222" t="s">
        <v>342</v>
      </c>
      <c r="C3" s="15" t="s">
        <v>136</v>
      </c>
      <c r="D3" s="8"/>
      <c r="M3" s="236" t="s">
        <v>343</v>
      </c>
      <c r="N3" s="240" t="s">
        <v>344</v>
      </c>
      <c r="O3" s="240"/>
      <c r="P3" s="240" t="s">
        <v>345</v>
      </c>
      <c r="Q3" s="240" t="s">
        <v>346</v>
      </c>
      <c r="R3" s="240" t="s">
        <v>347</v>
      </c>
      <c r="AM3" s="236" t="s">
        <v>348</v>
      </c>
      <c r="AN3" s="240" t="s">
        <v>344</v>
      </c>
      <c r="AO3" s="240"/>
      <c r="AP3" s="240" t="s">
        <v>345</v>
      </c>
      <c r="AQ3" s="240" t="s">
        <v>346</v>
      </c>
      <c r="AR3" s="240" t="s">
        <v>347</v>
      </c>
      <c r="BE3" s="246" t="s">
        <v>349</v>
      </c>
    </row>
    <row r="4" spans="1:44">
      <c r="A4" s="7"/>
      <c r="B4" s="8"/>
      <c r="C4" s="15" t="s">
        <v>137</v>
      </c>
      <c r="D4" s="8"/>
      <c r="M4" s="240" t="s">
        <v>350</v>
      </c>
      <c r="N4" s="236">
        <f ca="1">'Advanced Outputs'!$C$12</f>
        <v>0.001</v>
      </c>
      <c r="O4" s="240" t="s">
        <v>351</v>
      </c>
      <c r="P4" s="236">
        <f ca="1">'Advanced Outputs'!$F$12*$J$14</f>
        <v>0.1</v>
      </c>
      <c r="Q4" s="236">
        <f ca="1">'Advanced Outputs'!$H$12*$J$14</f>
        <v>1e-6</v>
      </c>
      <c r="R4" s="236">
        <f ca="1">'Advanced Outputs'!$J$12*$J$14</f>
        <v>1e-7</v>
      </c>
      <c r="AM4" s="240" t="s">
        <v>350</v>
      </c>
      <c r="AN4" s="236">
        <f ca="1">'Advanced Outputs'!$C$12</f>
        <v>0.001</v>
      </c>
      <c r="AO4" s="240" t="s">
        <v>351</v>
      </c>
      <c r="AP4" s="236">
        <f ca="1">'Advanced Outputs'!$F$12*$AJ$14</f>
        <v>0.1</v>
      </c>
      <c r="AQ4" s="236">
        <f ca="1">'Advanced Outputs'!$H$12*$AJ$14</f>
        <v>1e-6</v>
      </c>
      <c r="AR4" s="236">
        <f ca="1">'Advanced Outputs'!$J$12*$AJ$14</f>
        <v>1e-7</v>
      </c>
    </row>
    <row r="5" ht="15" customHeight="1" spans="1:44">
      <c r="A5" s="7"/>
      <c r="B5" s="8"/>
      <c r="C5" s="8"/>
      <c r="D5" s="8"/>
      <c r="M5" s="240" t="s">
        <v>352</v>
      </c>
      <c r="N5" s="241">
        <f>Inputs!C17</f>
        <v>0</v>
      </c>
      <c r="O5" s="240" t="s">
        <v>353</v>
      </c>
      <c r="P5" s="241">
        <f ca="1">SUMPRODUCT($M$21:$M$421,$K$21:$K$421)*P4</f>
        <v>329.765855059458</v>
      </c>
      <c r="Q5" s="241">
        <f ca="1">Physics!$F$12*SUMPRODUCT($M$21:$M$421,$K$21:$K$421,$L$21:$L$421)*Q4</f>
        <v>0.97300986814912</v>
      </c>
      <c r="R5" s="243">
        <f ca="1">LOG(SUMPRODUCT($S$21:$S$421,$K$21:$K$421)*R4)</f>
        <v>14.9760766554777</v>
      </c>
      <c r="AM5" s="240" t="s">
        <v>352</v>
      </c>
      <c r="AN5" s="241">
        <f>Inputs!AC17</f>
        <v>0</v>
      </c>
      <c r="AO5" s="240" t="s">
        <v>353</v>
      </c>
      <c r="AP5" s="241">
        <f ca="1">SUMPRODUCT($AM$21:$AM$421,$AK$21:$AK$421)*AP4</f>
        <v>534.612715630142</v>
      </c>
      <c r="AQ5" s="241">
        <f ca="1">Physics!$F$12*SUMPRODUCT($AM$21:$AM$421,$AK$21:$AK$421,$AL$21:$AL$421)*AQ4</f>
        <v>0.97300986814912</v>
      </c>
      <c r="AR5" s="243">
        <f ca="1">LOG(SUMPRODUCT($AS$21:$AS$421,$AK$21:$AK$421)*AR4)</f>
        <v>15.1935121307656</v>
      </c>
    </row>
    <row r="6" s="234" customFormat="1" ht="0.2" customHeight="1" spans="1:56">
      <c r="A6" s="234" t="s">
        <v>354</v>
      </c>
      <c r="G6" s="236"/>
      <c r="H6" s="236"/>
      <c r="I6" s="236"/>
      <c r="J6" s="236"/>
      <c r="K6" s="236"/>
      <c r="L6" s="236"/>
      <c r="M6" s="240"/>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40"/>
      <c r="AN6" s="236"/>
      <c r="AO6" s="236"/>
      <c r="AP6" s="236"/>
      <c r="AQ6" s="236"/>
      <c r="AR6" s="236"/>
      <c r="AS6" s="236"/>
      <c r="AT6" s="236"/>
      <c r="AU6" s="236"/>
      <c r="AV6" s="236"/>
      <c r="AW6" s="236"/>
      <c r="AX6" s="236"/>
      <c r="AY6" s="236"/>
      <c r="AZ6" s="236"/>
      <c r="BA6" s="236"/>
      <c r="BB6" s="236"/>
      <c r="BC6" s="236"/>
      <c r="BD6" s="236"/>
    </row>
    <row r="7" s="234" customFormat="1" ht="0.2" customHeight="1" spans="7:56">
      <c r="G7" s="236"/>
      <c r="H7" s="236"/>
      <c r="I7" s="236"/>
      <c r="J7" s="236"/>
      <c r="K7" s="236"/>
      <c r="L7" s="236"/>
      <c r="M7" s="240" t="s">
        <v>355</v>
      </c>
      <c r="N7" s="241">
        <f ca="1">SUMPRODUCT($M$21:$M$421,$K$21:$K$421,N$21:N$421)*$P$4</f>
        <v>44.7977624822365</v>
      </c>
      <c r="O7" s="241">
        <f ca="1" t="shared" ref="O7:R7" si="0">SUMPRODUCT($M$21:$M$421,$K$21:$K$421,O$21:O$421)*$P$4</f>
        <v>140.975141637229</v>
      </c>
      <c r="P7" s="241">
        <f ca="1" t="shared" si="0"/>
        <v>164.671655338276</v>
      </c>
      <c r="Q7" s="241">
        <f ca="1" t="shared" si="0"/>
        <v>109.042006319988</v>
      </c>
      <c r="R7" s="241">
        <f ca="1" t="shared" si="0"/>
        <v>82.6499307652496</v>
      </c>
      <c r="S7" s="236"/>
      <c r="T7" s="236"/>
      <c r="U7" s="236"/>
      <c r="V7" s="236"/>
      <c r="W7" s="236"/>
      <c r="X7" s="236"/>
      <c r="Y7" s="236"/>
      <c r="Z7" s="236"/>
      <c r="AA7" s="236"/>
      <c r="AB7" s="236"/>
      <c r="AC7" s="236"/>
      <c r="AD7" s="236"/>
      <c r="AE7" s="236"/>
      <c r="AF7" s="236"/>
      <c r="AG7" s="236"/>
      <c r="AH7" s="236"/>
      <c r="AI7" s="236"/>
      <c r="AJ7" s="236"/>
      <c r="AK7" s="236"/>
      <c r="AL7" s="236"/>
      <c r="AM7" s="240" t="s">
        <v>355</v>
      </c>
      <c r="AN7" s="241">
        <f ca="1">SUMPRODUCT($AM$21:$AM$421,$AK$21:$AK$421,AN$21:AN$421)*$AP$4</f>
        <v>73.2418747529315</v>
      </c>
      <c r="AO7" s="241">
        <f ca="1" t="shared" ref="AO7:AR7" si="1">SUMPRODUCT($AM$21:$AM$421,$AK$21:$AK$421,AO$21:AO$421)*$AP$4</f>
        <v>156.892817605798</v>
      </c>
      <c r="AP7" s="241">
        <f ca="1" t="shared" si="1"/>
        <v>168.033033510749</v>
      </c>
      <c r="AQ7" s="241">
        <f ca="1" t="shared" si="1"/>
        <v>137.885760786837</v>
      </c>
      <c r="AR7" s="241">
        <f ca="1" t="shared" si="1"/>
        <v>116.827272730752</v>
      </c>
      <c r="AS7" s="236"/>
      <c r="AT7" s="236"/>
      <c r="AU7" s="236"/>
      <c r="AV7" s="236"/>
      <c r="AW7" s="236"/>
      <c r="AX7" s="236"/>
      <c r="AY7" s="236"/>
      <c r="AZ7" s="236"/>
      <c r="BA7" s="236"/>
      <c r="BB7" s="236"/>
      <c r="BC7" s="236"/>
      <c r="BD7" s="236"/>
    </row>
    <row r="8" s="234" customFormat="1" ht="0.2" customHeight="1" spans="7:56">
      <c r="G8" s="236"/>
      <c r="H8" s="236"/>
      <c r="I8" s="236"/>
      <c r="J8" s="236"/>
      <c r="K8" s="236"/>
      <c r="L8" s="236"/>
      <c r="M8" s="240" t="s">
        <v>356</v>
      </c>
      <c r="N8" s="242">
        <f ca="1">1000*N7/$Q$5*$Q$4/$P$4</f>
        <v>0.46040398919542</v>
      </c>
      <c r="O8" s="242">
        <f ca="1" t="shared" ref="O8:R8" si="2">1000*O7/$Q$5*$Q$4/$P$4</f>
        <v>1.4488562372486</v>
      </c>
      <c r="P8" s="242">
        <f ca="1" t="shared" si="2"/>
        <v>1.69239450419468</v>
      </c>
      <c r="Q8" s="242">
        <f ca="1" t="shared" si="2"/>
        <v>1.12066701365949</v>
      </c>
      <c r="R8" s="242">
        <f ca="1" t="shared" si="2"/>
        <v>0.849425411506545</v>
      </c>
      <c r="S8" s="236"/>
      <c r="T8" s="236"/>
      <c r="U8" s="236"/>
      <c r="V8" s="236"/>
      <c r="W8" s="236"/>
      <c r="X8" s="236"/>
      <c r="Y8" s="236"/>
      <c r="Z8" s="236"/>
      <c r="AA8" s="236"/>
      <c r="AB8" s="236"/>
      <c r="AC8" s="236"/>
      <c r="AD8" s="236"/>
      <c r="AE8" s="236"/>
      <c r="AF8" s="236"/>
      <c r="AG8" s="236"/>
      <c r="AH8" s="236"/>
      <c r="AI8" s="236"/>
      <c r="AJ8" s="236"/>
      <c r="AK8" s="236"/>
      <c r="AL8" s="236"/>
      <c r="AM8" s="240" t="s">
        <v>356</v>
      </c>
      <c r="AN8" s="242">
        <f ca="1">1000*AN7/$AQ$5*$AQ$4/$AP$4</f>
        <v>0.752735168989126</v>
      </c>
      <c r="AO8" s="242">
        <f ca="1" t="shared" ref="AO8:AR8" si="3">1000*AO7/$AQ$5*$AQ$4/$AP$4</f>
        <v>1.61244837017165</v>
      </c>
      <c r="AP8" s="242">
        <f ca="1" t="shared" si="3"/>
        <v>1.72694069208553</v>
      </c>
      <c r="AQ8" s="242">
        <f ca="1" t="shared" si="3"/>
        <v>1.41710547138772</v>
      </c>
      <c r="AR8" s="242">
        <f ca="1" t="shared" si="3"/>
        <v>1.20067921770396</v>
      </c>
      <c r="AS8" s="236"/>
      <c r="AT8" s="236"/>
      <c r="AU8" s="236"/>
      <c r="AV8" s="236"/>
      <c r="AW8" s="236"/>
      <c r="AX8" s="236"/>
      <c r="AY8" s="236"/>
      <c r="AZ8" s="236"/>
      <c r="BA8" s="236"/>
      <c r="BB8" s="236"/>
      <c r="BC8" s="236"/>
      <c r="BD8" s="236"/>
    </row>
    <row r="9" s="234" customFormat="1" ht="0.2" customHeight="1" spans="7:56">
      <c r="G9" s="236"/>
      <c r="H9" s="236"/>
      <c r="I9" s="236"/>
      <c r="J9" s="236"/>
      <c r="K9" s="236"/>
      <c r="L9" s="236"/>
      <c r="M9" s="240" t="s">
        <v>357</v>
      </c>
      <c r="N9" s="242">
        <f ca="1">N8/AN8</f>
        <v>0.611641395490678</v>
      </c>
      <c r="O9" s="242">
        <f ca="1" t="shared" ref="O9:R9" si="4">O8/AO8</f>
        <v>0.898544266006089</v>
      </c>
      <c r="P9" s="242">
        <f ca="1" t="shared" si="4"/>
        <v>0.979995729992825</v>
      </c>
      <c r="Q9" s="242">
        <f ca="1" t="shared" si="4"/>
        <v>0.790814118134802</v>
      </c>
      <c r="R9" s="242">
        <f ca="1" t="shared" si="4"/>
        <v>0.707454080142146</v>
      </c>
      <c r="S9" s="236"/>
      <c r="T9" s="236"/>
      <c r="U9" s="236"/>
      <c r="V9" s="236"/>
      <c r="W9" s="236"/>
      <c r="X9" s="236"/>
      <c r="Y9" s="236"/>
      <c r="Z9" s="236"/>
      <c r="AA9" s="236"/>
      <c r="AB9" s="236"/>
      <c r="AC9" s="236"/>
      <c r="AD9" s="236"/>
      <c r="AE9" s="236"/>
      <c r="AF9" s="236"/>
      <c r="AG9" s="236"/>
      <c r="AH9" s="236"/>
      <c r="AI9" s="236"/>
      <c r="AJ9" s="236"/>
      <c r="AK9" s="236"/>
      <c r="AL9" s="236"/>
      <c r="AM9" s="240" t="s">
        <v>357</v>
      </c>
      <c r="AN9" s="242">
        <f ca="1">AN8/AN8</f>
        <v>1</v>
      </c>
      <c r="AO9" s="242">
        <f ca="1" t="shared" ref="AO9:AR9" si="5">AO8/AO8</f>
        <v>1</v>
      </c>
      <c r="AP9" s="242">
        <f ca="1" t="shared" si="5"/>
        <v>1</v>
      </c>
      <c r="AQ9" s="242">
        <f ca="1" t="shared" si="5"/>
        <v>1</v>
      </c>
      <c r="AR9" s="242">
        <f ca="1" t="shared" si="5"/>
        <v>1</v>
      </c>
      <c r="AS9" s="236"/>
      <c r="AT9" s="236"/>
      <c r="AU9" s="236"/>
      <c r="AV9" s="236"/>
      <c r="AW9" s="236"/>
      <c r="AX9" s="236"/>
      <c r="AY9" s="236"/>
      <c r="AZ9" s="236"/>
      <c r="BA9" s="236"/>
      <c r="BB9" s="236"/>
      <c r="BC9" s="236"/>
      <c r="BD9" s="236"/>
    </row>
    <row r="10" s="234" customFormat="1" ht="0.2" customHeight="1" spans="7:56">
      <c r="G10" s="236"/>
      <c r="H10" s="236"/>
      <c r="I10" s="236"/>
      <c r="J10" s="236"/>
      <c r="K10" s="236"/>
      <c r="L10" s="236"/>
      <c r="M10" s="240" t="s">
        <v>358</v>
      </c>
      <c r="N10" s="241">
        <f ca="1">1000*N7/AN8*$Q$4/$P$4</f>
        <v>0.595133113580929</v>
      </c>
      <c r="O10" s="241">
        <f ca="1" t="shared" ref="O10:R10" si="6">1000*O7/AO8*$Q$4/$P$4</f>
        <v>0.874292437792733</v>
      </c>
      <c r="P10" s="241">
        <f ca="1" t="shared" si="6"/>
        <v>0.95354551602702</v>
      </c>
      <c r="Q10" s="241">
        <f ca="1" t="shared" si="6"/>
        <v>0.769469940816806</v>
      </c>
      <c r="R10" s="241">
        <f ca="1" t="shared" si="6"/>
        <v>0.688359801240667</v>
      </c>
      <c r="S10" s="236"/>
      <c r="T10" s="236"/>
      <c r="U10" s="236"/>
      <c r="V10" s="236"/>
      <c r="W10" s="236"/>
      <c r="X10" s="236"/>
      <c r="Y10" s="236"/>
      <c r="Z10" s="236"/>
      <c r="AA10" s="236"/>
      <c r="AB10" s="236"/>
      <c r="AC10" s="236"/>
      <c r="AD10" s="236"/>
      <c r="AE10" s="236"/>
      <c r="AF10" s="236"/>
      <c r="AG10" s="236"/>
      <c r="AH10" s="236"/>
      <c r="AI10" s="236"/>
      <c r="AJ10" s="236"/>
      <c r="AK10" s="236"/>
      <c r="AL10" s="236"/>
      <c r="AM10" s="240" t="s">
        <v>358</v>
      </c>
      <c r="AN10" s="241">
        <f ca="1">1000*AN7/AN8*$AQ$4/$AP$4</f>
        <v>0.97300986814912</v>
      </c>
      <c r="AO10" s="241">
        <f ca="1" t="shared" ref="AO10:AR10" si="7">1000*AO7/AO8*$AQ$4/$AP$4</f>
        <v>0.97300986814912</v>
      </c>
      <c r="AP10" s="241">
        <f ca="1" t="shared" si="7"/>
        <v>0.97300986814912</v>
      </c>
      <c r="AQ10" s="241">
        <f ca="1" t="shared" si="7"/>
        <v>0.97300986814912</v>
      </c>
      <c r="AR10" s="241">
        <f ca="1" t="shared" si="7"/>
        <v>0.97300986814912</v>
      </c>
      <c r="AS10" s="236"/>
      <c r="AT10" s="236"/>
      <c r="AU10" s="236"/>
      <c r="AV10" s="236"/>
      <c r="AW10" s="236"/>
      <c r="AX10" s="236"/>
      <c r="AY10" s="236"/>
      <c r="AZ10" s="236"/>
      <c r="BA10" s="236"/>
      <c r="BB10" s="236"/>
      <c r="BC10" s="236"/>
      <c r="BD10" s="236"/>
    </row>
    <row r="11" s="234" customFormat="1" ht="0.2" customHeight="1" spans="7:56">
      <c r="G11" s="236"/>
      <c r="H11" s="236"/>
      <c r="I11" s="236"/>
      <c r="J11" s="236"/>
      <c r="K11" s="236"/>
      <c r="L11" s="236"/>
      <c r="M11" s="240" t="s">
        <v>359</v>
      </c>
      <c r="N11" s="243">
        <f ca="1">LOG(SUMPRODUCT($S$21:$S$421,$K$21:$K$421,T$21:T$421)*$R$4)</f>
        <v>13.9967538523548</v>
      </c>
      <c r="O11" s="243">
        <f ca="1" t="shared" ref="O11:R11" si="8">LOG(SUMPRODUCT($S$21:$S$421,$K$21:$K$421,U$21:U$421)*$R$4)</f>
        <v>14.5860126577746</v>
      </c>
      <c r="P11" s="243">
        <f ca="1" t="shared" si="8"/>
        <v>14.6739867631726</v>
      </c>
      <c r="Q11" s="243">
        <f ca="1" t="shared" si="8"/>
        <v>14.446982399065</v>
      </c>
      <c r="R11" s="243">
        <f ca="1" t="shared" si="8"/>
        <v>14.3083983083928</v>
      </c>
      <c r="S11" s="236"/>
      <c r="T11" s="236"/>
      <c r="U11" s="236"/>
      <c r="V11" s="236"/>
      <c r="W11" s="236"/>
      <c r="X11" s="236"/>
      <c r="Y11" s="236"/>
      <c r="Z11" s="236"/>
      <c r="AA11" s="236"/>
      <c r="AB11" s="236"/>
      <c r="AC11" s="236"/>
      <c r="AD11" s="236"/>
      <c r="AE11" s="236"/>
      <c r="AF11" s="236"/>
      <c r="AG11" s="236"/>
      <c r="AH11" s="236"/>
      <c r="AI11" s="236"/>
      <c r="AJ11" s="236"/>
      <c r="AK11" s="236"/>
      <c r="AL11" s="236"/>
      <c r="AM11" s="240" t="s">
        <v>359</v>
      </c>
      <c r="AN11" s="243">
        <f ca="1">LOG(SUMPRODUCT($AS$21:$AS$421,$AK$21:$AK$421,AT$21:AT$421)*$AR$4)</f>
        <v>14.2102569818526</v>
      </c>
      <c r="AO11" s="243">
        <f ca="1" t="shared" ref="AO11:AR11" si="9">LOG(SUMPRODUCT($AS$21:$AS$421,$AK$21:$AK$421,AU$21:AU$421)*$AR$4)</f>
        <v>14.6324731806606</v>
      </c>
      <c r="AP11" s="243">
        <f ca="1" t="shared" si="9"/>
        <v>14.6827625797705</v>
      </c>
      <c r="AQ11" s="243">
        <f ca="1" t="shared" si="9"/>
        <v>14.5489079850429</v>
      </c>
      <c r="AR11" s="243">
        <f ca="1" t="shared" si="9"/>
        <v>14.4587000527309</v>
      </c>
      <c r="AS11" s="236"/>
      <c r="AT11" s="236"/>
      <c r="AU11" s="236"/>
      <c r="AV11" s="236"/>
      <c r="AW11" s="236"/>
      <c r="AX11" s="236"/>
      <c r="AY11" s="236"/>
      <c r="AZ11" s="236"/>
      <c r="BA11" s="236"/>
      <c r="BB11" s="236"/>
      <c r="BC11" s="236"/>
      <c r="BD11" s="236"/>
    </row>
    <row r="12" s="234" customFormat="1" ht="0.2" customHeight="1" spans="7:56">
      <c r="G12" s="236"/>
      <c r="H12" s="236"/>
      <c r="I12" s="236"/>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row>
    <row r="13" s="234" customFormat="1" ht="0.2" customHeight="1" spans="7:56">
      <c r="G13" s="236"/>
      <c r="H13" s="236"/>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row>
    <row r="14" s="234" customFormat="1" ht="0.2" customHeight="1" spans="7:56">
      <c r="G14" s="236"/>
      <c r="H14" s="236"/>
      <c r="I14" s="236" t="s">
        <v>360</v>
      </c>
      <c r="J14" s="236">
        <f>INDEX(Spectra!15:15,1,MATCH($I$20,Spectra!20:20,0))</f>
        <v>1</v>
      </c>
      <c r="K14" s="240" t="s">
        <v>361</v>
      </c>
      <c r="L14" s="240" t="s">
        <v>352</v>
      </c>
      <c r="M14" s="240" t="s">
        <v>362</v>
      </c>
      <c r="N14" s="240">
        <v>27</v>
      </c>
      <c r="O14" s="240">
        <v>28</v>
      </c>
      <c r="P14" s="240">
        <v>29</v>
      </c>
      <c r="Q14" s="240">
        <v>30</v>
      </c>
      <c r="R14" s="240">
        <v>31</v>
      </c>
      <c r="S14" s="240" t="s">
        <v>362</v>
      </c>
      <c r="T14" s="240">
        <v>41</v>
      </c>
      <c r="U14" s="240">
        <v>42</v>
      </c>
      <c r="V14" s="240">
        <v>43</v>
      </c>
      <c r="W14" s="240">
        <v>44</v>
      </c>
      <c r="X14" s="240">
        <v>45</v>
      </c>
      <c r="Y14" s="236" t="s">
        <v>363</v>
      </c>
      <c r="Z14" s="236"/>
      <c r="AA14" s="236"/>
      <c r="AB14" s="236"/>
      <c r="AC14" s="236"/>
      <c r="AD14" s="236"/>
      <c r="AE14" s="236"/>
      <c r="AF14" s="236"/>
      <c r="AG14" s="236"/>
      <c r="AH14" s="236"/>
      <c r="AI14" s="236" t="s">
        <v>360</v>
      </c>
      <c r="AJ14" s="236">
        <f>INDEX(Spectra!15:15,1,MATCH($AI$20,Spectra!20:20,0))</f>
        <v>1</v>
      </c>
      <c r="AK14" s="240" t="s">
        <v>361</v>
      </c>
      <c r="AL14" s="240" t="s">
        <v>352</v>
      </c>
      <c r="AM14" s="240" t="s">
        <v>362</v>
      </c>
      <c r="AN14" s="240">
        <v>27</v>
      </c>
      <c r="AO14" s="240">
        <v>28</v>
      </c>
      <c r="AP14" s="240">
        <v>29</v>
      </c>
      <c r="AQ14" s="240">
        <v>30</v>
      </c>
      <c r="AR14" s="240">
        <v>31</v>
      </c>
      <c r="AS14" s="240" t="s">
        <v>362</v>
      </c>
      <c r="AT14" s="240">
        <v>41</v>
      </c>
      <c r="AU14" s="240">
        <v>42</v>
      </c>
      <c r="AV14" s="240">
        <v>43</v>
      </c>
      <c r="AW14" s="240">
        <v>44</v>
      </c>
      <c r="AX14" s="240">
        <v>45</v>
      </c>
      <c r="AY14" s="236" t="s">
        <v>363</v>
      </c>
      <c r="AZ14" s="236"/>
      <c r="BA14" s="236"/>
      <c r="BB14" s="236"/>
      <c r="BC14" s="236"/>
      <c r="BD14" s="236"/>
    </row>
    <row r="15" s="234" customFormat="1" ht="0.2" customHeight="1" spans="7:56">
      <c r="G15" s="236"/>
      <c r="H15" s="236"/>
      <c r="I15" s="236" t="s">
        <v>364</v>
      </c>
      <c r="J15" s="236">
        <f ca="1">IF(Inputs!$C$8="User",1,L15/K15)</f>
        <v>1</v>
      </c>
      <c r="K15" s="236">
        <f ca="1">INDEX(K$16:K$18,MATCH(TRUE,$J$16:$J$18,0),1)</f>
        <v>3297.65855059458</v>
      </c>
      <c r="L15" s="236">
        <f>INDEX(L$16:L$18,MATCH(TRUE,$J$16:$J$18,0),1)</f>
        <v>0</v>
      </c>
      <c r="M15" s="236"/>
      <c r="N15" s="236"/>
      <c r="O15" s="236"/>
      <c r="P15" s="236"/>
      <c r="Q15" s="236"/>
      <c r="R15" s="236"/>
      <c r="S15" s="236"/>
      <c r="T15" s="236"/>
      <c r="U15" s="236"/>
      <c r="V15" s="236"/>
      <c r="W15" s="236"/>
      <c r="X15" s="236"/>
      <c r="Y15" s="239" t="str">
        <f ca="1">IF(OR(Inputs!B5="",Inputs!C8=""),"Please input a test source and name",IF(Inputs!C8="User",Inputs!B5,"Illuminant "&amp;Inputs!C8)&amp;", Test source")&amp;": "&amp;Physics!F48&amp;" = "&amp;TEXT(AQ5,"0.0")&amp;" "&amp;Physics!G48</f>
        <v>huashubei, Test source: illuminance = 1.0 klx</v>
      </c>
      <c r="Z15" s="236"/>
      <c r="AA15" s="236"/>
      <c r="AB15" s="236"/>
      <c r="AC15" s="236"/>
      <c r="AD15" s="236"/>
      <c r="AE15" s="236"/>
      <c r="AF15" s="236"/>
      <c r="AG15" s="236"/>
      <c r="AH15" s="236"/>
      <c r="AI15" s="236" t="s">
        <v>364</v>
      </c>
      <c r="AJ15" s="236">
        <f ca="1">IF(Inputs!$C$8="User",K16/AK16,AL15/AK15)</f>
        <v>13.3319879209511</v>
      </c>
      <c r="AK15" s="236">
        <f ca="1">INDEX(AK$16:AK$18,MATCH(TRUE,$J$16:$J$18,0),1)</f>
        <v>401</v>
      </c>
      <c r="AL15" s="236">
        <f>INDEX(AL$16:AL$18,MATCH(TRUE,$J$16:$J$18,0),1)</f>
        <v>0</v>
      </c>
      <c r="AM15" s="236"/>
      <c r="AN15" s="236"/>
      <c r="AO15" s="236"/>
      <c r="AP15" s="236"/>
      <c r="AQ15" s="236"/>
      <c r="AR15" s="236"/>
      <c r="AS15" s="236"/>
      <c r="AT15" s="236"/>
      <c r="AU15" s="236"/>
      <c r="AV15" s="236"/>
      <c r="AW15" s="236"/>
      <c r="AX15" s="236"/>
      <c r="AY15" s="239" t="str">
        <f>IF(OR(Inputs!B5="",Inputs!C8=""),"Please input a test source and name",IF('Advanced Inputs'!$J$11="CIE S 026","","IWCNP ")&amp;"α-opic weighted spectra for "&amp;IF(Inputs!C8="User",Inputs!B5,"Illuminant "&amp;Inputs!C8)&amp;", Test")</f>
        <v>IWCNP α-opic weighted spectra for huashubei, Test</v>
      </c>
      <c r="AZ15" s="236"/>
      <c r="BA15" s="236"/>
      <c r="BB15" s="236"/>
      <c r="BC15" s="236"/>
      <c r="BD15" s="236"/>
    </row>
    <row r="16" s="234" customFormat="1" ht="0.2" customHeight="1" spans="7:56">
      <c r="G16" s="236"/>
      <c r="H16" s="236"/>
      <c r="I16" s="236" t="s">
        <v>296</v>
      </c>
      <c r="J16" s="236" t="b">
        <f>Physics!$C$64=$I$16</f>
        <v>0</v>
      </c>
      <c r="K16" s="236">
        <f ca="1">$J$14*Physics!$F$12*SUMPRODUCT($I$21:$I$421,IF($J18,$K$21:$K$421,$J$21:$J$421),$K$21:$K$421,$L$21:$L$421)</f>
        <v>973009.86814912</v>
      </c>
      <c r="L16" s="236">
        <f>IF($J16,Inputs!$C$17,0)</f>
        <v>0</v>
      </c>
      <c r="M16" s="236"/>
      <c r="N16" s="236"/>
      <c r="O16" s="236"/>
      <c r="P16" s="236"/>
      <c r="Q16" s="236"/>
      <c r="R16" s="236"/>
      <c r="S16" s="236"/>
      <c r="T16" s="236"/>
      <c r="U16" s="236"/>
      <c r="V16" s="236"/>
      <c r="W16" s="236"/>
      <c r="X16" s="236"/>
      <c r="Y16" s="239" t="str">
        <f ca="1">IF('Advanced Inputs'!J15="","",'Advanced Inputs'!J15)&amp;", Reference source: "&amp;Physics!F48&amp;" = "&amp;TEXT(AQ5,"0.0")&amp;" "&amp;Physics!G48</f>
        <v>E, Reference source: illuminance = 1.0 klx</v>
      </c>
      <c r="Z16" s="236"/>
      <c r="AA16" s="236"/>
      <c r="AB16" s="236"/>
      <c r="AC16" s="236"/>
      <c r="AD16" s="236"/>
      <c r="AE16" s="236"/>
      <c r="AF16" s="236"/>
      <c r="AG16" s="236"/>
      <c r="AH16" s="236"/>
      <c r="AI16" s="236" t="s">
        <v>296</v>
      </c>
      <c r="AJ16" s="244" t="s">
        <v>365</v>
      </c>
      <c r="AK16" s="236">
        <f ca="1">$AJ$14*Physics!$F$12*SUMPRODUCT($AI$21:$AI$421,IF($AJ18,$AK$21:$AK$421,$AJ$21:$AJ$421),$AK$21:$AK$421,$AL$21:$AL$421)</f>
        <v>72983.1045391244</v>
      </c>
      <c r="AL16" s="236">
        <f>IF($J16,Inputs!$C$17,0)</f>
        <v>0</v>
      </c>
      <c r="AM16" s="236"/>
      <c r="AN16" s="236"/>
      <c r="AO16" s="236"/>
      <c r="AP16" s="236"/>
      <c r="AQ16" s="236"/>
      <c r="AR16" s="236"/>
      <c r="AS16" s="236"/>
      <c r="AT16" s="236"/>
      <c r="AU16" s="236"/>
      <c r="AV16" s="236"/>
      <c r="AW16" s="236"/>
      <c r="AX16" s="236"/>
      <c r="AY16" s="239" t="str">
        <f>IF('Advanced Inputs'!$J$11="CIE S 026","","IWCNP ")&amp;"α-opic weighted spectra for "&amp;IF('Advanced Inputs'!J15="","",'Advanced Inputs'!J15)&amp;", Reference"</f>
        <v>IWCNP α-opic weighted spectra for E, Reference</v>
      </c>
      <c r="AZ16" s="236"/>
      <c r="BA16" s="236"/>
      <c r="BB16" s="236"/>
      <c r="BC16" s="236"/>
      <c r="BD16" s="236"/>
    </row>
    <row r="17" s="234" customFormat="1" ht="0.2" customHeight="1" spans="7:56">
      <c r="G17" s="236"/>
      <c r="H17" s="236"/>
      <c r="I17" s="317" t="s">
        <v>294</v>
      </c>
      <c r="J17" s="236" t="b">
        <f>LEFT(Physics!$C$60,6)="photon"</f>
        <v>0</v>
      </c>
      <c r="K17" s="236">
        <f>$J$14*SUMPRODUCT($I$21:$I$421,IF($J17,$K$21:$K$421,$J$21:$J$421),$K$21:$K$421)</f>
        <v>9.46404192415771e+21</v>
      </c>
      <c r="L17" s="236">
        <f>IF($J17,10^Inputs!$C$17,0)</f>
        <v>0</v>
      </c>
      <c r="M17" s="236"/>
      <c r="N17" s="236"/>
      <c r="O17" s="236"/>
      <c r="P17" s="236"/>
      <c r="Q17" s="236"/>
      <c r="R17" s="236"/>
      <c r="S17" s="236"/>
      <c r="T17" s="236"/>
      <c r="U17" s="236"/>
      <c r="V17" s="236"/>
      <c r="W17" s="236"/>
      <c r="X17" s="236"/>
      <c r="Y17" s="236"/>
      <c r="Z17" s="236"/>
      <c r="AA17" s="236"/>
      <c r="AB17" s="236"/>
      <c r="AC17" s="236"/>
      <c r="AD17" s="236"/>
      <c r="AE17" s="236"/>
      <c r="AF17" s="236"/>
      <c r="AG17" s="236"/>
      <c r="AH17" s="236"/>
      <c r="AI17" s="317" t="s">
        <v>294</v>
      </c>
      <c r="AJ17" s="244" t="b">
        <f>'Advanced Inputs'!$J$19=AI17</f>
        <v>0</v>
      </c>
      <c r="AK17" s="236">
        <f>$AJ$14*SUMPRODUCT($AI$21:$AI$421,IF($AJ17,$AK$21:$AK$421,$AJ$21:$AJ$421),$AK$21:$AK$421)</f>
        <v>1.17116266503184e+21</v>
      </c>
      <c r="AL17" s="236">
        <f>IF($J17,10^Inputs!$C$17,0)</f>
        <v>0</v>
      </c>
      <c r="AM17" s="236"/>
      <c r="AN17" s="236"/>
      <c r="AO17" s="236"/>
      <c r="AP17" s="236"/>
      <c r="AQ17" s="236"/>
      <c r="AR17" s="236"/>
      <c r="AS17" s="236"/>
      <c r="AT17" s="236"/>
      <c r="AU17" s="236"/>
      <c r="AV17" s="236"/>
      <c r="AW17" s="236"/>
      <c r="AX17" s="236"/>
      <c r="AY17" s="245" t="str">
        <f>IF('Advanced Inputs'!$J$11="CIE S 026","","IWCNP ")&amp;"α-opic action spectra"</f>
        <v>IWCNP α-opic action spectra</v>
      </c>
      <c r="AZ17" s="236"/>
      <c r="BA17" s="236"/>
      <c r="BB17" s="236"/>
      <c r="BC17" s="236"/>
      <c r="BD17" s="236"/>
    </row>
    <row r="18" s="234" customFormat="1" ht="0.2" customHeight="1" spans="7:56">
      <c r="G18" s="236"/>
      <c r="H18" s="236"/>
      <c r="I18" s="236" t="s">
        <v>295</v>
      </c>
      <c r="J18" s="236" t="b">
        <f>NOT(J17)</f>
        <v>1</v>
      </c>
      <c r="K18" s="236">
        <f>$J$14*SUMPRODUCT($I$21:$I$421,IF($J18,$K$21:$K$421,$J$21:$J$421),$K$21:$K$421)</f>
        <v>3297.65855059458</v>
      </c>
      <c r="L18" s="236">
        <f>IF(NOT(OR($J$16,$J$17)),Inputs!$C$17,0)</f>
        <v>0</v>
      </c>
      <c r="M18" s="236" t="str">
        <f>Physics!$F$61</f>
        <v>mW.m-2.nm-1</v>
      </c>
      <c r="N18" s="236"/>
      <c r="O18" s="236"/>
      <c r="P18" s="236"/>
      <c r="Q18" s="236"/>
      <c r="R18" s="236"/>
      <c r="S18" s="236" t="str">
        <f>Physics!$F$60</f>
        <v>ms-1.m-2.nm-1</v>
      </c>
      <c r="T18" s="236"/>
      <c r="U18" s="236"/>
      <c r="V18" s="236"/>
      <c r="W18" s="236"/>
      <c r="X18" s="236"/>
      <c r="Y18" s="236" t="str">
        <f>IF(TRUE,M18,S18)</f>
        <v>mW.m-2.nm-1</v>
      </c>
      <c r="Z18" s="236"/>
      <c r="AA18" s="236"/>
      <c r="AB18" s="236"/>
      <c r="AC18" s="236"/>
      <c r="AD18" s="236"/>
      <c r="AE18" s="236"/>
      <c r="AF18" s="236"/>
      <c r="AG18" s="236"/>
      <c r="AH18" s="236"/>
      <c r="AI18" s="236" t="s">
        <v>295</v>
      </c>
      <c r="AJ18" s="244" t="b">
        <f>NOT(AJ17)</f>
        <v>1</v>
      </c>
      <c r="AK18" s="236">
        <f>$AJ$14*SUMPRODUCT($AI$21:$AI$421,IF($AJ18,$AK$21:$AK$421,$AJ$21:$AJ$421),$AK$21:$AK$421)</f>
        <v>401</v>
      </c>
      <c r="AL18" s="236">
        <f>IF(NOT(OR($J$16,$J$17)),Inputs!$C$17,0)</f>
        <v>0</v>
      </c>
      <c r="AM18" s="236" t="str">
        <f>Physics!$F$61</f>
        <v>mW.m-2.nm-1</v>
      </c>
      <c r="AN18" s="236"/>
      <c r="AO18" s="236"/>
      <c r="AP18" s="236"/>
      <c r="AQ18" s="236"/>
      <c r="AR18" s="236"/>
      <c r="AS18" s="236" t="str">
        <f>Physics!$F$60</f>
        <v>ms-1.m-2.nm-1</v>
      </c>
      <c r="AT18" s="236"/>
      <c r="AU18" s="236"/>
      <c r="AV18" s="236"/>
      <c r="AW18" s="236"/>
      <c r="AX18" s="236"/>
      <c r="AY18" s="236" t="str">
        <f>IF(TRUE,AM18,AS18)</f>
        <v>mW.m-2.nm-1</v>
      </c>
      <c r="AZ18" s="236"/>
      <c r="BA18" s="236"/>
      <c r="BB18" s="236"/>
      <c r="BC18" s="236"/>
      <c r="BD18" s="236"/>
    </row>
    <row r="19" s="234" customFormat="1" ht="0.2" customHeight="1" spans="7:5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row>
    <row r="20" s="234" customFormat="1" ht="0.2" customHeight="1" spans="7:56">
      <c r="G20" s="236"/>
      <c r="H20" s="238" t="s">
        <v>111</v>
      </c>
      <c r="I20" s="236" t="str">
        <f>Inputs!$C$8</f>
        <v>User</v>
      </c>
      <c r="J20" s="236" t="s">
        <v>366</v>
      </c>
      <c r="K20" s="236" t="s">
        <v>367</v>
      </c>
      <c r="L20" s="236" t="s">
        <v>368</v>
      </c>
      <c r="M20" s="236" t="s">
        <v>295</v>
      </c>
      <c r="N20" s="236" t="str">
        <f ca="1">INDEX(Photobiology!$20:$20,1,N$14)</f>
        <v>sc</v>
      </c>
      <c r="O20" s="236" t="str">
        <f ca="1">INDEX(Photobiology!$20:$20,1,O$14)</f>
        <v>mc</v>
      </c>
      <c r="P20" s="236" t="str">
        <f ca="1">INDEX(Photobiology!$20:$20,1,P$14)</f>
        <v>lc</v>
      </c>
      <c r="Q20" s="236" t="str">
        <f ca="1">INDEX(Photobiology!$20:$20,1,Q$14)</f>
        <v>r</v>
      </c>
      <c r="R20" s="236" t="str">
        <f ca="1">INDEX(Photobiology!$20:$20,1,R$14)</f>
        <v>z</v>
      </c>
      <c r="S20" s="236" t="s">
        <v>294</v>
      </c>
      <c r="T20" s="236" t="str">
        <f ca="1">N20</f>
        <v>sc</v>
      </c>
      <c r="U20" s="236" t="str">
        <f ca="1" t="shared" ref="U20:X20" si="10">O20</f>
        <v>mc</v>
      </c>
      <c r="V20" s="236" t="str">
        <f ca="1" t="shared" si="10"/>
        <v>lc</v>
      </c>
      <c r="W20" s="236" t="str">
        <f ca="1" t="shared" si="10"/>
        <v>r</v>
      </c>
      <c r="X20" s="236" t="str">
        <f ca="1" t="shared" si="10"/>
        <v>z</v>
      </c>
      <c r="Y20" s="236" t="str">
        <f>IF(TRUE,M20,S20)</f>
        <v>Radiometric</v>
      </c>
      <c r="Z20" s="236" t="str">
        <f ca="1">N20</f>
        <v>sc</v>
      </c>
      <c r="AA20" s="236" t="str">
        <f ca="1" t="shared" ref="AA20:AD20" si="11">O20</f>
        <v>mc</v>
      </c>
      <c r="AB20" s="236" t="str">
        <f ca="1" t="shared" si="11"/>
        <v>lc</v>
      </c>
      <c r="AC20" s="236" t="str">
        <f ca="1" t="shared" si="11"/>
        <v>r</v>
      </c>
      <c r="AD20" s="236" t="str">
        <f ca="1" t="shared" si="11"/>
        <v>z</v>
      </c>
      <c r="AE20" s="236"/>
      <c r="AF20" s="236"/>
      <c r="AG20" s="236"/>
      <c r="AH20" s="238" t="s">
        <v>111</v>
      </c>
      <c r="AI20" s="236" t="str">
        <f>'Advanced Inputs'!$J$15</f>
        <v>E</v>
      </c>
      <c r="AJ20" s="236" t="s">
        <v>366</v>
      </c>
      <c r="AK20" s="236" t="s">
        <v>367</v>
      </c>
      <c r="AL20" s="236" t="s">
        <v>368</v>
      </c>
      <c r="AM20" s="236" t="s">
        <v>295</v>
      </c>
      <c r="AN20" s="236" t="str">
        <f ca="1">INDEX(Photobiology!$20:$20,1,AN$14)</f>
        <v>sc</v>
      </c>
      <c r="AO20" s="236" t="str">
        <f ca="1">INDEX(Photobiology!$20:$20,1,AO$14)</f>
        <v>mc</v>
      </c>
      <c r="AP20" s="236" t="str">
        <f ca="1">INDEX(Photobiology!$20:$20,1,AP$14)</f>
        <v>lc</v>
      </c>
      <c r="AQ20" s="236" t="str">
        <f ca="1">INDEX(Photobiology!$20:$20,1,AQ$14)</f>
        <v>r</v>
      </c>
      <c r="AR20" s="236" t="str">
        <f ca="1">INDEX(Photobiology!$20:$20,1,AR$14)</f>
        <v>z</v>
      </c>
      <c r="AS20" s="236" t="s">
        <v>294</v>
      </c>
      <c r="AT20" s="236" t="str">
        <f ca="1">AN20</f>
        <v>sc</v>
      </c>
      <c r="AU20" s="236" t="str">
        <f ca="1" t="shared" ref="AU20:AX20" si="12">AO20</f>
        <v>mc</v>
      </c>
      <c r="AV20" s="236" t="str">
        <f ca="1" t="shared" si="12"/>
        <v>lc</v>
      </c>
      <c r="AW20" s="236" t="str">
        <f ca="1" t="shared" si="12"/>
        <v>r</v>
      </c>
      <c r="AX20" s="236" t="str">
        <f ca="1" t="shared" si="12"/>
        <v>z</v>
      </c>
      <c r="AY20" s="236" t="str">
        <f>IF(TRUE,AM20,AS20)</f>
        <v>Radiometric</v>
      </c>
      <c r="AZ20" s="236" t="str">
        <f ca="1">AN20</f>
        <v>sc</v>
      </c>
      <c r="BA20" s="236" t="str">
        <f ca="1" t="shared" ref="BA20:BD20" si="13">AO20</f>
        <v>mc</v>
      </c>
      <c r="BB20" s="236" t="str">
        <f ca="1" t="shared" si="13"/>
        <v>lc</v>
      </c>
      <c r="BC20" s="236" t="str">
        <f ca="1" t="shared" si="13"/>
        <v>r</v>
      </c>
      <c r="BD20" s="236" t="str">
        <f ca="1" t="shared" si="13"/>
        <v>z</v>
      </c>
    </row>
    <row r="21" s="234" customFormat="1" ht="0.2" customHeight="1" spans="7:56">
      <c r="G21" s="236"/>
      <c r="H21" s="236">
        <v>380</v>
      </c>
      <c r="I21" s="236">
        <f>INDEX(Spectra!21:21,1,MATCH($I$20,Spectra!$20:$20,0))</f>
        <v>0.0216085294327167</v>
      </c>
      <c r="J21" s="236">
        <f>((Physics!$C$9*Physics!$C$10)/(Physics!$C$11*Physics!$C$12*$H21))^($J$17-$J$18)</f>
        <v>1.91349992566902e+18</v>
      </c>
      <c r="K21" s="236">
        <f>(H21&lt;&gt;H20)*1</f>
        <v>1</v>
      </c>
      <c r="L21" s="236">
        <f ca="1">INDEX(Photobiology!$21:$421,1+$H21-380,10)</f>
        <v>3.9e-5</v>
      </c>
      <c r="M21" s="236">
        <f ca="1">$I21*$J$15*IF($J$18,1,$J21)</f>
        <v>0.0216085294327167</v>
      </c>
      <c r="N21" s="236">
        <f ca="1">INDEX(Photobiology!$21:$421,1+$H21-380,N$14)</f>
        <v>0.00535929915560725</v>
      </c>
      <c r="O21" s="236">
        <f ca="1">INDEX(Photobiology!$21:$421,1+$H21-380,O$14)</f>
        <v>0.000924583204489533</v>
      </c>
      <c r="P21" s="236">
        <f ca="1">INDEX(Photobiology!$21:$421,1+$H21-380,P$14)</f>
        <v>0.000854175282546522</v>
      </c>
      <c r="Q21" s="236">
        <f ca="1">INDEX(Photobiology!$21:$421,1+$H21-380,Q$14)</f>
        <v>0.00106574180050091</v>
      </c>
      <c r="R21" s="236">
        <f ca="1">INDEX(Photobiology!$21:$421,1+$H21-380,R$14)</f>
        <v>0.000918165563099261</v>
      </c>
      <c r="S21" s="236">
        <f ca="1">$I21*$J$15*IF($J$17,1,$J21)</f>
        <v>4.13479194633202e+16</v>
      </c>
      <c r="T21" s="236">
        <f ca="1">INDEX(Photobiology!$21:$421,1+$H21-380,T$14)</f>
        <v>0.00620550428543997</v>
      </c>
      <c r="U21" s="236">
        <f ca="1">INDEX(Photobiology!$21:$421,1+$H21-380,U$14)</f>
        <v>0.00132125811738633</v>
      </c>
      <c r="V21" s="236">
        <f ca="1">INDEX(Photobiology!$21:$421,1+$H21-380,V$14)</f>
        <v>0.00127963603737704</v>
      </c>
      <c r="W21" s="236">
        <f ca="1">INDEX(Photobiology!$21:$421,1+$H21-380,W$14)</f>
        <v>0.00142959202131611</v>
      </c>
      <c r="X21" s="236">
        <f ca="1">INDEX(Photobiology!$21:$421,1+$H21-380,X$14)</f>
        <v>0.00118099583119655</v>
      </c>
      <c r="Y21" s="236">
        <f ca="1" t="shared" ref="Y21:Y84" si="14">IF(TRUE,M21,S21)</f>
        <v>0.0216085294327167</v>
      </c>
      <c r="Z21" s="236">
        <f ca="1">$Y21*N21</f>
        <v>0.000115806573542673</v>
      </c>
      <c r="AA21" s="236">
        <f ca="1" t="shared" ref="AA21:AA84" si="15">$Y21*O21</f>
        <v>1.99788833872076e-5</v>
      </c>
      <c r="AB21" s="236">
        <f ca="1" t="shared" ref="AB21:AB84" si="16">$Y21*P21</f>
        <v>1.84574717336056e-5</v>
      </c>
      <c r="AC21" s="236">
        <f ca="1" t="shared" ref="AC21:AC84" si="17">$Y21*Q21</f>
        <v>2.30291130638004e-5</v>
      </c>
      <c r="AD21" s="236">
        <f ca="1" t="shared" ref="AD21:AD84" si="18">$Y21*R21</f>
        <v>1.98402075943373e-5</v>
      </c>
      <c r="AE21" s="236"/>
      <c r="AF21" s="236"/>
      <c r="AG21" s="236"/>
      <c r="AH21" s="236">
        <v>380</v>
      </c>
      <c r="AI21" s="236">
        <f>INDEX(Spectra!21:21,1,MATCH($AI$20,Spectra!$20:$20,0))</f>
        <v>1</v>
      </c>
      <c r="AJ21" s="236">
        <f>((Physics!$C$9*Physics!$C$10)/(Physics!$C$11*Physics!$C$12*$AH21))^($AJ$17-$AJ$18)</f>
        <v>1.91349992566902e+18</v>
      </c>
      <c r="AK21" s="236">
        <f>(AH21&lt;&gt;AH20)*1</f>
        <v>1</v>
      </c>
      <c r="AL21" s="236">
        <f ca="1">INDEX(Photobiology!$21:$421,1+$AH21-380,10)</f>
        <v>3.9e-5</v>
      </c>
      <c r="AM21" s="236">
        <f ca="1">$AI21*$AJ$15*IF($AJ$18,1,$AJ21)</f>
        <v>13.3319879209511</v>
      </c>
      <c r="AN21" s="236">
        <f ca="1">INDEX(Photobiology!$21:$421,1+$AH21-380,AN$14)</f>
        <v>0.00535929915560725</v>
      </c>
      <c r="AO21" s="236">
        <f ca="1">INDEX(Photobiology!$21:$421,1+$AH21-380,AO$14)</f>
        <v>0.000924583204489533</v>
      </c>
      <c r="AP21" s="236">
        <f ca="1">INDEX(Photobiology!$21:$421,1+$AH21-380,AP$14)</f>
        <v>0.000854175282546522</v>
      </c>
      <c r="AQ21" s="236">
        <f ca="1">INDEX(Photobiology!$21:$421,1+$AH21-380,AQ$14)</f>
        <v>0.00106574180050091</v>
      </c>
      <c r="AR21" s="236">
        <f ca="1">INDEX(Photobiology!$21:$421,1+$AH21-380,AR$14)</f>
        <v>0.000918165563099261</v>
      </c>
      <c r="AS21" s="236">
        <f ca="1">$AI21*$AJ$15*IF($AJ$17,1,$AJ21)</f>
        <v>2.55107578957603e+19</v>
      </c>
      <c r="AT21" s="236">
        <f ca="1">INDEX(Photobiology!$21:$421,1+$AH21-380,AT$14)</f>
        <v>0.00620550428543997</v>
      </c>
      <c r="AU21" s="236">
        <f ca="1">INDEX(Photobiology!$21:$421,1+$AH21-380,AU$14)</f>
        <v>0.00132125811738633</v>
      </c>
      <c r="AV21" s="236">
        <f ca="1">INDEX(Photobiology!$21:$421,1+$AH21-380,AV$14)</f>
        <v>0.00127963603737704</v>
      </c>
      <c r="AW21" s="236">
        <f ca="1">INDEX(Photobiology!$21:$421,1+$AH21-380,AW$14)</f>
        <v>0.00142959202131611</v>
      </c>
      <c r="AX21" s="236">
        <f ca="1">INDEX(Photobiology!$21:$421,1+$AH21-380,AX$14)</f>
        <v>0.00118099583119655</v>
      </c>
      <c r="AY21" s="236">
        <f ca="1" t="shared" ref="AY21:AY84" si="19">IF(TRUE,AM21,AS21)</f>
        <v>13.3319879209511</v>
      </c>
      <c r="AZ21" s="236">
        <f ca="1">$AY21*AN21</f>
        <v>0.0714501116073195</v>
      </c>
      <c r="BA21" s="236">
        <f ca="1" t="shared" ref="BA21:BA84" si="20">$AY21*AO21</f>
        <v>0.0123265321141688</v>
      </c>
      <c r="BB21" s="236">
        <f ca="1" t="shared" ref="BB21:BB84" si="21">$AY21*AP21</f>
        <v>0.0113878545492853</v>
      </c>
      <c r="BC21" s="236">
        <f ca="1" t="shared" ref="BC21:BC84" si="22">$AY21*AQ21</f>
        <v>0.0142084568111309</v>
      </c>
      <c r="BD21" s="236">
        <f ca="1" t="shared" ref="BD21:BD84" si="23">$AY21*AR21</f>
        <v>0.0122409721966726</v>
      </c>
    </row>
    <row r="22" s="234" customFormat="1" ht="0.2" customHeight="1" spans="7:56">
      <c r="G22" s="236"/>
      <c r="H22" s="236">
        <f t="shared" ref="H22:H85" si="24">MIN(780,H21+$J$14)</f>
        <v>381</v>
      </c>
      <c r="I22" s="236">
        <f>IF($H22&gt;$H21,INDEX(Spectra!22:22,1,MATCH($I$20,Spectra!$20:$20,0)),I21)</f>
        <v>0.018694264470188</v>
      </c>
      <c r="J22" s="236">
        <f>((Physics!$C$9*Physics!$C$10)/(Physics!$C$11*Physics!$C$12*$H22))^($J$17-$J$18)</f>
        <v>1.9185354517892e+18</v>
      </c>
      <c r="K22" s="236">
        <f t="shared" ref="K22:K85" si="25">(H22&lt;&gt;H21)*1</f>
        <v>1</v>
      </c>
      <c r="L22" s="236">
        <f ca="1">INDEX(Photobiology!$21:$421,1+$H22-380,10)</f>
        <v>4.28264e-5</v>
      </c>
      <c r="M22" s="236">
        <f ca="1" t="shared" ref="M22:M85" si="26">$I22*$J$15*IF($J$18,1,$J22)</f>
        <v>0.018694264470188</v>
      </c>
      <c r="N22" s="236">
        <f ca="1">INDEX(Photobiology!$21:$421,1+$H22-380,N$14)</f>
        <v>0.00612622580054943</v>
      </c>
      <c r="O22" s="236">
        <f ca="1">INDEX(Photobiology!$21:$421,1+$H22-380,O$14)</f>
        <v>0.00103210290396338</v>
      </c>
      <c r="P22" s="236">
        <f ca="1">INDEX(Photobiology!$21:$421,1+$H22-380,P$14)</f>
        <v>0.000956169750092272</v>
      </c>
      <c r="Q22" s="236">
        <f ca="1">INDEX(Photobiology!$21:$421,1+$H22-380,Q$14)</f>
        <v>0.00119178248901139</v>
      </c>
      <c r="R22" s="236">
        <f ca="1">INDEX(Photobiology!$21:$421,1+$H22-380,R$14)</f>
        <v>0.00103288031365703</v>
      </c>
      <c r="S22" s="236">
        <f ca="1" t="shared" ref="S22:S85" si="27">$I22*$J$15*IF($J$17,1,$J22)</f>
        <v>3.58656091311789e+16</v>
      </c>
      <c r="T22" s="236">
        <f ca="1">INDEX(Photobiology!$21:$421,1+$H22-380,T$14)</f>
        <v>0.00707490643633005</v>
      </c>
      <c r="U22" s="236">
        <f ca="1">INDEX(Photobiology!$21:$421,1+$H22-380,U$14)</f>
        <v>0.00147103596030406</v>
      </c>
      <c r="V22" s="236">
        <f ca="1">INDEX(Photobiology!$21:$421,1+$H22-380,V$14)</f>
        <v>0.00142867380922417</v>
      </c>
      <c r="W22" s="236">
        <f ca="1">INDEX(Photobiology!$21:$421,1+$H22-380,W$14)</f>
        <v>0.00159446773921016</v>
      </c>
      <c r="X22" s="236">
        <f ca="1">INDEX(Photobiology!$21:$421,1+$H22-380,X$14)</f>
        <v>0.00132506134718622</v>
      </c>
      <c r="Y22" s="236">
        <f ca="1" t="shared" si="14"/>
        <v>0.018694264470188</v>
      </c>
      <c r="Z22" s="236">
        <f ca="1" t="shared" ref="Z22:Z85" si="28">$Y22*N22</f>
        <v>0.00011452528531956</v>
      </c>
      <c r="AA22" s="236">
        <f ca="1" t="shared" si="15"/>
        <v>1.92944046471405e-5</v>
      </c>
      <c r="AB22" s="236">
        <f ca="1" t="shared" si="16"/>
        <v>1.78748901866185e-5</v>
      </c>
      <c r="AC22" s="236">
        <f ca="1" t="shared" si="17"/>
        <v>2.22794970405178e-5</v>
      </c>
      <c r="AD22" s="236">
        <f ca="1" t="shared" si="18"/>
        <v>1.93089377495552e-5</v>
      </c>
      <c r="AE22" s="236"/>
      <c r="AF22" s="236"/>
      <c r="AG22" s="236"/>
      <c r="AH22" s="236">
        <f t="shared" ref="AH22:AH85" si="29">MIN(780,AH21+$AJ$14)</f>
        <v>381</v>
      </c>
      <c r="AI22" s="236">
        <f>IF($AH22&gt;$AH21,INDEX(Spectra!22:22,1,MATCH($AI$20,Spectra!$20:$20,0)),AI21)</f>
        <v>1</v>
      </c>
      <c r="AJ22" s="236">
        <f>((Physics!$C$9*Physics!$C$10)/(Physics!$C$11*Physics!$C$12*$AH22))^($AJ$17-$AJ$18)</f>
        <v>1.9185354517892e+18</v>
      </c>
      <c r="AK22" s="236">
        <f t="shared" ref="AK22:AK85" si="30">(AH22&lt;&gt;AH21)*1</f>
        <v>1</v>
      </c>
      <c r="AL22" s="236">
        <f ca="1">INDEX(Photobiology!$21:$421,1+$AH22-380,10)</f>
        <v>4.28264e-5</v>
      </c>
      <c r="AM22" s="236">
        <f ca="1" t="shared" ref="AM22:AM85" si="31">$AI22*$AJ$15*IF($AJ$18,1,$AJ22)</f>
        <v>13.3319879209511</v>
      </c>
      <c r="AN22" s="236">
        <f ca="1">INDEX(Photobiology!$21:$421,1+$AH22-380,AN$14)</f>
        <v>0.00612622580054943</v>
      </c>
      <c r="AO22" s="236">
        <f ca="1">INDEX(Photobiology!$21:$421,1+$AH22-380,AO$14)</f>
        <v>0.00103210290396338</v>
      </c>
      <c r="AP22" s="236">
        <f ca="1">INDEX(Photobiology!$21:$421,1+$AH22-380,AP$14)</f>
        <v>0.000956169750092272</v>
      </c>
      <c r="AQ22" s="236">
        <f ca="1">INDEX(Photobiology!$21:$421,1+$AH22-380,AQ$14)</f>
        <v>0.00119178248901139</v>
      </c>
      <c r="AR22" s="236">
        <f ca="1">INDEX(Photobiology!$21:$421,1+$AH22-380,AR$14)</f>
        <v>0.00103288031365703</v>
      </c>
      <c r="AS22" s="236">
        <f ca="1" t="shared" ref="AS22:AS85" si="32">$AI22*$AJ$15*IF($AJ$17,1,$AJ22)</f>
        <v>2.55778914691701e+19</v>
      </c>
      <c r="AT22" s="236">
        <f ca="1">INDEX(Photobiology!$21:$421,1+$AH22-380,AT$14)</f>
        <v>0.00707490643633005</v>
      </c>
      <c r="AU22" s="236">
        <f ca="1">INDEX(Photobiology!$21:$421,1+$AH22-380,AU$14)</f>
        <v>0.00147103596030406</v>
      </c>
      <c r="AV22" s="236">
        <f ca="1">INDEX(Photobiology!$21:$421,1+$AH22-380,AV$14)</f>
        <v>0.00142867380922417</v>
      </c>
      <c r="AW22" s="236">
        <f ca="1">INDEX(Photobiology!$21:$421,1+$AH22-380,AW$14)</f>
        <v>0.00159446773921016</v>
      </c>
      <c r="AX22" s="236">
        <f ca="1">INDEX(Photobiology!$21:$421,1+$AH22-380,AX$14)</f>
        <v>0.00132506134718622</v>
      </c>
      <c r="AY22" s="236">
        <f ca="1" t="shared" si="19"/>
        <v>13.3319879209511</v>
      </c>
      <c r="AZ22" s="236">
        <f ca="1" t="shared" ref="AZ22:AZ85" si="33">$AY22*AN22</f>
        <v>0.0816747683739442</v>
      </c>
      <c r="BA22" s="236">
        <f ca="1" t="shared" si="20"/>
        <v>0.0137599834488184</v>
      </c>
      <c r="BB22" s="236">
        <f ca="1" t="shared" si="21"/>
        <v>0.012747643558609</v>
      </c>
      <c r="BC22" s="236">
        <f ca="1" t="shared" si="22"/>
        <v>0.0158888297479009</v>
      </c>
      <c r="BD22" s="236">
        <f ca="1" t="shared" si="23"/>
        <v>0.0137703478654637</v>
      </c>
    </row>
    <row r="23" s="234" customFormat="1" ht="0.2" customHeight="1" spans="7:56">
      <c r="G23" s="236"/>
      <c r="H23" s="236">
        <f t="shared" si="24"/>
        <v>382</v>
      </c>
      <c r="I23" s="236">
        <f>IF($H23&gt;$H22,INDEX(Spectra!23:23,1,MATCH($I$20,Spectra!$20:$20,0)),I22)</f>
        <v>0.0173774055255879</v>
      </c>
      <c r="J23" s="236">
        <f>((Physics!$C$9*Physics!$C$10)/(Physics!$C$11*Physics!$C$12*$H23))^($J$17-$J$18)</f>
        <v>1.92357097790938e+18</v>
      </c>
      <c r="K23" s="236">
        <f t="shared" si="25"/>
        <v>1</v>
      </c>
      <c r="L23" s="236">
        <f ca="1">INDEX(Photobiology!$21:$421,1+$H23-380,10)</f>
        <v>4.69146e-5</v>
      </c>
      <c r="M23" s="236">
        <f ca="1" t="shared" si="26"/>
        <v>0.0173774055255879</v>
      </c>
      <c r="N23" s="236">
        <f ca="1">INDEX(Photobiology!$21:$421,1+$H23-380,N$14)</f>
        <v>0.00700099874821982</v>
      </c>
      <c r="O23" s="236">
        <f ca="1">INDEX(Photobiology!$21:$421,1+$H23-380,O$14)</f>
        <v>0.00115184489010151</v>
      </c>
      <c r="P23" s="236">
        <f ca="1">INDEX(Photobiology!$21:$421,1+$H23-380,P$14)</f>
        <v>0.00106999315645537</v>
      </c>
      <c r="Q23" s="236">
        <f ca="1">INDEX(Photobiology!$21:$421,1+$H23-380,Q$14)</f>
        <v>0.0013331100423925</v>
      </c>
      <c r="R23" s="236">
        <f ca="1">INDEX(Photobiology!$21:$421,1+$H23-380,R$14)</f>
        <v>0.00116280529305925</v>
      </c>
      <c r="S23" s="236">
        <f ca="1" t="shared" si="27"/>
        <v>3.3426672940383e+16</v>
      </c>
      <c r="T23" s="236">
        <f ca="1">INDEX(Photobiology!$21:$421,1+$H23-380,T$14)</f>
        <v>0.00806397761575058</v>
      </c>
      <c r="U23" s="236">
        <f ca="1">INDEX(Photobiology!$21:$421,1+$H23-380,U$14)</f>
        <v>0.00163740420814038</v>
      </c>
      <c r="V23" s="236">
        <f ca="1">INDEX(Photobiology!$21:$421,1+$H23-380,V$14)</f>
        <v>0.00159455937762636</v>
      </c>
      <c r="W23" s="236">
        <f ca="1">INDEX(Photobiology!$21:$421,1+$H23-380,W$14)</f>
        <v>0.00177887875896189</v>
      </c>
      <c r="X23" s="236">
        <f ca="1">INDEX(Photobiology!$21:$421,1+$H23-380,X$14)</f>
        <v>0.00148783440875561</v>
      </c>
      <c r="Y23" s="236">
        <f ca="1" t="shared" si="14"/>
        <v>0.0173774055255879</v>
      </c>
      <c r="Z23" s="236">
        <f ca="1" t="shared" si="28"/>
        <v>0.000121659194331949</v>
      </c>
      <c r="AA23" s="236">
        <f ca="1" t="shared" si="15"/>
        <v>2.00160757578702e-5</v>
      </c>
      <c r="AB23" s="236">
        <f ca="1" t="shared" si="16"/>
        <v>1.85937049893288e-5</v>
      </c>
      <c r="AC23" s="236">
        <f ca="1" t="shared" si="17"/>
        <v>2.31659938168882e-5</v>
      </c>
      <c r="AD23" s="236">
        <f ca="1" t="shared" si="18"/>
        <v>2.02065391247907e-5</v>
      </c>
      <c r="AE23" s="236"/>
      <c r="AF23" s="236"/>
      <c r="AG23" s="236"/>
      <c r="AH23" s="236">
        <f t="shared" si="29"/>
        <v>382</v>
      </c>
      <c r="AI23" s="236">
        <f>IF($AH23&gt;$AH22,INDEX(Spectra!23:23,1,MATCH($AI$20,Spectra!$20:$20,0)),AI22)</f>
        <v>1</v>
      </c>
      <c r="AJ23" s="236">
        <f>((Physics!$C$9*Physics!$C$10)/(Physics!$C$11*Physics!$C$12*$AH23))^($AJ$17-$AJ$18)</f>
        <v>1.92357097790938e+18</v>
      </c>
      <c r="AK23" s="236">
        <f t="shared" si="30"/>
        <v>1</v>
      </c>
      <c r="AL23" s="236">
        <f ca="1">INDEX(Photobiology!$21:$421,1+$AH23-380,10)</f>
        <v>4.69146e-5</v>
      </c>
      <c r="AM23" s="236">
        <f ca="1" t="shared" si="31"/>
        <v>13.3319879209511</v>
      </c>
      <c r="AN23" s="236">
        <f ca="1">INDEX(Photobiology!$21:$421,1+$AH23-380,AN$14)</f>
        <v>0.00700099874821982</v>
      </c>
      <c r="AO23" s="236">
        <f ca="1">INDEX(Photobiology!$21:$421,1+$AH23-380,AO$14)</f>
        <v>0.00115184489010151</v>
      </c>
      <c r="AP23" s="236">
        <f ca="1">INDEX(Photobiology!$21:$421,1+$AH23-380,AP$14)</f>
        <v>0.00106999315645537</v>
      </c>
      <c r="AQ23" s="236">
        <f ca="1">INDEX(Photobiology!$21:$421,1+$AH23-380,AQ$14)</f>
        <v>0.0013331100423925</v>
      </c>
      <c r="AR23" s="236">
        <f ca="1">INDEX(Photobiology!$21:$421,1+$AH23-380,AR$14)</f>
        <v>0.00116280529305925</v>
      </c>
      <c r="AS23" s="236">
        <f ca="1" t="shared" si="32"/>
        <v>2.564502504258e+19</v>
      </c>
      <c r="AT23" s="236">
        <f ca="1">INDEX(Photobiology!$21:$421,1+$AH23-380,AT$14)</f>
        <v>0.00806397761575058</v>
      </c>
      <c r="AU23" s="236">
        <f ca="1">INDEX(Photobiology!$21:$421,1+$AH23-380,AU$14)</f>
        <v>0.00163740420814038</v>
      </c>
      <c r="AV23" s="236">
        <f ca="1">INDEX(Photobiology!$21:$421,1+$AH23-380,AV$14)</f>
        <v>0.00159455937762636</v>
      </c>
      <c r="AW23" s="236">
        <f ca="1">INDEX(Photobiology!$21:$421,1+$AH23-380,AW$14)</f>
        <v>0.00177887875896189</v>
      </c>
      <c r="AX23" s="236">
        <f ca="1">INDEX(Photobiology!$21:$421,1+$AH23-380,AX$14)</f>
        <v>0.00148783440875561</v>
      </c>
      <c r="AY23" s="236">
        <f ca="1" t="shared" si="19"/>
        <v>13.3319879209511</v>
      </c>
      <c r="AZ23" s="236">
        <f ca="1" t="shared" si="33"/>
        <v>0.0933372307458607</v>
      </c>
      <c r="BA23" s="236">
        <f ca="1" t="shared" si="20"/>
        <v>0.0153563821616426</v>
      </c>
      <c r="BB23" s="236">
        <f ca="1" t="shared" si="21"/>
        <v>0.0142651358373634</v>
      </c>
      <c r="BC23" s="236">
        <f ca="1" t="shared" si="22"/>
        <v>0.0177730069824755</v>
      </c>
      <c r="BD23" s="236">
        <f ca="1" t="shared" si="23"/>
        <v>0.015502506121484</v>
      </c>
    </row>
    <row r="24" s="234" customFormat="1" ht="0.2" customHeight="1" spans="7:56">
      <c r="G24" s="236"/>
      <c r="H24" s="236">
        <f t="shared" si="24"/>
        <v>383</v>
      </c>
      <c r="I24" s="236">
        <f>IF($H24&gt;$H23,INDEX(Spectra!24:24,1,MATCH($I$20,Spectra!$20:$20,0)),I23)</f>
        <v>0.0302972321955107</v>
      </c>
      <c r="J24" s="236">
        <f>((Physics!$C$9*Physics!$C$10)/(Physics!$C$11*Physics!$C$12*$H24))^($J$17-$J$18)</f>
        <v>1.92860650402956e+18</v>
      </c>
      <c r="K24" s="236">
        <f t="shared" si="25"/>
        <v>1</v>
      </c>
      <c r="L24" s="236">
        <f ca="1">INDEX(Photobiology!$21:$421,1+$H24-380,10)</f>
        <v>5.15896e-5</v>
      </c>
      <c r="M24" s="236">
        <f ca="1" t="shared" si="26"/>
        <v>0.0302972321955107</v>
      </c>
      <c r="N24" s="236">
        <f ca="1">INDEX(Photobiology!$21:$421,1+$H24-380,N$14)</f>
        <v>0.00799837938388374</v>
      </c>
      <c r="O24" s="236">
        <f ca="1">INDEX(Photobiology!$21:$421,1+$H24-380,O$14)</f>
        <v>0.00128518012301074</v>
      </c>
      <c r="P24" s="236">
        <f ca="1">INDEX(Photobiology!$21:$421,1+$H24-380,P$14)</f>
        <v>0.00119698580456309</v>
      </c>
      <c r="Q24" s="236">
        <f ca="1">INDEX(Photobiology!$21:$421,1+$H24-380,Q$14)</f>
        <v>0.00149168114418551</v>
      </c>
      <c r="R24" s="236">
        <f ca="1">INDEX(Photobiology!$21:$421,1+$H24-380,R$14)</f>
        <v>0.00131011071916605</v>
      </c>
      <c r="S24" s="236">
        <f ca="1" t="shared" si="27"/>
        <v>5.84314390663557e+16</v>
      </c>
      <c r="T24" s="236">
        <f ca="1">INDEX(Photobiology!$21:$421,1+$H24-380,T$14)</f>
        <v>0.00918873871777767</v>
      </c>
      <c r="U24" s="236">
        <f ca="1">INDEX(Photobiology!$21:$421,1+$H24-380,U$14)</f>
        <v>0.00182217670873855</v>
      </c>
      <c r="V24" s="236">
        <f ca="1">INDEX(Photobiology!$21:$421,1+$H24-380,V$14)</f>
        <v>0.00177915294943189</v>
      </c>
      <c r="W24" s="236">
        <f ca="1">INDEX(Photobiology!$21:$421,1+$H24-380,W$14)</f>
        <v>0.00198527620974749</v>
      </c>
      <c r="X24" s="236">
        <f ca="1">INDEX(Photobiology!$21:$421,1+$H24-380,X$14)</f>
        <v>0.00167193807184775</v>
      </c>
      <c r="Y24" s="236">
        <f ca="1" t="shared" si="14"/>
        <v>0.0302972321955107</v>
      </c>
      <c r="Z24" s="236">
        <f ca="1" t="shared" si="28"/>
        <v>0.000242328757381312</v>
      </c>
      <c r="AA24" s="236">
        <f ca="1" t="shared" si="15"/>
        <v>3.89374005999114e-5</v>
      </c>
      <c r="AB24" s="236">
        <f ca="1" t="shared" si="16"/>
        <v>3.62653568555781e-5</v>
      </c>
      <c r="AC24" s="236">
        <f ca="1" t="shared" si="17"/>
        <v>4.51938099870535e-5</v>
      </c>
      <c r="AD24" s="236">
        <f ca="1" t="shared" si="18"/>
        <v>3.96927286604013e-5</v>
      </c>
      <c r="AE24" s="236"/>
      <c r="AF24" s="236"/>
      <c r="AG24" s="236"/>
      <c r="AH24" s="236">
        <f t="shared" si="29"/>
        <v>383</v>
      </c>
      <c r="AI24" s="236">
        <f>IF($AH24&gt;$AH23,INDEX(Spectra!24:24,1,MATCH($AI$20,Spectra!$20:$20,0)),AI23)</f>
        <v>1</v>
      </c>
      <c r="AJ24" s="236">
        <f>((Physics!$C$9*Physics!$C$10)/(Physics!$C$11*Physics!$C$12*$AH24))^($AJ$17-$AJ$18)</f>
        <v>1.92860650402956e+18</v>
      </c>
      <c r="AK24" s="236">
        <f t="shared" si="30"/>
        <v>1</v>
      </c>
      <c r="AL24" s="236">
        <f ca="1">INDEX(Photobiology!$21:$421,1+$AH24-380,10)</f>
        <v>5.15896e-5</v>
      </c>
      <c r="AM24" s="236">
        <f ca="1" t="shared" si="31"/>
        <v>13.3319879209511</v>
      </c>
      <c r="AN24" s="236">
        <f ca="1">INDEX(Photobiology!$21:$421,1+$AH24-380,AN$14)</f>
        <v>0.00799837938388374</v>
      </c>
      <c r="AO24" s="236">
        <f ca="1">INDEX(Photobiology!$21:$421,1+$AH24-380,AO$14)</f>
        <v>0.00128518012301074</v>
      </c>
      <c r="AP24" s="236">
        <f ca="1">INDEX(Photobiology!$21:$421,1+$AH24-380,AP$14)</f>
        <v>0.00119698580456309</v>
      </c>
      <c r="AQ24" s="236">
        <f ca="1">INDEX(Photobiology!$21:$421,1+$AH24-380,AQ$14)</f>
        <v>0.00149168114418551</v>
      </c>
      <c r="AR24" s="236">
        <f ca="1">INDEX(Photobiology!$21:$421,1+$AH24-380,AR$14)</f>
        <v>0.00131011071916605</v>
      </c>
      <c r="AS24" s="236">
        <f ca="1" t="shared" si="32"/>
        <v>2.57121586159899e+19</v>
      </c>
      <c r="AT24" s="236">
        <f ca="1">INDEX(Photobiology!$21:$421,1+$AH24-380,AT$14)</f>
        <v>0.00918873871777767</v>
      </c>
      <c r="AU24" s="236">
        <f ca="1">INDEX(Photobiology!$21:$421,1+$AH24-380,AU$14)</f>
        <v>0.00182217670873855</v>
      </c>
      <c r="AV24" s="236">
        <f ca="1">INDEX(Photobiology!$21:$421,1+$AH24-380,AV$14)</f>
        <v>0.00177915294943189</v>
      </c>
      <c r="AW24" s="236">
        <f ca="1">INDEX(Photobiology!$21:$421,1+$AH24-380,AW$14)</f>
        <v>0.00198527620974749</v>
      </c>
      <c r="AX24" s="236">
        <f ca="1">INDEX(Photobiology!$21:$421,1+$AH24-380,AX$14)</f>
        <v>0.00167193807184775</v>
      </c>
      <c r="AY24" s="236">
        <f ca="1" t="shared" si="19"/>
        <v>13.3319879209511</v>
      </c>
      <c r="AZ24" s="236">
        <f ca="1" t="shared" si="33"/>
        <v>0.106634297333123</v>
      </c>
      <c r="BA24" s="236">
        <f ca="1" t="shared" si="20"/>
        <v>0.0171340058762257</v>
      </c>
      <c r="BB24" s="236">
        <f ca="1" t="shared" si="21"/>
        <v>0.0159582002879851</v>
      </c>
      <c r="BC24" s="236">
        <f ca="1" t="shared" si="22"/>
        <v>0.0198870749961918</v>
      </c>
      <c r="BD24" s="236">
        <f ca="1" t="shared" si="23"/>
        <v>0.0174663802830304</v>
      </c>
    </row>
    <row r="25" s="234" customFormat="1" ht="0.2" customHeight="1" spans="7:56">
      <c r="G25" s="236"/>
      <c r="H25" s="236">
        <f t="shared" si="24"/>
        <v>384</v>
      </c>
      <c r="I25" s="236">
        <f>IF($H25&gt;$H24,INDEX(Spectra!25:25,1,MATCH($I$20,Spectra!$20:$20,0)),I24)</f>
        <v>0.0296820459240615</v>
      </c>
      <c r="J25" s="236">
        <f>((Physics!$C$9*Physics!$C$10)/(Physics!$C$11*Physics!$C$12*$H25))^($J$17-$J$18)</f>
        <v>1.93364203014974e+18</v>
      </c>
      <c r="K25" s="236">
        <f t="shared" si="25"/>
        <v>1</v>
      </c>
      <c r="L25" s="236">
        <f ca="1">INDEX(Photobiology!$21:$421,1+$H25-380,10)</f>
        <v>5.71764e-5</v>
      </c>
      <c r="M25" s="236">
        <f ca="1" t="shared" si="26"/>
        <v>0.0296820459240615</v>
      </c>
      <c r="N25" s="236">
        <f ca="1">INDEX(Photobiology!$21:$421,1+$H25-380,N$14)</f>
        <v>0.00913505149820918</v>
      </c>
      <c r="O25" s="236">
        <f ca="1">INDEX(Photobiology!$21:$421,1+$H25-380,O$14)</f>
        <v>0.00143363963773784</v>
      </c>
      <c r="P25" s="236">
        <f ca="1">INDEX(Photobiology!$21:$421,1+$H25-380,P$14)</f>
        <v>0.00133862212861168</v>
      </c>
      <c r="Q25" s="236">
        <f ca="1">INDEX(Photobiology!$21:$421,1+$H25-380,Q$14)</f>
        <v>0.00166973288277291</v>
      </c>
      <c r="R25" s="236">
        <f ca="1">INDEX(Photobiology!$21:$421,1+$H25-380,R$14)</f>
        <v>0.00147729422466796</v>
      </c>
      <c r="S25" s="236">
        <f ca="1" t="shared" si="27"/>
        <v>5.73944515396001e+16</v>
      </c>
      <c r="T25" s="236">
        <f ca="1">INDEX(Photobiology!$21:$421,1+$H25-380,T$14)</f>
        <v>0.0104672465083647</v>
      </c>
      <c r="U25" s="236">
        <f ca="1">INDEX(Photobiology!$21:$421,1+$H25-380,U$14)</f>
        <v>0.0020273747849207</v>
      </c>
      <c r="V25" s="236">
        <f ca="1">INDEX(Photobiology!$21:$421,1+$H25-380,V$14)</f>
        <v>0.00198449420262768</v>
      </c>
      <c r="W25" s="236">
        <f ca="1">INDEX(Photobiology!$21:$421,1+$H25-380,W$14)</f>
        <v>0.00221645790668254</v>
      </c>
      <c r="X25" s="236">
        <f ca="1">INDEX(Photobiology!$21:$421,1+$H25-380,X$14)</f>
        <v>0.00188038482128172</v>
      </c>
      <c r="Y25" s="236">
        <f ca="1" t="shared" si="14"/>
        <v>0.0296820459240615</v>
      </c>
      <c r="Z25" s="236">
        <f ca="1" t="shared" si="28"/>
        <v>0.000271147018088512</v>
      </c>
      <c r="AA25" s="236">
        <f ca="1" t="shared" si="15"/>
        <v>4.25533575658895e-5</v>
      </c>
      <c r="AB25" s="236">
        <f ca="1" t="shared" si="16"/>
        <v>3.97330434964168e-5</v>
      </c>
      <c r="AC25" s="236">
        <f ca="1" t="shared" si="17"/>
        <v>4.95610881073811e-5</v>
      </c>
      <c r="AD25" s="236">
        <f ca="1" t="shared" si="18"/>
        <v>4.38491150199452e-5</v>
      </c>
      <c r="AE25" s="236"/>
      <c r="AF25" s="236"/>
      <c r="AG25" s="236"/>
      <c r="AH25" s="236">
        <f t="shared" si="29"/>
        <v>384</v>
      </c>
      <c r="AI25" s="236">
        <f>IF($AH25&gt;$AH24,INDEX(Spectra!25:25,1,MATCH($AI$20,Spectra!$20:$20,0)),AI24)</f>
        <v>1</v>
      </c>
      <c r="AJ25" s="236">
        <f>((Physics!$C$9*Physics!$C$10)/(Physics!$C$11*Physics!$C$12*$AH25))^($AJ$17-$AJ$18)</f>
        <v>1.93364203014974e+18</v>
      </c>
      <c r="AK25" s="236">
        <f t="shared" si="30"/>
        <v>1</v>
      </c>
      <c r="AL25" s="236">
        <f ca="1">INDEX(Photobiology!$21:$421,1+$AH25-380,10)</f>
        <v>5.71764e-5</v>
      </c>
      <c r="AM25" s="236">
        <f ca="1" t="shared" si="31"/>
        <v>13.3319879209511</v>
      </c>
      <c r="AN25" s="236">
        <f ca="1">INDEX(Photobiology!$21:$421,1+$AH25-380,AN$14)</f>
        <v>0.00913505149820918</v>
      </c>
      <c r="AO25" s="236">
        <f ca="1">INDEX(Photobiology!$21:$421,1+$AH25-380,AO$14)</f>
        <v>0.00143363963773784</v>
      </c>
      <c r="AP25" s="236">
        <f ca="1">INDEX(Photobiology!$21:$421,1+$AH25-380,AP$14)</f>
        <v>0.00133862212861168</v>
      </c>
      <c r="AQ25" s="236">
        <f ca="1">INDEX(Photobiology!$21:$421,1+$AH25-380,AQ$14)</f>
        <v>0.00166973288277291</v>
      </c>
      <c r="AR25" s="236">
        <f ca="1">INDEX(Photobiology!$21:$421,1+$AH25-380,AR$14)</f>
        <v>0.00147729422466796</v>
      </c>
      <c r="AS25" s="236">
        <f ca="1" t="shared" si="32"/>
        <v>2.57792921893998e+19</v>
      </c>
      <c r="AT25" s="236">
        <f ca="1">INDEX(Photobiology!$21:$421,1+$AH25-380,AT$14)</f>
        <v>0.0104672465083647</v>
      </c>
      <c r="AU25" s="236">
        <f ca="1">INDEX(Photobiology!$21:$421,1+$AH25-380,AU$14)</f>
        <v>0.0020273747849207</v>
      </c>
      <c r="AV25" s="236">
        <f ca="1">INDEX(Photobiology!$21:$421,1+$AH25-380,AV$14)</f>
        <v>0.00198449420262768</v>
      </c>
      <c r="AW25" s="236">
        <f ca="1">INDEX(Photobiology!$21:$421,1+$AH25-380,AW$14)</f>
        <v>0.00221645790668254</v>
      </c>
      <c r="AX25" s="236">
        <f ca="1">INDEX(Photobiology!$21:$421,1+$AH25-380,AX$14)</f>
        <v>0.00188038482128172</v>
      </c>
      <c r="AY25" s="236">
        <f ca="1" t="shared" si="19"/>
        <v>13.3319879209511</v>
      </c>
      <c r="AZ25" s="236">
        <f ca="1" t="shared" si="33"/>
        <v>0.121788396231391</v>
      </c>
      <c r="BA25" s="236">
        <f ca="1" t="shared" si="20"/>
        <v>0.0191132663333177</v>
      </c>
      <c r="BB25" s="236">
        <f ca="1" t="shared" si="21"/>
        <v>0.0178464940493688</v>
      </c>
      <c r="BC25" s="236">
        <f ca="1" t="shared" si="22"/>
        <v>0.0222608586243434</v>
      </c>
      <c r="BD25" s="236">
        <f ca="1" t="shared" si="23"/>
        <v>0.0196952687589641</v>
      </c>
    </row>
    <row r="26" s="234" customFormat="1" ht="0.2" customHeight="1" spans="7:56">
      <c r="G26" s="236"/>
      <c r="H26" s="236">
        <f t="shared" si="24"/>
        <v>385</v>
      </c>
      <c r="I26" s="236">
        <f>IF($H26&gt;$H25,INDEX(Spectra!26:26,1,MATCH($I$20,Spectra!$20:$20,0)),I25)</f>
        <v>0.0360933678436587</v>
      </c>
      <c r="J26" s="236">
        <f>((Physics!$C$9*Physics!$C$10)/(Physics!$C$11*Physics!$C$12*$H26))^($J$17-$J$18)</f>
        <v>1.93867755626992e+18</v>
      </c>
      <c r="K26" s="236">
        <f t="shared" si="25"/>
        <v>1</v>
      </c>
      <c r="L26" s="236">
        <f ca="1">INDEX(Photobiology!$21:$421,1+$H26-380,10)</f>
        <v>6.4e-5</v>
      </c>
      <c r="M26" s="236">
        <f ca="1" t="shared" si="26"/>
        <v>0.0360933678436587</v>
      </c>
      <c r="N26" s="236">
        <f ca="1">INDEX(Photobiology!$21:$421,1+$H26-380,N$14)</f>
        <v>0.0104298725138065</v>
      </c>
      <c r="O26" s="236">
        <f ca="1">INDEX(Photobiology!$21:$421,1+$H26-380,O$14)</f>
        <v>0.00159892833933165</v>
      </c>
      <c r="P26" s="236">
        <f ca="1">INDEX(Photobiology!$21:$421,1+$H26-380,P$14)</f>
        <v>0.00149655264898118</v>
      </c>
      <c r="Q26" s="236">
        <f ca="1">INDEX(Photobiology!$21:$421,1+$H26-380,Q$14)</f>
        <v>0.0018697993307524</v>
      </c>
      <c r="R26" s="236">
        <f ca="1">INDEX(Photobiology!$21:$421,1+$H26-380,R$14)</f>
        <v>0.00166723953461159</v>
      </c>
      <c r="S26" s="236">
        <f ca="1" t="shared" si="27"/>
        <v>6.99734021686956e+16</v>
      </c>
      <c r="T26" s="236">
        <f ca="1">INDEX(Photobiology!$21:$421,1+$H26-380,T$14)</f>
        <v>0.0119198543014931</v>
      </c>
      <c r="U26" s="236">
        <f ca="1">INDEX(Photobiology!$21:$421,1+$H26-380,U$14)</f>
        <v>0.00225524399755944</v>
      </c>
      <c r="V26" s="236">
        <f ca="1">INDEX(Photobiology!$21:$421,1+$H26-380,V$14)</f>
        <v>0.00221286199174324</v>
      </c>
      <c r="W26" s="236">
        <f ca="1">INDEX(Photobiology!$21:$421,1+$H26-380,W$14)</f>
        <v>0.0024755857992455</v>
      </c>
      <c r="X26" s="236">
        <f ca="1">INDEX(Photobiology!$21:$421,1+$H26-380,X$14)</f>
        <v>0.00211664600735983</v>
      </c>
      <c r="Y26" s="236">
        <f ca="1" t="shared" si="14"/>
        <v>0.0360933678436587</v>
      </c>
      <c r="Z26" s="236">
        <f ca="1" t="shared" si="28"/>
        <v>0.000376449225203283</v>
      </c>
      <c r="AA26" s="236">
        <f ca="1" t="shared" si="15"/>
        <v>5.77107087071476e-5</v>
      </c>
      <c r="AB26" s="236">
        <f ca="1" t="shared" si="16"/>
        <v>5.40156252570796e-5</v>
      </c>
      <c r="AC26" s="236">
        <f ca="1" t="shared" si="17"/>
        <v>6.74873550386732e-5</v>
      </c>
      <c r="AD26" s="236">
        <f ca="1" t="shared" si="18"/>
        <v>6.01762898062265e-5</v>
      </c>
      <c r="AE26" s="236"/>
      <c r="AF26" s="236"/>
      <c r="AG26" s="236"/>
      <c r="AH26" s="236">
        <f t="shared" si="29"/>
        <v>385</v>
      </c>
      <c r="AI26" s="236">
        <f>IF($AH26&gt;$AH25,INDEX(Spectra!26:26,1,MATCH($AI$20,Spectra!$20:$20,0)),AI25)</f>
        <v>1</v>
      </c>
      <c r="AJ26" s="236">
        <f>((Physics!$C$9*Physics!$C$10)/(Physics!$C$11*Physics!$C$12*$AH26))^($AJ$17-$AJ$18)</f>
        <v>1.93867755626992e+18</v>
      </c>
      <c r="AK26" s="236">
        <f t="shared" si="30"/>
        <v>1</v>
      </c>
      <c r="AL26" s="236">
        <f ca="1">INDEX(Photobiology!$21:$421,1+$AH26-380,10)</f>
        <v>6.4e-5</v>
      </c>
      <c r="AM26" s="236">
        <f ca="1" t="shared" si="31"/>
        <v>13.3319879209511</v>
      </c>
      <c r="AN26" s="236">
        <f ca="1">INDEX(Photobiology!$21:$421,1+$AH26-380,AN$14)</f>
        <v>0.0104298725138065</v>
      </c>
      <c r="AO26" s="236">
        <f ca="1">INDEX(Photobiology!$21:$421,1+$AH26-380,AO$14)</f>
        <v>0.00159892833933165</v>
      </c>
      <c r="AP26" s="236">
        <f ca="1">INDEX(Photobiology!$21:$421,1+$AH26-380,AP$14)</f>
        <v>0.00149655264898118</v>
      </c>
      <c r="AQ26" s="236">
        <f ca="1">INDEX(Photobiology!$21:$421,1+$AH26-380,AQ$14)</f>
        <v>0.0018697993307524</v>
      </c>
      <c r="AR26" s="236">
        <f ca="1">INDEX(Photobiology!$21:$421,1+$AH26-380,AR$14)</f>
        <v>0.00166723953461159</v>
      </c>
      <c r="AS26" s="236">
        <f ca="1" t="shared" si="32"/>
        <v>2.58464257628097e+19</v>
      </c>
      <c r="AT26" s="236">
        <f ca="1">INDEX(Photobiology!$21:$421,1+$AH26-380,AT$14)</f>
        <v>0.0119198543014931</v>
      </c>
      <c r="AU26" s="236">
        <f ca="1">INDEX(Photobiology!$21:$421,1+$AH26-380,AU$14)</f>
        <v>0.00225524399755944</v>
      </c>
      <c r="AV26" s="236">
        <f ca="1">INDEX(Photobiology!$21:$421,1+$AH26-380,AV$14)</f>
        <v>0.00221286199174324</v>
      </c>
      <c r="AW26" s="236">
        <f ca="1">INDEX(Photobiology!$21:$421,1+$AH26-380,AW$14)</f>
        <v>0.0024755857992455</v>
      </c>
      <c r="AX26" s="236">
        <f ca="1">INDEX(Photobiology!$21:$421,1+$AH26-380,AX$14)</f>
        <v>0.00211664600735983</v>
      </c>
      <c r="AY26" s="236">
        <f ca="1" t="shared" si="19"/>
        <v>13.3319879209511</v>
      </c>
      <c r="AZ26" s="236">
        <f ca="1" t="shared" si="33"/>
        <v>0.139050934371129</v>
      </c>
      <c r="BA26" s="236">
        <f ca="1" t="shared" si="20"/>
        <v>0.021316893306436</v>
      </c>
      <c r="BB26" s="236">
        <f ca="1" t="shared" si="21"/>
        <v>0.0199520218392845</v>
      </c>
      <c r="BC26" s="236">
        <f ca="1" t="shared" si="22"/>
        <v>0.0249281420921935</v>
      </c>
      <c r="BD26" s="236">
        <f ca="1" t="shared" si="23"/>
        <v>0.0222276173367739</v>
      </c>
    </row>
    <row r="27" s="234" customFormat="1" ht="0.2" customHeight="1" spans="7:56">
      <c r="G27" s="236"/>
      <c r="H27" s="236">
        <f t="shared" si="24"/>
        <v>386</v>
      </c>
      <c r="I27" s="236">
        <f>IF($H27&gt;$H26,INDEX(Spectra!27:27,1,MATCH($I$20,Spectra!$20:$20,0)),I26)</f>
        <v>0.0194714221261843</v>
      </c>
      <c r="J27" s="236">
        <f>((Physics!$C$9*Physics!$C$10)/(Physics!$C$11*Physics!$C$12*$H27))^($J$17-$J$18)</f>
        <v>1.94371308239011e+18</v>
      </c>
      <c r="K27" s="236">
        <f t="shared" si="25"/>
        <v>1</v>
      </c>
      <c r="L27" s="236">
        <f ca="1">INDEX(Photobiology!$21:$421,1+$H27-380,10)</f>
        <v>7.234421e-5</v>
      </c>
      <c r="M27" s="236">
        <f ca="1" t="shared" si="26"/>
        <v>0.0194714221261843</v>
      </c>
      <c r="N27" s="236">
        <f ca="1">INDEX(Photobiology!$21:$421,1+$H27-380,N$14)</f>
        <v>0.0119042215239311</v>
      </c>
      <c r="O27" s="236">
        <f ca="1">INDEX(Photobiology!$21:$421,1+$H27-380,O$14)</f>
        <v>0.00178294932569988</v>
      </c>
      <c r="P27" s="236">
        <f ca="1">INDEX(Photobiology!$21:$421,1+$H27-380,P$14)</f>
        <v>0.00167259964395173</v>
      </c>
      <c r="Q27" s="236">
        <f ca="1">INDEX(Photobiology!$21:$421,1+$H27-380,Q$14)</f>
        <v>0.00209479727364282</v>
      </c>
      <c r="R27" s="236">
        <f ca="1">INDEX(Photobiology!$21:$421,1+$H27-380,R$14)</f>
        <v>0.0018832674490729</v>
      </c>
      <c r="S27" s="236">
        <f ca="1" t="shared" si="27"/>
        <v>3.78468579194047e+16</v>
      </c>
      <c r="T27" s="236">
        <f ca="1">INDEX(Photobiology!$21:$421,1+$H27-380,T$14)</f>
        <v>0.0135695789391961</v>
      </c>
      <c r="U27" s="236">
        <f ca="1">INDEX(Photobiology!$21:$421,1+$H27-380,U$14)</f>
        <v>0.00250828545877612</v>
      </c>
      <c r="V27" s="236">
        <f ca="1">INDEX(Photobiology!$21:$421,1+$H27-380,V$14)</f>
        <v>0.00246676486631752</v>
      </c>
      <c r="W27" s="236">
        <f ca="1">INDEX(Photobiology!$21:$421,1+$H27-380,W$14)</f>
        <v>0.00276629446396013</v>
      </c>
      <c r="X27" s="236">
        <f ca="1">INDEX(Photobiology!$21:$421,1+$H27-380,X$14)</f>
        <v>0.00238471045944833</v>
      </c>
      <c r="Y27" s="236">
        <f ca="1" t="shared" si="14"/>
        <v>0.0194714221261843</v>
      </c>
      <c r="Z27" s="236">
        <f ca="1" t="shared" si="28"/>
        <v>0.000231792122376071</v>
      </c>
      <c r="AA27" s="236">
        <f ca="1" t="shared" si="15"/>
        <v>3.4716558950298e-5</v>
      </c>
      <c r="AB27" s="236">
        <f ca="1" t="shared" si="16"/>
        <v>3.25678937154897e-5</v>
      </c>
      <c r="AC27" s="236">
        <f ca="1" t="shared" si="17"/>
        <v>4.07886819838794e-5</v>
      </c>
      <c r="AD27" s="236">
        <f ca="1" t="shared" si="18"/>
        <v>3.66698954774007e-5</v>
      </c>
      <c r="AE27" s="236"/>
      <c r="AF27" s="236"/>
      <c r="AG27" s="236"/>
      <c r="AH27" s="236">
        <f t="shared" si="29"/>
        <v>386</v>
      </c>
      <c r="AI27" s="236">
        <f>IF($AH27&gt;$AH26,INDEX(Spectra!27:27,1,MATCH($AI$20,Spectra!$20:$20,0)),AI26)</f>
        <v>1</v>
      </c>
      <c r="AJ27" s="236">
        <f>((Physics!$C$9*Physics!$C$10)/(Physics!$C$11*Physics!$C$12*$AH27))^($AJ$17-$AJ$18)</f>
        <v>1.94371308239011e+18</v>
      </c>
      <c r="AK27" s="236">
        <f t="shared" si="30"/>
        <v>1</v>
      </c>
      <c r="AL27" s="236">
        <f ca="1">INDEX(Photobiology!$21:$421,1+$AH27-380,10)</f>
        <v>7.234421e-5</v>
      </c>
      <c r="AM27" s="236">
        <f ca="1" t="shared" si="31"/>
        <v>13.3319879209511</v>
      </c>
      <c r="AN27" s="236">
        <f ca="1">INDEX(Photobiology!$21:$421,1+$AH27-380,AN$14)</f>
        <v>0.0119042215239311</v>
      </c>
      <c r="AO27" s="236">
        <f ca="1">INDEX(Photobiology!$21:$421,1+$AH27-380,AO$14)</f>
        <v>0.00178294932569988</v>
      </c>
      <c r="AP27" s="236">
        <f ca="1">INDEX(Photobiology!$21:$421,1+$AH27-380,AP$14)</f>
        <v>0.00167259964395173</v>
      </c>
      <c r="AQ27" s="236">
        <f ca="1">INDEX(Photobiology!$21:$421,1+$AH27-380,AQ$14)</f>
        <v>0.00209479727364282</v>
      </c>
      <c r="AR27" s="236">
        <f ca="1">INDEX(Photobiology!$21:$421,1+$AH27-380,AR$14)</f>
        <v>0.0018832674490729</v>
      </c>
      <c r="AS27" s="236">
        <f ca="1" t="shared" si="32"/>
        <v>2.59135593362196e+19</v>
      </c>
      <c r="AT27" s="236">
        <f ca="1">INDEX(Photobiology!$21:$421,1+$AH27-380,AT$14)</f>
        <v>0.0135695789391961</v>
      </c>
      <c r="AU27" s="236">
        <f ca="1">INDEX(Photobiology!$21:$421,1+$AH27-380,AU$14)</f>
        <v>0.00250828545877612</v>
      </c>
      <c r="AV27" s="236">
        <f ca="1">INDEX(Photobiology!$21:$421,1+$AH27-380,AV$14)</f>
        <v>0.00246676486631752</v>
      </c>
      <c r="AW27" s="236">
        <f ca="1">INDEX(Photobiology!$21:$421,1+$AH27-380,AW$14)</f>
        <v>0.00276629446396013</v>
      </c>
      <c r="AX27" s="236">
        <f ca="1">INDEX(Photobiology!$21:$421,1+$AH27-380,AX$14)</f>
        <v>0.00238471045944833</v>
      </c>
      <c r="AY27" s="236">
        <f ca="1" t="shared" si="19"/>
        <v>13.3319879209511</v>
      </c>
      <c r="AZ27" s="236">
        <f ca="1" t="shared" si="33"/>
        <v>0.158706937565376</v>
      </c>
      <c r="BA27" s="236">
        <f ca="1" t="shared" si="20"/>
        <v>0.0237702588738988</v>
      </c>
      <c r="BB27" s="236">
        <f ca="1" t="shared" si="21"/>
        <v>0.0222990782497516</v>
      </c>
      <c r="BC27" s="236">
        <f ca="1" t="shared" si="22"/>
        <v>0.0279278119490475</v>
      </c>
      <c r="BD27" s="236">
        <f ca="1" t="shared" si="23"/>
        <v>0.0251076988829604</v>
      </c>
    </row>
    <row r="28" s="234" customFormat="1" ht="0.2" customHeight="1" spans="7:56">
      <c r="G28" s="236"/>
      <c r="H28" s="236">
        <f t="shared" si="24"/>
        <v>387</v>
      </c>
      <c r="I28" s="236">
        <f>IF($H28&gt;$H27,INDEX(Spectra!28:28,1,MATCH($I$20,Spectra!$20:$20,0)),I27)</f>
        <v>0.0196764842166674</v>
      </c>
      <c r="J28" s="236">
        <f>((Physics!$C$9*Physics!$C$10)/(Physics!$C$11*Physics!$C$12*$H28))^($J$17-$J$18)</f>
        <v>1.94874860851029e+18</v>
      </c>
      <c r="K28" s="236">
        <f t="shared" si="25"/>
        <v>1</v>
      </c>
      <c r="L28" s="236">
        <f ca="1">INDEX(Photobiology!$21:$421,1+$H28-380,10)</f>
        <v>8.221224e-5</v>
      </c>
      <c r="M28" s="236">
        <f ca="1" t="shared" si="26"/>
        <v>0.0196764842166674</v>
      </c>
      <c r="N28" s="236">
        <f ca="1">INDEX(Photobiology!$21:$421,1+$H28-380,N$14)</f>
        <v>0.01358219620859</v>
      </c>
      <c r="O28" s="236">
        <f ca="1">INDEX(Photobiology!$21:$421,1+$H28-380,O$14)</f>
        <v>0.00198782432152904</v>
      </c>
      <c r="P28" s="236">
        <f ca="1">INDEX(Photobiology!$21:$421,1+$H28-380,P$14)</f>
        <v>0.00186879214505165</v>
      </c>
      <c r="Q28" s="236">
        <f ca="1">INDEX(Photobiology!$21:$421,1+$H28-380,Q$14)</f>
        <v>0.00234803193852895</v>
      </c>
      <c r="R28" s="236">
        <f ca="1">INDEX(Photobiology!$21:$421,1+$H28-380,R$14)</f>
        <v>0.00212922227046499</v>
      </c>
      <c r="S28" s="236">
        <f ca="1" t="shared" si="27"/>
        <v>3.83445212376053e+16</v>
      </c>
      <c r="T28" s="236">
        <f ca="1">INDEX(Photobiology!$21:$421,1+$H28-380,T$14)</f>
        <v>0.0154422902629964</v>
      </c>
      <c r="U28" s="236">
        <f ca="1">INDEX(Photobiology!$21:$421,1+$H28-380,U$14)</f>
        <v>0.00278928120277323</v>
      </c>
      <c r="V28" s="236">
        <f ca="1">INDEX(Photobiology!$21:$421,1+$H28-380,V$14)</f>
        <v>0.0027489895813516</v>
      </c>
      <c r="W28" s="236">
        <f ca="1">INDEX(Photobiology!$21:$421,1+$H28-380,W$14)</f>
        <v>0.00309269254354419</v>
      </c>
      <c r="X28" s="236">
        <f ca="1">INDEX(Photobiology!$21:$421,1+$H28-380,X$14)</f>
        <v>0.00268918695704799</v>
      </c>
      <c r="Y28" s="236">
        <f ca="1" t="shared" si="14"/>
        <v>0.0196764842166674</v>
      </c>
      <c r="Z28" s="236">
        <f ca="1" t="shared" si="28"/>
        <v>0.000267249869326001</v>
      </c>
      <c r="AA28" s="236">
        <f ca="1" t="shared" si="15"/>
        <v>3.91133938880737e-5</v>
      </c>
      <c r="AB28" s="236">
        <f ca="1" t="shared" si="16"/>
        <v>3.67712591463408e-5</v>
      </c>
      <c r="AC28" s="236">
        <f ca="1" t="shared" si="17"/>
        <v>4.62010133786958e-5</v>
      </c>
      <c r="AD28" s="236">
        <f ca="1" t="shared" si="18"/>
        <v>4.18956083985811e-5</v>
      </c>
      <c r="AE28" s="236"/>
      <c r="AF28" s="236"/>
      <c r="AG28" s="236"/>
      <c r="AH28" s="236">
        <f t="shared" si="29"/>
        <v>387</v>
      </c>
      <c r="AI28" s="236">
        <f>IF($AH28&gt;$AH27,INDEX(Spectra!28:28,1,MATCH($AI$20,Spectra!$20:$20,0)),AI27)</f>
        <v>1</v>
      </c>
      <c r="AJ28" s="236">
        <f>((Physics!$C$9*Physics!$C$10)/(Physics!$C$11*Physics!$C$12*$AH28))^($AJ$17-$AJ$18)</f>
        <v>1.94874860851029e+18</v>
      </c>
      <c r="AK28" s="236">
        <f t="shared" si="30"/>
        <v>1</v>
      </c>
      <c r="AL28" s="236">
        <f ca="1">INDEX(Photobiology!$21:$421,1+$AH28-380,10)</f>
        <v>8.221224e-5</v>
      </c>
      <c r="AM28" s="236">
        <f ca="1" t="shared" si="31"/>
        <v>13.3319879209511</v>
      </c>
      <c r="AN28" s="236">
        <f ca="1">INDEX(Photobiology!$21:$421,1+$AH28-380,AN$14)</f>
        <v>0.01358219620859</v>
      </c>
      <c r="AO28" s="236">
        <f ca="1">INDEX(Photobiology!$21:$421,1+$AH28-380,AO$14)</f>
        <v>0.00198782432152904</v>
      </c>
      <c r="AP28" s="236">
        <f ca="1">INDEX(Photobiology!$21:$421,1+$AH28-380,AP$14)</f>
        <v>0.00186879214505165</v>
      </c>
      <c r="AQ28" s="236">
        <f ca="1">INDEX(Photobiology!$21:$421,1+$AH28-380,AQ$14)</f>
        <v>0.00234803193852895</v>
      </c>
      <c r="AR28" s="236">
        <f ca="1">INDEX(Photobiology!$21:$421,1+$AH28-380,AR$14)</f>
        <v>0.00212922227046499</v>
      </c>
      <c r="AS28" s="236">
        <f ca="1" t="shared" si="32"/>
        <v>2.59806929096295e+19</v>
      </c>
      <c r="AT28" s="236">
        <f ca="1">INDEX(Photobiology!$21:$421,1+$AH28-380,AT$14)</f>
        <v>0.0154422902629964</v>
      </c>
      <c r="AU28" s="236">
        <f ca="1">INDEX(Photobiology!$21:$421,1+$AH28-380,AU$14)</f>
        <v>0.00278928120277323</v>
      </c>
      <c r="AV28" s="236">
        <f ca="1">INDEX(Photobiology!$21:$421,1+$AH28-380,AV$14)</f>
        <v>0.0027489895813516</v>
      </c>
      <c r="AW28" s="236">
        <f ca="1">INDEX(Photobiology!$21:$421,1+$AH28-380,AW$14)</f>
        <v>0.00309269254354419</v>
      </c>
      <c r="AX28" s="236">
        <f ca="1">INDEX(Photobiology!$21:$421,1+$AH28-380,AX$14)</f>
        <v>0.00268918695704799</v>
      </c>
      <c r="AY28" s="236">
        <f ca="1" t="shared" si="19"/>
        <v>13.3319879209511</v>
      </c>
      <c r="AZ28" s="236">
        <f ca="1" t="shared" si="33"/>
        <v>0.18107767579291</v>
      </c>
      <c r="BA28" s="236">
        <f ca="1" t="shared" si="20"/>
        <v>0.0265016498435981</v>
      </c>
      <c r="BB28" s="236">
        <f ca="1" t="shared" si="21"/>
        <v>0.024914714304597</v>
      </c>
      <c r="BC28" s="236">
        <f ca="1" t="shared" si="22"/>
        <v>0.0313039334424755</v>
      </c>
      <c r="BD28" s="236">
        <f ca="1" t="shared" si="23"/>
        <v>0.0283867655908594</v>
      </c>
    </row>
    <row r="29" s="234" customFormat="1" ht="0.2" customHeight="1" spans="7:56">
      <c r="G29" s="236"/>
      <c r="H29" s="236">
        <f t="shared" si="24"/>
        <v>388</v>
      </c>
      <c r="I29" s="236">
        <f>IF($H29&gt;$H28,INDEX(Spectra!29:29,1,MATCH($I$20,Spectra!$20:$20,0)),I28)</f>
        <v>0.0309772070207787</v>
      </c>
      <c r="J29" s="236">
        <f>((Physics!$C$9*Physics!$C$10)/(Physics!$C$11*Physics!$C$12*$H29))^($J$17-$J$18)</f>
        <v>1.95378413463047e+18</v>
      </c>
      <c r="K29" s="236">
        <f t="shared" si="25"/>
        <v>1</v>
      </c>
      <c r="L29" s="236">
        <f ca="1">INDEX(Photobiology!$21:$421,1+$H29-380,10)</f>
        <v>9.350816e-5</v>
      </c>
      <c r="M29" s="236">
        <f ca="1" t="shared" si="26"/>
        <v>0.0309772070207787</v>
      </c>
      <c r="N29" s="236">
        <f ca="1">INDEX(Photobiology!$21:$421,1+$H29-380,N$14)</f>
        <v>0.0154910908165064</v>
      </c>
      <c r="O29" s="236">
        <f ca="1">INDEX(Photobiology!$21:$421,1+$H29-380,O$14)</f>
        <v>0.00221592470807984</v>
      </c>
      <c r="P29" s="236">
        <f ca="1">INDEX(Photobiology!$21:$421,1+$H29-380,P$14)</f>
        <v>0.00208738231663923</v>
      </c>
      <c r="Q29" s="236">
        <f ca="1">INDEX(Photobiology!$21:$421,1+$H29-380,Q$14)</f>
        <v>0.00263329794367551</v>
      </c>
      <c r="R29" s="236">
        <f ca="1">INDEX(Photobiology!$21:$421,1+$H29-380,R$14)</f>
        <v>0.00240952257725103</v>
      </c>
      <c r="S29" s="236">
        <f ca="1" t="shared" si="27"/>
        <v>6.0522775612361e+16</v>
      </c>
      <c r="T29" s="236">
        <f ca="1">INDEX(Photobiology!$21:$421,1+$H29-380,T$14)</f>
        <v>0.0175672163898526</v>
      </c>
      <c r="U29" s="236">
        <f ca="1">INDEX(Photobiology!$21:$421,1+$H29-380,U$14)</f>
        <v>0.00310133399396673</v>
      </c>
      <c r="V29" s="236">
        <f ca="1">INDEX(Photobiology!$21:$421,1+$H29-380,V$14)</f>
        <v>0.0030626215444206</v>
      </c>
      <c r="W29" s="236">
        <f ca="1">INDEX(Photobiology!$21:$421,1+$H29-380,W$14)</f>
        <v>0.00345948926013767</v>
      </c>
      <c r="X29" s="236">
        <f ca="1">INDEX(Photobiology!$21:$421,1+$H29-380,X$14)</f>
        <v>0.00303536020217515</v>
      </c>
      <c r="Y29" s="236">
        <f ca="1" t="shared" si="14"/>
        <v>0.0309772070207787</v>
      </c>
      <c r="Z29" s="236">
        <f ca="1" t="shared" si="28"/>
        <v>0.000479870727200602</v>
      </c>
      <c r="AA29" s="236">
        <f ca="1" t="shared" si="15"/>
        <v>6.86431584246478e-5</v>
      </c>
      <c r="AB29" s="236">
        <f ca="1" t="shared" si="16"/>
        <v>6.46612741540461e-5</v>
      </c>
      <c r="AC29" s="236">
        <f ca="1" t="shared" si="17"/>
        <v>8.15722155486271e-5</v>
      </c>
      <c r="AD29" s="236">
        <f ca="1" t="shared" si="18"/>
        <v>7.46402796967454e-5</v>
      </c>
      <c r="AE29" s="236"/>
      <c r="AF29" s="236"/>
      <c r="AG29" s="236"/>
      <c r="AH29" s="236">
        <f t="shared" si="29"/>
        <v>388</v>
      </c>
      <c r="AI29" s="236">
        <f>IF($AH29&gt;$AH28,INDEX(Spectra!29:29,1,MATCH($AI$20,Spectra!$20:$20,0)),AI28)</f>
        <v>1</v>
      </c>
      <c r="AJ29" s="236">
        <f>((Physics!$C$9*Physics!$C$10)/(Physics!$C$11*Physics!$C$12*$AH29))^($AJ$17-$AJ$18)</f>
        <v>1.95378413463047e+18</v>
      </c>
      <c r="AK29" s="236">
        <f t="shared" si="30"/>
        <v>1</v>
      </c>
      <c r="AL29" s="236">
        <f ca="1">INDEX(Photobiology!$21:$421,1+$AH29-380,10)</f>
        <v>9.350816e-5</v>
      </c>
      <c r="AM29" s="236">
        <f ca="1" t="shared" si="31"/>
        <v>13.3319879209511</v>
      </c>
      <c r="AN29" s="236">
        <f ca="1">INDEX(Photobiology!$21:$421,1+$AH29-380,AN$14)</f>
        <v>0.0154910908165064</v>
      </c>
      <c r="AO29" s="236">
        <f ca="1">INDEX(Photobiology!$21:$421,1+$AH29-380,AO$14)</f>
        <v>0.00221592470807984</v>
      </c>
      <c r="AP29" s="236">
        <f ca="1">INDEX(Photobiology!$21:$421,1+$AH29-380,AP$14)</f>
        <v>0.00208738231663923</v>
      </c>
      <c r="AQ29" s="236">
        <f ca="1">INDEX(Photobiology!$21:$421,1+$AH29-380,AQ$14)</f>
        <v>0.00263329794367551</v>
      </c>
      <c r="AR29" s="236">
        <f ca="1">INDEX(Photobiology!$21:$421,1+$AH29-380,AR$14)</f>
        <v>0.00240952257725103</v>
      </c>
      <c r="AS29" s="236">
        <f ca="1" t="shared" si="32"/>
        <v>2.60478264830394e+19</v>
      </c>
      <c r="AT29" s="236">
        <f ca="1">INDEX(Photobiology!$21:$421,1+$AH29-380,AT$14)</f>
        <v>0.0175672163898526</v>
      </c>
      <c r="AU29" s="236">
        <f ca="1">INDEX(Photobiology!$21:$421,1+$AH29-380,AU$14)</f>
        <v>0.00310133399396673</v>
      </c>
      <c r="AV29" s="236">
        <f ca="1">INDEX(Photobiology!$21:$421,1+$AH29-380,AV$14)</f>
        <v>0.0030626215444206</v>
      </c>
      <c r="AW29" s="236">
        <f ca="1">INDEX(Photobiology!$21:$421,1+$AH29-380,AW$14)</f>
        <v>0.00345948926013767</v>
      </c>
      <c r="AX29" s="236">
        <f ca="1">INDEX(Photobiology!$21:$421,1+$AH29-380,AX$14)</f>
        <v>0.00303536020217515</v>
      </c>
      <c r="AY29" s="236">
        <f ca="1" t="shared" si="19"/>
        <v>13.3319879209511</v>
      </c>
      <c r="AZ29" s="236">
        <f ca="1" t="shared" si="33"/>
        <v>0.20652703564802</v>
      </c>
      <c r="BA29" s="236">
        <f ca="1" t="shared" si="20"/>
        <v>0.0295426814418576</v>
      </c>
      <c r="BB29" s="236">
        <f ca="1" t="shared" si="21"/>
        <v>0.0278289558318412</v>
      </c>
      <c r="BC29" s="236">
        <f ca="1" t="shared" si="22"/>
        <v>0.0351070963773474</v>
      </c>
      <c r="BD29" s="236">
        <f ca="1" t="shared" si="23"/>
        <v>0.0321237258951698</v>
      </c>
    </row>
    <row r="30" s="234" customFormat="1" ht="0.2" customHeight="1" spans="7:56">
      <c r="G30" s="236"/>
      <c r="H30" s="236">
        <f t="shared" si="24"/>
        <v>389</v>
      </c>
      <c r="I30" s="236">
        <f>IF($H30&gt;$H29,INDEX(Spectra!30:30,1,MATCH($I$20,Spectra!$20:$20,0)),I29)</f>
        <v>0.0225690513313133</v>
      </c>
      <c r="J30" s="236">
        <f>((Physics!$C$9*Physics!$C$10)/(Physics!$C$11*Physics!$C$12*$H30))^($J$17-$J$18)</f>
        <v>1.95881966075065e+18</v>
      </c>
      <c r="K30" s="236">
        <f t="shared" si="25"/>
        <v>1</v>
      </c>
      <c r="L30" s="236">
        <f ca="1">INDEX(Photobiology!$21:$421,1+$H30-380,10)</f>
        <v>0.0001061361</v>
      </c>
      <c r="M30" s="236">
        <f ca="1" t="shared" si="26"/>
        <v>0.0225690513313133</v>
      </c>
      <c r="N30" s="236">
        <f ca="1">INDEX(Photobiology!$21:$421,1+$H30-380,N$14)</f>
        <v>0.017661720187125</v>
      </c>
      <c r="O30" s="236">
        <f ca="1">INDEX(Photobiology!$21:$421,1+$H30-380,O$14)</f>
        <v>0.00246988652073356</v>
      </c>
      <c r="P30" s="236">
        <f ca="1">INDEX(Photobiology!$21:$421,1+$H30-380,P$14)</f>
        <v>0.00233085898571931</v>
      </c>
      <c r="Q30" s="236">
        <f ca="1">INDEX(Photobiology!$21:$421,1+$H30-380,Q$14)</f>
        <v>0.00295493546196847</v>
      </c>
      <c r="R30" s="236">
        <f ca="1">INDEX(Photobiology!$21:$421,1+$H30-380,R$14)</f>
        <v>0.00272928570165297</v>
      </c>
      <c r="S30" s="236">
        <f ca="1" t="shared" si="27"/>
        <v>4.42087014722671e+16</v>
      </c>
      <c r="T30" s="236">
        <f ca="1">INDEX(Photobiology!$21:$421,1+$H30-380,T$14)</f>
        <v>0.0199772670497044</v>
      </c>
      <c r="U30" s="236">
        <f ca="1">INDEX(Photobiology!$21:$421,1+$H30-380,U$14)</f>
        <v>0.00344788414059419</v>
      </c>
      <c r="V30" s="236">
        <f ca="1">INDEX(Photobiology!$21:$421,1+$H30-380,V$14)</f>
        <v>0.00341106077695973</v>
      </c>
      <c r="W30" s="236">
        <f ca="1">INDEX(Photobiology!$21:$421,1+$H30-380,W$14)</f>
        <v>0.00387206029069023</v>
      </c>
      <c r="X30" s="236">
        <f ca="1">INDEX(Photobiology!$21:$421,1+$H30-380,X$14)</f>
        <v>0.00342933853724453</v>
      </c>
      <c r="Y30" s="236">
        <f ca="1" t="shared" si="14"/>
        <v>0.0225690513313133</v>
      </c>
      <c r="Z30" s="236">
        <f ca="1" t="shared" si="28"/>
        <v>0.000398608269502516</v>
      </c>
      <c r="AA30" s="236">
        <f ca="1" t="shared" si="15"/>
        <v>5.57429956689545e-5</v>
      </c>
      <c r="AB30" s="236">
        <f ca="1" t="shared" si="16"/>
        <v>5.2605276094752e-5</v>
      </c>
      <c r="AC30" s="236">
        <f ca="1" t="shared" si="17"/>
        <v>6.66900901218844e-5</v>
      </c>
      <c r="AD30" s="236">
        <f ca="1" t="shared" si="18"/>
        <v>6.15973890984253e-5</v>
      </c>
      <c r="AE30" s="236"/>
      <c r="AF30" s="236"/>
      <c r="AG30" s="236"/>
      <c r="AH30" s="236">
        <f t="shared" si="29"/>
        <v>389</v>
      </c>
      <c r="AI30" s="236">
        <f>IF($AH30&gt;$AH29,INDEX(Spectra!30:30,1,MATCH($AI$20,Spectra!$20:$20,0)),AI29)</f>
        <v>1</v>
      </c>
      <c r="AJ30" s="236">
        <f>((Physics!$C$9*Physics!$C$10)/(Physics!$C$11*Physics!$C$12*$AH30))^($AJ$17-$AJ$18)</f>
        <v>1.95881966075065e+18</v>
      </c>
      <c r="AK30" s="236">
        <f t="shared" si="30"/>
        <v>1</v>
      </c>
      <c r="AL30" s="236">
        <f ca="1">INDEX(Photobiology!$21:$421,1+$AH30-380,10)</f>
        <v>0.0001061361</v>
      </c>
      <c r="AM30" s="236">
        <f ca="1" t="shared" si="31"/>
        <v>13.3319879209511</v>
      </c>
      <c r="AN30" s="236">
        <f ca="1">INDEX(Photobiology!$21:$421,1+$AH30-380,AN$14)</f>
        <v>0.017661720187125</v>
      </c>
      <c r="AO30" s="236">
        <f ca="1">INDEX(Photobiology!$21:$421,1+$AH30-380,AO$14)</f>
        <v>0.00246988652073356</v>
      </c>
      <c r="AP30" s="236">
        <f ca="1">INDEX(Photobiology!$21:$421,1+$AH30-380,AP$14)</f>
        <v>0.00233085898571931</v>
      </c>
      <c r="AQ30" s="236">
        <f ca="1">INDEX(Photobiology!$21:$421,1+$AH30-380,AQ$14)</f>
        <v>0.00295493546196847</v>
      </c>
      <c r="AR30" s="236">
        <f ca="1">INDEX(Photobiology!$21:$421,1+$AH30-380,AR$14)</f>
        <v>0.00272928570165297</v>
      </c>
      <c r="AS30" s="236">
        <f ca="1" t="shared" si="32"/>
        <v>2.61149600564493e+19</v>
      </c>
      <c r="AT30" s="236">
        <f ca="1">INDEX(Photobiology!$21:$421,1+$AH30-380,AT$14)</f>
        <v>0.0199772670497044</v>
      </c>
      <c r="AU30" s="236">
        <f ca="1">INDEX(Photobiology!$21:$421,1+$AH30-380,AU$14)</f>
        <v>0.00344788414059419</v>
      </c>
      <c r="AV30" s="236">
        <f ca="1">INDEX(Photobiology!$21:$421,1+$AH30-380,AV$14)</f>
        <v>0.00341106077695973</v>
      </c>
      <c r="AW30" s="236">
        <f ca="1">INDEX(Photobiology!$21:$421,1+$AH30-380,AW$14)</f>
        <v>0.00387206029069023</v>
      </c>
      <c r="AX30" s="236">
        <f ca="1">INDEX(Photobiology!$21:$421,1+$AH30-380,AX$14)</f>
        <v>0.00342933853724453</v>
      </c>
      <c r="AY30" s="236">
        <f ca="1" t="shared" si="19"/>
        <v>13.3319879209511</v>
      </c>
      <c r="AZ30" s="236">
        <f ca="1" t="shared" si="33"/>
        <v>0.235465840197969</v>
      </c>
      <c r="BA30" s="236">
        <f ca="1" t="shared" si="20"/>
        <v>0.0329284972605399</v>
      </c>
      <c r="BB30" s="236">
        <f ca="1" t="shared" si="21"/>
        <v>0.0310749838430503</v>
      </c>
      <c r="BC30" s="236">
        <f ca="1" t="shared" si="22"/>
        <v>0.0393951638861538</v>
      </c>
      <c r="BD30" s="236">
        <f ca="1" t="shared" si="23"/>
        <v>0.0363868040072621</v>
      </c>
    </row>
    <row r="31" s="234" customFormat="1" ht="0.2" customHeight="1" spans="7:56">
      <c r="G31" s="236"/>
      <c r="H31" s="236">
        <f t="shared" si="24"/>
        <v>390</v>
      </c>
      <c r="I31" s="236">
        <f>IF($H31&gt;$H30,INDEX(Spectra!31:31,1,MATCH($I$20,Spectra!$20:$20,0)),I30)</f>
        <v>0.0322075795636772</v>
      </c>
      <c r="J31" s="236">
        <f>((Physics!$C$9*Physics!$C$10)/(Physics!$C$11*Physics!$C$12*$H31))^($J$17-$J$18)</f>
        <v>1.96385518687083e+18</v>
      </c>
      <c r="K31" s="236">
        <f t="shared" si="25"/>
        <v>1</v>
      </c>
      <c r="L31" s="236">
        <f ca="1">INDEX(Photobiology!$21:$421,1+$H31-380,10)</f>
        <v>0.00012</v>
      </c>
      <c r="M31" s="236">
        <f ca="1" t="shared" si="26"/>
        <v>0.0322075795636772</v>
      </c>
      <c r="N31" s="236">
        <f ca="1">INDEX(Photobiology!$21:$421,1+$H31-380,N$14)</f>
        <v>0.0201288053426097</v>
      </c>
      <c r="O31" s="236">
        <f ca="1">INDEX(Photobiology!$21:$421,1+$H31-380,O$14)</f>
        <v>0.00275268172753513</v>
      </c>
      <c r="P31" s="236">
        <f ca="1">INDEX(Photobiology!$21:$421,1+$H31-380,P$14)</f>
        <v>0.00260200424051111</v>
      </c>
      <c r="Q31" s="236">
        <f ca="1">INDEX(Photobiology!$21:$421,1+$H31-380,Q$14)</f>
        <v>0.00331792068508433</v>
      </c>
      <c r="R31" s="236">
        <f ca="1">INDEX(Photobiology!$21:$421,1+$H31-380,R$14)</f>
        <v>0.00309441815198648</v>
      </c>
      <c r="S31" s="236">
        <f ca="1" t="shared" si="27"/>
        <v>6.32510221826824e+16</v>
      </c>
      <c r="T31" s="236">
        <f ca="1">INDEX(Photobiology!$21:$421,1+$H31-380,T$14)</f>
        <v>0.022709421412175</v>
      </c>
      <c r="U31" s="236">
        <f ca="1">INDEX(Photobiology!$21:$421,1+$H31-380,U$14)</f>
        <v>0.00383280441470627</v>
      </c>
      <c r="V31" s="236">
        <f ca="1">INDEX(Photobiology!$21:$421,1+$H31-380,V$14)</f>
        <v>0.00379810049670182</v>
      </c>
      <c r="W31" s="236">
        <f ca="1">INDEX(Photobiology!$21:$421,1+$H31-380,W$14)</f>
        <v>0.00433655746029571</v>
      </c>
      <c r="X31" s="236">
        <f ca="1">INDEX(Photobiology!$21:$421,1+$H31-380,X$14)</f>
        <v>0.00387815670962298</v>
      </c>
      <c r="Y31" s="236">
        <f ca="1" t="shared" si="14"/>
        <v>0.0322075795636772</v>
      </c>
      <c r="Z31" s="236">
        <f ca="1" t="shared" si="28"/>
        <v>0.000648300099593873</v>
      </c>
      <c r="AA31" s="236">
        <f ca="1" t="shared" si="15"/>
        <v>8.86572157530681e-5</v>
      </c>
      <c r="AB31" s="236">
        <f ca="1" t="shared" si="16"/>
        <v>8.3804258601287e-5</v>
      </c>
      <c r="AC31" s="236">
        <f ca="1" t="shared" si="17"/>
        <v>0.000106862194450824</v>
      </c>
      <c r="AD31" s="236">
        <f ca="1" t="shared" si="18"/>
        <v>9.96637188333915e-5</v>
      </c>
      <c r="AE31" s="236"/>
      <c r="AF31" s="236"/>
      <c r="AG31" s="236"/>
      <c r="AH31" s="236">
        <f t="shared" si="29"/>
        <v>390</v>
      </c>
      <c r="AI31" s="236">
        <f>IF($AH31&gt;$AH30,INDEX(Spectra!31:31,1,MATCH($AI$20,Spectra!$20:$20,0)),AI30)</f>
        <v>1</v>
      </c>
      <c r="AJ31" s="236">
        <f>((Physics!$C$9*Physics!$C$10)/(Physics!$C$11*Physics!$C$12*$AH31))^($AJ$17-$AJ$18)</f>
        <v>1.96385518687083e+18</v>
      </c>
      <c r="AK31" s="236">
        <f t="shared" si="30"/>
        <v>1</v>
      </c>
      <c r="AL31" s="236">
        <f ca="1">INDEX(Photobiology!$21:$421,1+$AH31-380,10)</f>
        <v>0.00012</v>
      </c>
      <c r="AM31" s="236">
        <f ca="1" t="shared" si="31"/>
        <v>13.3319879209511</v>
      </c>
      <c r="AN31" s="236">
        <f ca="1">INDEX(Photobiology!$21:$421,1+$AH31-380,AN$14)</f>
        <v>0.0201288053426097</v>
      </c>
      <c r="AO31" s="236">
        <f ca="1">INDEX(Photobiology!$21:$421,1+$AH31-380,AO$14)</f>
        <v>0.00275268172753513</v>
      </c>
      <c r="AP31" s="236">
        <f ca="1">INDEX(Photobiology!$21:$421,1+$AH31-380,AP$14)</f>
        <v>0.00260200424051111</v>
      </c>
      <c r="AQ31" s="236">
        <f ca="1">INDEX(Photobiology!$21:$421,1+$AH31-380,AQ$14)</f>
        <v>0.00331792068508433</v>
      </c>
      <c r="AR31" s="236">
        <f ca="1">INDEX(Photobiology!$21:$421,1+$AH31-380,AR$14)</f>
        <v>0.00309441815198648</v>
      </c>
      <c r="AS31" s="236">
        <f ca="1" t="shared" si="32"/>
        <v>2.61820936298592e+19</v>
      </c>
      <c r="AT31" s="236">
        <f ca="1">INDEX(Photobiology!$21:$421,1+$AH31-380,AT$14)</f>
        <v>0.022709421412175</v>
      </c>
      <c r="AU31" s="236">
        <f ca="1">INDEX(Photobiology!$21:$421,1+$AH31-380,AU$14)</f>
        <v>0.00383280441470627</v>
      </c>
      <c r="AV31" s="236">
        <f ca="1">INDEX(Photobiology!$21:$421,1+$AH31-380,AV$14)</f>
        <v>0.00379810049670182</v>
      </c>
      <c r="AW31" s="236">
        <f ca="1">INDEX(Photobiology!$21:$421,1+$AH31-380,AW$14)</f>
        <v>0.00433655746029571</v>
      </c>
      <c r="AX31" s="236">
        <f ca="1">INDEX(Photobiology!$21:$421,1+$AH31-380,AX$14)</f>
        <v>0.00387815670962298</v>
      </c>
      <c r="AY31" s="236">
        <f ca="1" t="shared" si="19"/>
        <v>13.3319879209511</v>
      </c>
      <c r="AZ31" s="236">
        <f ca="1" t="shared" si="33"/>
        <v>0.268356989690849</v>
      </c>
      <c r="BA31" s="236">
        <f ca="1" t="shared" si="20"/>
        <v>0.0366987195417213</v>
      </c>
      <c r="BB31" s="236">
        <f ca="1" t="shared" si="21"/>
        <v>0.0346898891047578</v>
      </c>
      <c r="BC31" s="236">
        <f ca="1" t="shared" si="22"/>
        <v>0.0442344784962182</v>
      </c>
      <c r="BD31" s="236">
        <f ca="1" t="shared" si="23"/>
        <v>0.0412547454246557</v>
      </c>
    </row>
    <row r="32" s="234" customFormat="1" ht="0.2" customHeight="1" spans="7:56">
      <c r="G32" s="236"/>
      <c r="H32" s="236">
        <f t="shared" si="24"/>
        <v>391</v>
      </c>
      <c r="I32" s="236">
        <f>IF($H32&gt;$H31,INDEX(Spectra!32:32,1,MATCH($I$20,Spectra!$20:$20,0)),I31)</f>
        <v>0.0261308968422007</v>
      </c>
      <c r="J32" s="236">
        <f>((Physics!$C$9*Physics!$C$10)/(Physics!$C$11*Physics!$C$12*$H32))^($J$17-$J$18)</f>
        <v>1.96889071299101e+18</v>
      </c>
      <c r="K32" s="236">
        <f t="shared" si="25"/>
        <v>1</v>
      </c>
      <c r="L32" s="236">
        <f ca="1">INDEX(Photobiology!$21:$421,1+$H32-380,10)</f>
        <v>0.000134984</v>
      </c>
      <c r="M32" s="236">
        <f ca="1" t="shared" si="26"/>
        <v>0.0261308968422007</v>
      </c>
      <c r="N32" s="236">
        <f ca="1">INDEX(Photobiology!$21:$421,1+$H32-380,N$14)</f>
        <v>0.0229315811131485</v>
      </c>
      <c r="O32" s="236">
        <f ca="1">INDEX(Photobiology!$21:$421,1+$H32-380,O$14)</f>
        <v>0.00306761604035677</v>
      </c>
      <c r="P32" s="236">
        <f ca="1">INDEX(Photobiology!$21:$421,1+$H32-380,P$14)</f>
        <v>0.00290388223591464</v>
      </c>
      <c r="Q32" s="236">
        <f ca="1">INDEX(Photobiology!$21:$421,1+$H32-380,Q$14)</f>
        <v>0.00372794073900821</v>
      </c>
      <c r="R32" s="236">
        <f ca="1">INDEX(Photobiology!$21:$421,1+$H32-380,R$14)</f>
        <v>0.00351174522035877</v>
      </c>
      <c r="S32" s="236">
        <f ca="1" t="shared" si="27"/>
        <v>5.14488801147351e+16</v>
      </c>
      <c r="T32" s="236">
        <f ca="1">INDEX(Photobiology!$21:$421,1+$H32-380,T$14)</f>
        <v>0.0258053598204229</v>
      </c>
      <c r="U32" s="236">
        <f ca="1">INDEX(Photobiology!$21:$421,1+$H32-380,U$14)</f>
        <v>0.00426039148202136</v>
      </c>
      <c r="V32" s="236">
        <f ca="1">INDEX(Photobiology!$21:$421,1+$H32-380,V$14)</f>
        <v>0.00422790579091651</v>
      </c>
      <c r="W32" s="236">
        <f ca="1">INDEX(Photobiology!$21:$421,1+$H32-380,W$14)</f>
        <v>0.00485999648197635</v>
      </c>
      <c r="X32" s="236">
        <f ca="1">INDEX(Photobiology!$21:$421,1+$H32-380,X$14)</f>
        <v>0.0043899260436655</v>
      </c>
      <c r="Y32" s="236">
        <f ca="1" t="shared" si="14"/>
        <v>0.0261308968422007</v>
      </c>
      <c r="Z32" s="236">
        <f ca="1" t="shared" si="28"/>
        <v>0.000599222780496241</v>
      </c>
      <c r="AA32" s="236">
        <f ca="1" t="shared" si="15"/>
        <v>8.01595583020429e-5</v>
      </c>
      <c r="AB32" s="236">
        <f ca="1" t="shared" si="16"/>
        <v>7.58810471485846e-5</v>
      </c>
      <c r="AC32" s="236">
        <f ca="1" t="shared" si="17"/>
        <v>9.7414434884861e-5</v>
      </c>
      <c r="AD32" s="236">
        <f ca="1" t="shared" si="18"/>
        <v>9.17650520892864e-5</v>
      </c>
      <c r="AE32" s="236"/>
      <c r="AF32" s="236"/>
      <c r="AG32" s="236"/>
      <c r="AH32" s="236">
        <f t="shared" si="29"/>
        <v>391</v>
      </c>
      <c r="AI32" s="236">
        <f>IF($AH32&gt;$AH31,INDEX(Spectra!32:32,1,MATCH($AI$20,Spectra!$20:$20,0)),AI31)</f>
        <v>1</v>
      </c>
      <c r="AJ32" s="236">
        <f>((Physics!$C$9*Physics!$C$10)/(Physics!$C$11*Physics!$C$12*$AH32))^($AJ$17-$AJ$18)</f>
        <v>1.96889071299101e+18</v>
      </c>
      <c r="AK32" s="236">
        <f t="shared" si="30"/>
        <v>1</v>
      </c>
      <c r="AL32" s="236">
        <f ca="1">INDEX(Photobiology!$21:$421,1+$AH32-380,10)</f>
        <v>0.000134984</v>
      </c>
      <c r="AM32" s="236">
        <f ca="1" t="shared" si="31"/>
        <v>13.3319879209511</v>
      </c>
      <c r="AN32" s="236">
        <f ca="1">INDEX(Photobiology!$21:$421,1+$AH32-380,AN$14)</f>
        <v>0.0229315811131485</v>
      </c>
      <c r="AO32" s="236">
        <f ca="1">INDEX(Photobiology!$21:$421,1+$AH32-380,AO$14)</f>
        <v>0.00306761604035677</v>
      </c>
      <c r="AP32" s="236">
        <f ca="1">INDEX(Photobiology!$21:$421,1+$AH32-380,AP$14)</f>
        <v>0.00290388223591464</v>
      </c>
      <c r="AQ32" s="236">
        <f ca="1">INDEX(Photobiology!$21:$421,1+$AH32-380,AQ$14)</f>
        <v>0.00372794073900821</v>
      </c>
      <c r="AR32" s="236">
        <f ca="1">INDEX(Photobiology!$21:$421,1+$AH32-380,AR$14)</f>
        <v>0.00351174522035877</v>
      </c>
      <c r="AS32" s="236">
        <f ca="1" t="shared" si="32"/>
        <v>2.62492272032691e+19</v>
      </c>
      <c r="AT32" s="236">
        <f ca="1">INDEX(Photobiology!$21:$421,1+$AH32-380,AT$14)</f>
        <v>0.0258053598204229</v>
      </c>
      <c r="AU32" s="236">
        <f ca="1">INDEX(Photobiology!$21:$421,1+$AH32-380,AU$14)</f>
        <v>0.00426039148202136</v>
      </c>
      <c r="AV32" s="236">
        <f ca="1">INDEX(Photobiology!$21:$421,1+$AH32-380,AV$14)</f>
        <v>0.00422790579091651</v>
      </c>
      <c r="AW32" s="236">
        <f ca="1">INDEX(Photobiology!$21:$421,1+$AH32-380,AW$14)</f>
        <v>0.00485999648197635</v>
      </c>
      <c r="AX32" s="236">
        <f ca="1">INDEX(Photobiology!$21:$421,1+$AH32-380,AX$14)</f>
        <v>0.0043899260436655</v>
      </c>
      <c r="AY32" s="236">
        <f ca="1" t="shared" si="19"/>
        <v>13.3319879209511</v>
      </c>
      <c r="AZ32" s="236">
        <f ca="1" t="shared" si="33"/>
        <v>0.305723562408807</v>
      </c>
      <c r="BA32" s="236">
        <f ca="1" t="shared" si="20"/>
        <v>0.0408974199961524</v>
      </c>
      <c r="BB32" s="236">
        <f ca="1" t="shared" si="21"/>
        <v>0.0387145228930786</v>
      </c>
      <c r="BC32" s="236">
        <f ca="1" t="shared" si="22"/>
        <v>0.0497008609024791</v>
      </c>
      <c r="BD32" s="236">
        <f ca="1" t="shared" si="23"/>
        <v>0.046818544859281</v>
      </c>
    </row>
    <row r="33" s="234" customFormat="1" ht="0.2" customHeight="1" spans="7:56">
      <c r="G33" s="236"/>
      <c r="H33" s="236">
        <f t="shared" si="24"/>
        <v>392</v>
      </c>
      <c r="I33" s="236">
        <f>IF($H33&gt;$H32,INDEX(Spectra!33:33,1,MATCH($I$20,Spectra!$20:$20,0)),I32)</f>
        <v>0.0179495010911011</v>
      </c>
      <c r="J33" s="236">
        <f>((Physics!$C$9*Physics!$C$10)/(Physics!$C$11*Physics!$C$12*$H33))^($J$17-$J$18)</f>
        <v>1.9739262391112e+18</v>
      </c>
      <c r="K33" s="236">
        <f t="shared" si="25"/>
        <v>1</v>
      </c>
      <c r="L33" s="236">
        <f ca="1">INDEX(Photobiology!$21:$421,1+$H33-380,10)</f>
        <v>0.000151492</v>
      </c>
      <c r="M33" s="236">
        <f ca="1" t="shared" si="26"/>
        <v>0.0179495010911011</v>
      </c>
      <c r="N33" s="236">
        <f ca="1">INDEX(Photobiology!$21:$421,1+$H33-380,N$14)</f>
        <v>0.026114216481264</v>
      </c>
      <c r="O33" s="236">
        <f ca="1">INDEX(Photobiology!$21:$421,1+$H33-380,O$14)</f>
        <v>0.00341840094604124</v>
      </c>
      <c r="P33" s="236">
        <f ca="1">INDEX(Photobiology!$21:$421,1+$H33-380,P$14)</f>
        <v>0.00323991786076332</v>
      </c>
      <c r="Q33" s="236">
        <f ca="1">INDEX(Photobiology!$21:$421,1+$H33-380,Q$14)</f>
        <v>0.00419154371577608</v>
      </c>
      <c r="R33" s="236">
        <f ca="1">INDEX(Photobiology!$21:$421,1+$H33-380,R$14)</f>
        <v>0.00398914662937953</v>
      </c>
      <c r="S33" s="236">
        <f ca="1" t="shared" si="27"/>
        <v>3.54309911826796e+16</v>
      </c>
      <c r="T33" s="236">
        <f ca="1">INDEX(Photobiology!$21:$421,1+$H33-380,T$14)</f>
        <v>0.0293118756422351</v>
      </c>
      <c r="U33" s="236">
        <f ca="1">INDEX(Photobiology!$21:$421,1+$H33-380,U$14)</f>
        <v>0.00473546027879616</v>
      </c>
      <c r="V33" s="236">
        <f ca="1">INDEX(Photobiology!$21:$421,1+$H33-380,V$14)</f>
        <v>0.00470512311653829</v>
      </c>
      <c r="W33" s="236">
        <f ca="1">INDEX(Photobiology!$21:$421,1+$H33-380,W$14)</f>
        <v>0.00545044103030457</v>
      </c>
      <c r="X33" s="236">
        <f ca="1">INDEX(Photobiology!$21:$421,1+$H33-380,X$14)</f>
        <v>0.00497398984412847</v>
      </c>
      <c r="Y33" s="236">
        <f ca="1" t="shared" si="14"/>
        <v>0.0179495010911011</v>
      </c>
      <c r="Z33" s="236">
        <f ca="1" t="shared" si="28"/>
        <v>0.000468737157223698</v>
      </c>
      <c r="AA33" s="236">
        <f ca="1" t="shared" si="15"/>
        <v>6.13585915107883e-5</v>
      </c>
      <c r="AB33" s="236">
        <f ca="1" t="shared" si="16"/>
        <v>5.81549091768491e-5</v>
      </c>
      <c r="AC33" s="236">
        <f ca="1" t="shared" si="17"/>
        <v>7.52361184997207e-5</v>
      </c>
      <c r="AD33" s="236">
        <f ca="1" t="shared" si="18"/>
        <v>7.16031917766101e-5</v>
      </c>
      <c r="AE33" s="236"/>
      <c r="AF33" s="236"/>
      <c r="AG33" s="236"/>
      <c r="AH33" s="236">
        <f t="shared" si="29"/>
        <v>392</v>
      </c>
      <c r="AI33" s="236">
        <f>IF($AH33&gt;$AH32,INDEX(Spectra!33:33,1,MATCH($AI$20,Spectra!$20:$20,0)),AI32)</f>
        <v>1</v>
      </c>
      <c r="AJ33" s="236">
        <f>((Physics!$C$9*Physics!$C$10)/(Physics!$C$11*Physics!$C$12*$AH33))^($AJ$17-$AJ$18)</f>
        <v>1.9739262391112e+18</v>
      </c>
      <c r="AK33" s="236">
        <f t="shared" si="30"/>
        <v>1</v>
      </c>
      <c r="AL33" s="236">
        <f ca="1">INDEX(Photobiology!$21:$421,1+$AH33-380,10)</f>
        <v>0.000151492</v>
      </c>
      <c r="AM33" s="236">
        <f ca="1" t="shared" si="31"/>
        <v>13.3319879209511</v>
      </c>
      <c r="AN33" s="236">
        <f ca="1">INDEX(Photobiology!$21:$421,1+$AH33-380,AN$14)</f>
        <v>0.026114216481264</v>
      </c>
      <c r="AO33" s="236">
        <f ca="1">INDEX(Photobiology!$21:$421,1+$AH33-380,AO$14)</f>
        <v>0.00341840094604124</v>
      </c>
      <c r="AP33" s="236">
        <f ca="1">INDEX(Photobiology!$21:$421,1+$AH33-380,AP$14)</f>
        <v>0.00323991786076332</v>
      </c>
      <c r="AQ33" s="236">
        <f ca="1">INDEX(Photobiology!$21:$421,1+$AH33-380,AQ$14)</f>
        <v>0.00419154371577608</v>
      </c>
      <c r="AR33" s="236">
        <f ca="1">INDEX(Photobiology!$21:$421,1+$AH33-380,AR$14)</f>
        <v>0.00398914662937953</v>
      </c>
      <c r="AS33" s="236">
        <f ca="1" t="shared" si="32"/>
        <v>2.6316360776679e+19</v>
      </c>
      <c r="AT33" s="236">
        <f ca="1">INDEX(Photobiology!$21:$421,1+$AH33-380,AT$14)</f>
        <v>0.0293118756422351</v>
      </c>
      <c r="AU33" s="236">
        <f ca="1">INDEX(Photobiology!$21:$421,1+$AH33-380,AU$14)</f>
        <v>0.00473546027879616</v>
      </c>
      <c r="AV33" s="236">
        <f ca="1">INDEX(Photobiology!$21:$421,1+$AH33-380,AV$14)</f>
        <v>0.00470512311653829</v>
      </c>
      <c r="AW33" s="236">
        <f ca="1">INDEX(Photobiology!$21:$421,1+$AH33-380,AW$14)</f>
        <v>0.00545044103030457</v>
      </c>
      <c r="AX33" s="236">
        <f ca="1">INDEX(Photobiology!$21:$421,1+$AH33-380,AX$14)</f>
        <v>0.00497398984412847</v>
      </c>
      <c r="AY33" s="236">
        <f ca="1" t="shared" si="19"/>
        <v>13.3319879209511</v>
      </c>
      <c r="AZ33" s="236">
        <f ca="1" t="shared" si="33"/>
        <v>0.348154418693315</v>
      </c>
      <c r="BA33" s="236">
        <f ca="1" t="shared" si="20"/>
        <v>0.0455740801215898</v>
      </c>
      <c r="BB33" s="236">
        <f ca="1" t="shared" si="21"/>
        <v>0.0431945457845704</v>
      </c>
      <c r="BC33" s="236">
        <f ca="1" t="shared" si="22"/>
        <v>0.0558816101888654</v>
      </c>
      <c r="BD33" s="236">
        <f ca="1" t="shared" si="23"/>
        <v>0.0531832546777909</v>
      </c>
    </row>
    <row r="34" s="234" customFormat="1" ht="0.2" customHeight="1" spans="7:56">
      <c r="G34" s="236"/>
      <c r="H34" s="236">
        <f t="shared" si="24"/>
        <v>393</v>
      </c>
      <c r="I34" s="236">
        <f>IF($H34&gt;$H33,INDEX(Spectra!34:34,1,MATCH($I$20,Spectra!$20:$20,0)),I33)</f>
        <v>0.0155749374171762</v>
      </c>
      <c r="J34" s="236">
        <f>((Physics!$C$9*Physics!$C$10)/(Physics!$C$11*Physics!$C$12*$H34))^($J$17-$J$18)</f>
        <v>1.97896176523138e+18</v>
      </c>
      <c r="K34" s="236">
        <f t="shared" si="25"/>
        <v>1</v>
      </c>
      <c r="L34" s="236">
        <f ca="1">INDEX(Photobiology!$21:$421,1+$H34-380,10)</f>
        <v>0.000170208</v>
      </c>
      <c r="M34" s="236">
        <f ca="1" t="shared" si="26"/>
        <v>0.0155749374171762</v>
      </c>
      <c r="N34" s="236">
        <f ca="1">INDEX(Photobiology!$21:$421,1+$H34-380,N$14)</f>
        <v>0.0297265836190222</v>
      </c>
      <c r="O34" s="236">
        <f ca="1">INDEX(Photobiology!$21:$421,1+$H34-380,O$14)</f>
        <v>0.00380919319670348</v>
      </c>
      <c r="P34" s="236">
        <f ca="1">INDEX(Photobiology!$21:$421,1+$H34-380,P$14)</f>
        <v>0.00361389058814347</v>
      </c>
      <c r="Q34" s="236">
        <f ca="1">INDEX(Photobiology!$21:$421,1+$H34-380,Q$14)</f>
        <v>0.00471623025507841</v>
      </c>
      <c r="R34" s="236">
        <f ca="1">INDEX(Photobiology!$21:$421,1+$H34-380,R$14)</f>
        <v>0.00453574885908354</v>
      </c>
      <c r="S34" s="236">
        <f ca="1" t="shared" si="27"/>
        <v>3.08222056444633e+16</v>
      </c>
      <c r="T34" s="236">
        <f ca="1">INDEX(Photobiology!$21:$421,1+$H34-380,T$14)</f>
        <v>0.033281671227404</v>
      </c>
      <c r="U34" s="236">
        <f ca="1">INDEX(Photobiology!$21:$421,1+$H34-380,U$14)</f>
        <v>0.00526339198418446</v>
      </c>
      <c r="V34" s="236">
        <f ca="1">INDEX(Photobiology!$21:$421,1+$H34-380,V$14)</f>
        <v>0.00523486526781195</v>
      </c>
      <c r="W34" s="236">
        <f ca="1">INDEX(Photobiology!$21:$421,1+$H34-380,W$14)</f>
        <v>0.0061171081929582</v>
      </c>
      <c r="X34" s="236">
        <f ca="1">INDEX(Photobiology!$21:$421,1+$H34-380,X$14)</f>
        <v>0.00564114692064163</v>
      </c>
      <c r="Y34" s="236">
        <f ca="1" t="shared" si="14"/>
        <v>0.0155749374171762</v>
      </c>
      <c r="Z34" s="236">
        <f ca="1" t="shared" si="28"/>
        <v>0.000462989679492726</v>
      </c>
      <c r="AA34" s="236">
        <f ca="1" t="shared" si="15"/>
        <v>5.93279456485901e-5</v>
      </c>
      <c r="AB34" s="236">
        <f ca="1" t="shared" si="16"/>
        <v>5.62861197428566e-5</v>
      </c>
      <c r="AC34" s="236">
        <f ca="1" t="shared" si="17"/>
        <v>7.34549910678392e-5</v>
      </c>
      <c r="AD34" s="236">
        <f ca="1" t="shared" si="18"/>
        <v>7.06440046202545e-5</v>
      </c>
      <c r="AE34" s="236"/>
      <c r="AF34" s="236"/>
      <c r="AG34" s="236"/>
      <c r="AH34" s="236">
        <f t="shared" si="29"/>
        <v>393</v>
      </c>
      <c r="AI34" s="236">
        <f>IF($AH34&gt;$AH33,INDEX(Spectra!34:34,1,MATCH($AI$20,Spectra!$20:$20,0)),AI33)</f>
        <v>1</v>
      </c>
      <c r="AJ34" s="236">
        <f>((Physics!$C$9*Physics!$C$10)/(Physics!$C$11*Physics!$C$12*$AH34))^($AJ$17-$AJ$18)</f>
        <v>1.97896176523138e+18</v>
      </c>
      <c r="AK34" s="236">
        <f t="shared" si="30"/>
        <v>1</v>
      </c>
      <c r="AL34" s="236">
        <f ca="1">INDEX(Photobiology!$21:$421,1+$AH34-380,10)</f>
        <v>0.000170208</v>
      </c>
      <c r="AM34" s="236">
        <f ca="1" t="shared" si="31"/>
        <v>13.3319879209511</v>
      </c>
      <c r="AN34" s="236">
        <f ca="1">INDEX(Photobiology!$21:$421,1+$AH34-380,AN$14)</f>
        <v>0.0297265836190222</v>
      </c>
      <c r="AO34" s="236">
        <f ca="1">INDEX(Photobiology!$21:$421,1+$AH34-380,AO$14)</f>
        <v>0.00380919319670348</v>
      </c>
      <c r="AP34" s="236">
        <f ca="1">INDEX(Photobiology!$21:$421,1+$AH34-380,AP$14)</f>
        <v>0.00361389058814347</v>
      </c>
      <c r="AQ34" s="236">
        <f ca="1">INDEX(Photobiology!$21:$421,1+$AH34-380,AQ$14)</f>
        <v>0.00471623025507841</v>
      </c>
      <c r="AR34" s="236">
        <f ca="1">INDEX(Photobiology!$21:$421,1+$AH34-380,AR$14)</f>
        <v>0.00453574885908354</v>
      </c>
      <c r="AS34" s="236">
        <f ca="1" t="shared" si="32"/>
        <v>2.63834943500889e+19</v>
      </c>
      <c r="AT34" s="236">
        <f ca="1">INDEX(Photobiology!$21:$421,1+$AH34-380,AT$14)</f>
        <v>0.033281671227404</v>
      </c>
      <c r="AU34" s="236">
        <f ca="1">INDEX(Photobiology!$21:$421,1+$AH34-380,AU$14)</f>
        <v>0.00526339198418446</v>
      </c>
      <c r="AV34" s="236">
        <f ca="1">INDEX(Photobiology!$21:$421,1+$AH34-380,AV$14)</f>
        <v>0.00523486526781195</v>
      </c>
      <c r="AW34" s="236">
        <f ca="1">INDEX(Photobiology!$21:$421,1+$AH34-380,AW$14)</f>
        <v>0.0061171081929582</v>
      </c>
      <c r="AX34" s="236">
        <f ca="1">INDEX(Photobiology!$21:$421,1+$AH34-380,AX$14)</f>
        <v>0.00564114692064163</v>
      </c>
      <c r="AY34" s="236">
        <f ca="1" t="shared" si="19"/>
        <v>13.3319879209511</v>
      </c>
      <c r="AZ34" s="236">
        <f ca="1" t="shared" si="33"/>
        <v>0.396314453739948</v>
      </c>
      <c r="BA34" s="236">
        <f ca="1" t="shared" si="20"/>
        <v>0.0507841176870201</v>
      </c>
      <c r="BB34" s="236">
        <f ca="1" t="shared" si="21"/>
        <v>0.0481803456687678</v>
      </c>
      <c r="BC34" s="236">
        <f ca="1" t="shared" si="22"/>
        <v>0.0628767247931297</v>
      </c>
      <c r="BD34" s="236">
        <f ca="1" t="shared" si="23"/>
        <v>0.0604705490017697</v>
      </c>
    </row>
    <row r="35" s="234" customFormat="1" ht="0.2" customHeight="1" spans="7:56">
      <c r="G35" s="236"/>
      <c r="H35" s="236">
        <f t="shared" si="24"/>
        <v>394</v>
      </c>
      <c r="I35" s="236">
        <f>IF($H35&gt;$H34,INDEX(Spectra!35:35,1,MATCH($I$20,Spectra!$20:$20,0)),I34)</f>
        <v>0.0218566822291358</v>
      </c>
      <c r="J35" s="236">
        <f>((Physics!$C$9*Physics!$C$10)/(Physics!$C$11*Physics!$C$12*$H35))^($J$17-$J$18)</f>
        <v>1.98399729135156e+18</v>
      </c>
      <c r="K35" s="236">
        <f t="shared" si="25"/>
        <v>1</v>
      </c>
      <c r="L35" s="236">
        <f ca="1">INDEX(Photobiology!$21:$421,1+$H35-380,10)</f>
        <v>0.000191816</v>
      </c>
      <c r="M35" s="236">
        <f ca="1" t="shared" si="26"/>
        <v>0.0218566822291358</v>
      </c>
      <c r="N35" s="236">
        <f ca="1">INDEX(Photobiology!$21:$421,1+$H35-380,N$14)</f>
        <v>0.0338248593969716</v>
      </c>
      <c r="O35" s="236">
        <f ca="1">INDEX(Photobiology!$21:$421,1+$H35-380,O$14)</f>
        <v>0.00424466089228522</v>
      </c>
      <c r="P35" s="236">
        <f ca="1">INDEX(Photobiology!$21:$421,1+$H35-380,P$14)</f>
        <v>0.00403001813071399</v>
      </c>
      <c r="Q35" s="236">
        <f ca="1">INDEX(Photobiology!$21:$421,1+$H35-380,Q$14)</f>
        <v>0.00531061722781836</v>
      </c>
      <c r="R35" s="236">
        <f ca="1">INDEX(Photobiology!$21:$421,1+$H35-380,R$14)</f>
        <v>0.00516209508595925</v>
      </c>
      <c r="S35" s="236">
        <f ca="1" t="shared" si="27"/>
        <v>4.33635983405372e+16</v>
      </c>
      <c r="T35" s="236">
        <f ca="1">INDEX(Photobiology!$21:$421,1+$H35-380,T$14)</f>
        <v>0.0377739546565165</v>
      </c>
      <c r="U35" s="236">
        <f ca="1">INDEX(Photobiology!$21:$421,1+$H35-380,U$14)</f>
        <v>0.00585021791291304</v>
      </c>
      <c r="V35" s="236">
        <f ca="1">INDEX(Photobiology!$21:$421,1+$H35-380,V$14)</f>
        <v>0.00582282632882915</v>
      </c>
      <c r="W35" s="236">
        <f ca="1">INDEX(Photobiology!$21:$421,1+$H35-380,W$14)</f>
        <v>0.00687056559770118</v>
      </c>
      <c r="X35" s="236">
        <f ca="1">INDEX(Photobiology!$21:$421,1+$H35-380,X$14)</f>
        <v>0.00640384393492235</v>
      </c>
      <c r="Y35" s="236">
        <f ca="1" t="shared" si="14"/>
        <v>0.0218566822291358</v>
      </c>
      <c r="Z35" s="236">
        <f ca="1" t="shared" si="28"/>
        <v>0.000739299203284806</v>
      </c>
      <c r="AA35" s="236">
        <f ca="1" t="shared" si="15"/>
        <v>9.27742042931181e-5</v>
      </c>
      <c r="AB35" s="236">
        <f ca="1" t="shared" si="16"/>
        <v>8.80828256606715e-5</v>
      </c>
      <c r="AC35" s="236">
        <f ca="1" t="shared" si="17"/>
        <v>0.000116072473189</v>
      </c>
      <c r="AD35" s="236">
        <f ca="1" t="shared" si="18"/>
        <v>0.000112826271930395</v>
      </c>
      <c r="AE35" s="236"/>
      <c r="AF35" s="236"/>
      <c r="AG35" s="236"/>
      <c r="AH35" s="236">
        <f t="shared" si="29"/>
        <v>394</v>
      </c>
      <c r="AI35" s="236">
        <f>IF($AH35&gt;$AH34,INDEX(Spectra!35:35,1,MATCH($AI$20,Spectra!$20:$20,0)),AI34)</f>
        <v>1</v>
      </c>
      <c r="AJ35" s="236">
        <f>((Physics!$C$9*Physics!$C$10)/(Physics!$C$11*Physics!$C$12*$AH35))^($AJ$17-$AJ$18)</f>
        <v>1.98399729135156e+18</v>
      </c>
      <c r="AK35" s="236">
        <f t="shared" si="30"/>
        <v>1</v>
      </c>
      <c r="AL35" s="236">
        <f ca="1">INDEX(Photobiology!$21:$421,1+$AH35-380,10)</f>
        <v>0.000191816</v>
      </c>
      <c r="AM35" s="236">
        <f ca="1" t="shared" si="31"/>
        <v>13.3319879209511</v>
      </c>
      <c r="AN35" s="236">
        <f ca="1">INDEX(Photobiology!$21:$421,1+$AH35-380,AN$14)</f>
        <v>0.0338248593969716</v>
      </c>
      <c r="AO35" s="236">
        <f ca="1">INDEX(Photobiology!$21:$421,1+$AH35-380,AO$14)</f>
        <v>0.00424466089228522</v>
      </c>
      <c r="AP35" s="236">
        <f ca="1">INDEX(Photobiology!$21:$421,1+$AH35-380,AP$14)</f>
        <v>0.00403001813071399</v>
      </c>
      <c r="AQ35" s="236">
        <f ca="1">INDEX(Photobiology!$21:$421,1+$AH35-380,AQ$14)</f>
        <v>0.00531061722781836</v>
      </c>
      <c r="AR35" s="236">
        <f ca="1">INDEX(Photobiology!$21:$421,1+$AH35-380,AR$14)</f>
        <v>0.00516209508595925</v>
      </c>
      <c r="AS35" s="236">
        <f ca="1" t="shared" si="32"/>
        <v>2.64506279234988e+19</v>
      </c>
      <c r="AT35" s="236">
        <f ca="1">INDEX(Photobiology!$21:$421,1+$AH35-380,AT$14)</f>
        <v>0.0377739546565165</v>
      </c>
      <c r="AU35" s="236">
        <f ca="1">INDEX(Photobiology!$21:$421,1+$AH35-380,AU$14)</f>
        <v>0.00585021791291304</v>
      </c>
      <c r="AV35" s="236">
        <f ca="1">INDEX(Photobiology!$21:$421,1+$AH35-380,AV$14)</f>
        <v>0.00582282632882915</v>
      </c>
      <c r="AW35" s="236">
        <f ca="1">INDEX(Photobiology!$21:$421,1+$AH35-380,AW$14)</f>
        <v>0.00687056559770118</v>
      </c>
      <c r="AX35" s="236">
        <f ca="1">INDEX(Photobiology!$21:$421,1+$AH35-380,AX$14)</f>
        <v>0.00640384393492235</v>
      </c>
      <c r="AY35" s="236">
        <f ca="1" t="shared" si="19"/>
        <v>13.3319879209511</v>
      </c>
      <c r="AZ35" s="236">
        <f ca="1" t="shared" si="33"/>
        <v>0.450952616908296</v>
      </c>
      <c r="BA35" s="236">
        <f ca="1" t="shared" si="20"/>
        <v>0.0565897677444802</v>
      </c>
      <c r="BB35" s="236">
        <f ca="1" t="shared" si="21"/>
        <v>0.053728153039893</v>
      </c>
      <c r="BC35" s="236">
        <f ca="1" t="shared" si="22"/>
        <v>0.0708010847340694</v>
      </c>
      <c r="BD35" s="236">
        <f ca="1" t="shared" si="23"/>
        <v>0.06882098933281</v>
      </c>
    </row>
    <row r="36" s="234" customFormat="1" ht="0.2" customHeight="1" spans="7:56">
      <c r="G36" s="236"/>
      <c r="H36" s="236">
        <f t="shared" si="24"/>
        <v>395</v>
      </c>
      <c r="I36" s="236">
        <f>IF($H36&gt;$H35,INDEX(Spectra!36:36,1,MATCH($I$20,Spectra!$20:$20,0)),I35)</f>
        <v>0.0243391251628156</v>
      </c>
      <c r="J36" s="236">
        <f>((Physics!$C$9*Physics!$C$10)/(Physics!$C$11*Physics!$C$12*$H36))^($J$17-$J$18)</f>
        <v>1.98903281747174e+18</v>
      </c>
      <c r="K36" s="236">
        <f t="shared" si="25"/>
        <v>1</v>
      </c>
      <c r="L36" s="236">
        <f ca="1">INDEX(Photobiology!$21:$421,1+$H36-380,10)</f>
        <v>0.000217</v>
      </c>
      <c r="M36" s="236">
        <f ca="1" t="shared" si="26"/>
        <v>0.0243391251628156</v>
      </c>
      <c r="N36" s="236">
        <f ca="1">INDEX(Photobiology!$21:$421,1+$H36-380,N$14)</f>
        <v>0.0384722866564772</v>
      </c>
      <c r="O36" s="236">
        <f ca="1">INDEX(Photobiology!$21:$421,1+$H36-380,O$14)</f>
        <v>0.004730052923626</v>
      </c>
      <c r="P36" s="236">
        <f ca="1">INDEX(Photobiology!$21:$421,1+$H36-380,P$14)</f>
        <v>0.00449297497847968</v>
      </c>
      <c r="Q36" s="236">
        <f ca="1">INDEX(Photobiology!$21:$421,1+$H36-380,Q$14)</f>
        <v>0.00598462579295982</v>
      </c>
      <c r="R36" s="236">
        <f ca="1">INDEX(Photobiology!$21:$421,1+$H36-380,R$14)</f>
        <v>0.00588034761467361</v>
      </c>
      <c r="S36" s="236">
        <f ca="1" t="shared" si="27"/>
        <v>4.84113186973924e+16</v>
      </c>
      <c r="T36" s="236">
        <f ca="1">INDEX(Photobiology!$21:$421,1+$H36-380,T$14)</f>
        <v>0.0428552053894936</v>
      </c>
      <c r="U36" s="236">
        <f ca="1">INDEX(Photobiology!$21:$421,1+$H36-380,U$14)</f>
        <v>0.00650270675355558</v>
      </c>
      <c r="V36" s="236">
        <f ca="1">INDEX(Photobiology!$21:$421,1+$H36-380,V$14)</f>
        <v>0.00647530103217313</v>
      </c>
      <c r="W36" s="236">
        <f ca="1">INDEX(Photobiology!$21:$421,1+$H36-380,W$14)</f>
        <v>0.0077229569979358</v>
      </c>
      <c r="X36" s="236">
        <f ca="1">INDEX(Photobiology!$21:$421,1+$H36-380,X$14)</f>
        <v>0.00727640503306985</v>
      </c>
      <c r="Y36" s="236">
        <f ca="1" t="shared" si="14"/>
        <v>0.0243391251628156</v>
      </c>
      <c r="Z36" s="236">
        <f ca="1" t="shared" si="28"/>
        <v>0.000936381800231719</v>
      </c>
      <c r="AA36" s="236">
        <f ca="1" t="shared" si="15"/>
        <v>0.000115125350134875</v>
      </c>
      <c r="AB36" s="236">
        <f ca="1" t="shared" si="16"/>
        <v>0.000109355080354616</v>
      </c>
      <c r="AC36" s="236">
        <f ca="1" t="shared" si="17"/>
        <v>0.000145660556227464</v>
      </c>
      <c r="AD36" s="236">
        <f ca="1" t="shared" si="18"/>
        <v>0.000143122516594405</v>
      </c>
      <c r="AE36" s="236"/>
      <c r="AF36" s="236"/>
      <c r="AG36" s="236"/>
      <c r="AH36" s="236">
        <f t="shared" si="29"/>
        <v>395</v>
      </c>
      <c r="AI36" s="236">
        <f>IF($AH36&gt;$AH35,INDEX(Spectra!36:36,1,MATCH($AI$20,Spectra!$20:$20,0)),AI35)</f>
        <v>1</v>
      </c>
      <c r="AJ36" s="236">
        <f>((Physics!$C$9*Physics!$C$10)/(Physics!$C$11*Physics!$C$12*$AH36))^($AJ$17-$AJ$18)</f>
        <v>1.98903281747174e+18</v>
      </c>
      <c r="AK36" s="236">
        <f t="shared" si="30"/>
        <v>1</v>
      </c>
      <c r="AL36" s="236">
        <f ca="1">INDEX(Photobiology!$21:$421,1+$AH36-380,10)</f>
        <v>0.000217</v>
      </c>
      <c r="AM36" s="236">
        <f ca="1" t="shared" si="31"/>
        <v>13.3319879209511</v>
      </c>
      <c r="AN36" s="236">
        <f ca="1">INDEX(Photobiology!$21:$421,1+$AH36-380,AN$14)</f>
        <v>0.0384722866564772</v>
      </c>
      <c r="AO36" s="236">
        <f ca="1">INDEX(Photobiology!$21:$421,1+$AH36-380,AO$14)</f>
        <v>0.004730052923626</v>
      </c>
      <c r="AP36" s="236">
        <f ca="1">INDEX(Photobiology!$21:$421,1+$AH36-380,AP$14)</f>
        <v>0.00449297497847968</v>
      </c>
      <c r="AQ36" s="236">
        <f ca="1">INDEX(Photobiology!$21:$421,1+$AH36-380,AQ$14)</f>
        <v>0.00598462579295982</v>
      </c>
      <c r="AR36" s="236">
        <f ca="1">INDEX(Photobiology!$21:$421,1+$AH36-380,AR$14)</f>
        <v>0.00588034761467361</v>
      </c>
      <c r="AS36" s="236">
        <f ca="1" t="shared" si="32"/>
        <v>2.65177614969087e+19</v>
      </c>
      <c r="AT36" s="236">
        <f ca="1">INDEX(Photobiology!$21:$421,1+$AH36-380,AT$14)</f>
        <v>0.0428552053894936</v>
      </c>
      <c r="AU36" s="236">
        <f ca="1">INDEX(Photobiology!$21:$421,1+$AH36-380,AU$14)</f>
        <v>0.00650270675355558</v>
      </c>
      <c r="AV36" s="236">
        <f ca="1">INDEX(Photobiology!$21:$421,1+$AH36-380,AV$14)</f>
        <v>0.00647530103217313</v>
      </c>
      <c r="AW36" s="236">
        <f ca="1">INDEX(Photobiology!$21:$421,1+$AH36-380,AW$14)</f>
        <v>0.0077229569979358</v>
      </c>
      <c r="AX36" s="236">
        <f ca="1">INDEX(Photobiology!$21:$421,1+$AH36-380,AX$14)</f>
        <v>0.00727640503306985</v>
      </c>
      <c r="AY36" s="236">
        <f ca="1" t="shared" si="19"/>
        <v>13.3319879209511</v>
      </c>
      <c r="AZ36" s="236">
        <f ca="1" t="shared" si="33"/>
        <v>0.512912060995524</v>
      </c>
      <c r="BA36" s="236">
        <f ca="1" t="shared" si="20"/>
        <v>0.0630610084432415</v>
      </c>
      <c r="BB36" s="236">
        <f ca="1" t="shared" si="21"/>
        <v>0.0599002881422268</v>
      </c>
      <c r="BC36" s="236">
        <f ca="1" t="shared" si="22"/>
        <v>0.079786958783153</v>
      </c>
      <c r="BD36" s="236">
        <f ca="1" t="shared" si="23"/>
        <v>0.0783967233698224</v>
      </c>
    </row>
    <row r="37" s="234" customFormat="1" ht="0.2" customHeight="1" spans="7:56">
      <c r="G37" s="236"/>
      <c r="H37" s="236">
        <f t="shared" si="24"/>
        <v>396</v>
      </c>
      <c r="I37" s="236">
        <f>IF($H37&gt;$H36,INDEX(Spectra!37:37,1,MATCH($I$20,Spectra!$20:$20,0)),I36)</f>
        <v>0.0334055578296662</v>
      </c>
      <c r="J37" s="236">
        <f>((Physics!$C$9*Physics!$C$10)/(Physics!$C$11*Physics!$C$12*$H37))^($J$17-$J$18)</f>
        <v>1.99406834359192e+18</v>
      </c>
      <c r="K37" s="236">
        <f t="shared" si="25"/>
        <v>1</v>
      </c>
      <c r="L37" s="236">
        <f ca="1">INDEX(Photobiology!$21:$421,1+$H37-380,10)</f>
        <v>0.0002469067</v>
      </c>
      <c r="M37" s="236">
        <f ca="1" t="shared" si="26"/>
        <v>0.0334055578296662</v>
      </c>
      <c r="N37" s="236">
        <f ca="1">INDEX(Photobiology!$21:$421,1+$H37-380,N$14)</f>
        <v>0.0437399215730808</v>
      </c>
      <c r="O37" s="236">
        <f ca="1">INDEX(Photobiology!$21:$421,1+$H37-380,O$14)</f>
        <v>0.00527125468479953</v>
      </c>
      <c r="P37" s="236">
        <f ca="1">INDEX(Photobiology!$21:$421,1+$H37-380,P$14)</f>
        <v>0.0050079501824988</v>
      </c>
      <c r="Q37" s="236">
        <f ca="1">INDEX(Photobiology!$21:$421,1+$H37-380,Q$14)</f>
        <v>0.00674964606370625</v>
      </c>
      <c r="R37" s="236">
        <f ca="1">INDEX(Photobiology!$21:$421,1+$H37-380,R$14)</f>
        <v>0.00670461740285898</v>
      </c>
      <c r="S37" s="236">
        <f ca="1" t="shared" si="27"/>
        <v>6.66129653681666e+16</v>
      </c>
      <c r="T37" s="236">
        <f ca="1">INDEX(Photobiology!$21:$421,1+$H37-380,T$14)</f>
        <v>0.0485999128589787</v>
      </c>
      <c r="U37" s="236">
        <f ca="1">INDEX(Photobiology!$21:$421,1+$H37-380,U$14)</f>
        <v>0.00722843165616205</v>
      </c>
      <c r="V37" s="236">
        <f ca="1">INDEX(Photobiology!$21:$421,1+$H37-380,V$14)</f>
        <v>0.00719926024288188</v>
      </c>
      <c r="W37" s="236">
        <f ca="1">INDEX(Photobiology!$21:$421,1+$H37-380,W$14)</f>
        <v>0.00868819433164973</v>
      </c>
      <c r="X37" s="236">
        <f ca="1">INDEX(Photobiology!$21:$421,1+$H37-380,X$14)</f>
        <v>0.00827541486775953</v>
      </c>
      <c r="Y37" s="236">
        <f ca="1" t="shared" si="14"/>
        <v>0.0334055578296662</v>
      </c>
      <c r="Z37" s="236">
        <f ca="1" t="shared" si="28"/>
        <v>0.00146115647957461</v>
      </c>
      <c r="AA37" s="236">
        <f ca="1" t="shared" si="15"/>
        <v>0.00017608920320797</v>
      </c>
      <c r="AB37" s="236">
        <f ca="1" t="shared" si="16"/>
        <v>0.000167293369429551</v>
      </c>
      <c r="AC37" s="236">
        <f ca="1" t="shared" si="17"/>
        <v>0.000225475691910918</v>
      </c>
      <c r="AD37" s="236">
        <f ca="1" t="shared" si="18"/>
        <v>0.000223971484376992</v>
      </c>
      <c r="AE37" s="236"/>
      <c r="AF37" s="236"/>
      <c r="AG37" s="236"/>
      <c r="AH37" s="236">
        <f t="shared" si="29"/>
        <v>396</v>
      </c>
      <c r="AI37" s="236">
        <f>IF($AH37&gt;$AH36,INDEX(Spectra!37:37,1,MATCH($AI$20,Spectra!$20:$20,0)),AI36)</f>
        <v>1</v>
      </c>
      <c r="AJ37" s="236">
        <f>((Physics!$C$9*Physics!$C$10)/(Physics!$C$11*Physics!$C$12*$AH37))^($AJ$17-$AJ$18)</f>
        <v>1.99406834359192e+18</v>
      </c>
      <c r="AK37" s="236">
        <f t="shared" si="30"/>
        <v>1</v>
      </c>
      <c r="AL37" s="236">
        <f ca="1">INDEX(Photobiology!$21:$421,1+$AH37-380,10)</f>
        <v>0.0002469067</v>
      </c>
      <c r="AM37" s="236">
        <f ca="1" t="shared" si="31"/>
        <v>13.3319879209511</v>
      </c>
      <c r="AN37" s="236">
        <f ca="1">INDEX(Photobiology!$21:$421,1+$AH37-380,AN$14)</f>
        <v>0.0437399215730808</v>
      </c>
      <c r="AO37" s="236">
        <f ca="1">INDEX(Photobiology!$21:$421,1+$AH37-380,AO$14)</f>
        <v>0.00527125468479953</v>
      </c>
      <c r="AP37" s="236">
        <f ca="1">INDEX(Photobiology!$21:$421,1+$AH37-380,AP$14)</f>
        <v>0.0050079501824988</v>
      </c>
      <c r="AQ37" s="236">
        <f ca="1">INDEX(Photobiology!$21:$421,1+$AH37-380,AQ$14)</f>
        <v>0.00674964606370625</v>
      </c>
      <c r="AR37" s="236">
        <f ca="1">INDEX(Photobiology!$21:$421,1+$AH37-380,AR$14)</f>
        <v>0.00670461740285898</v>
      </c>
      <c r="AS37" s="236">
        <f ca="1" t="shared" si="32"/>
        <v>2.65848950703186e+19</v>
      </c>
      <c r="AT37" s="236">
        <f ca="1">INDEX(Photobiology!$21:$421,1+$AH37-380,AT$14)</f>
        <v>0.0485999128589787</v>
      </c>
      <c r="AU37" s="236">
        <f ca="1">INDEX(Photobiology!$21:$421,1+$AH37-380,AU$14)</f>
        <v>0.00722843165616205</v>
      </c>
      <c r="AV37" s="236">
        <f ca="1">INDEX(Photobiology!$21:$421,1+$AH37-380,AV$14)</f>
        <v>0.00719926024288188</v>
      </c>
      <c r="AW37" s="236">
        <f ca="1">INDEX(Photobiology!$21:$421,1+$AH37-380,AW$14)</f>
        <v>0.00868819433164973</v>
      </c>
      <c r="AX37" s="236">
        <f ca="1">INDEX(Photobiology!$21:$421,1+$AH37-380,AX$14)</f>
        <v>0.00827541486775953</v>
      </c>
      <c r="AY37" s="236">
        <f ca="1" t="shared" si="19"/>
        <v>13.3319879209511</v>
      </c>
      <c r="AZ37" s="236">
        <f ca="1" t="shared" si="33"/>
        <v>0.583140106075663</v>
      </c>
      <c r="BA37" s="236">
        <f ca="1" t="shared" si="20"/>
        <v>0.0702763037860045</v>
      </c>
      <c r="BB37" s="236">
        <f ca="1" t="shared" si="21"/>
        <v>0.0667659313417991</v>
      </c>
      <c r="BC37" s="236">
        <f ca="1" t="shared" si="22"/>
        <v>0.0899861997920271</v>
      </c>
      <c r="BD37" s="236">
        <f ca="1" t="shared" si="23"/>
        <v>0.0893858782295147</v>
      </c>
    </row>
    <row r="38" s="234" customFormat="1" ht="0.2" customHeight="1" spans="7:56">
      <c r="G38" s="236"/>
      <c r="H38" s="236">
        <f t="shared" si="24"/>
        <v>397</v>
      </c>
      <c r="I38" s="236">
        <f>IF($H38&gt;$H37,INDEX(Spectra!38:38,1,MATCH($I$20,Spectra!$20:$20,0)),I37)</f>
        <v>0.0379603195160596</v>
      </c>
      <c r="J38" s="236">
        <f>((Physics!$C$9*Physics!$C$10)/(Physics!$C$11*Physics!$C$12*$H38))^($J$17-$J$18)</f>
        <v>1.9991038697121e+18</v>
      </c>
      <c r="K38" s="236">
        <f t="shared" si="25"/>
        <v>1</v>
      </c>
      <c r="L38" s="236">
        <f ca="1">INDEX(Photobiology!$21:$421,1+$H38-380,10)</f>
        <v>0.00028124</v>
      </c>
      <c r="M38" s="236">
        <f ca="1" t="shared" si="26"/>
        <v>0.0379603195160596</v>
      </c>
      <c r="N38" s="236">
        <f ca="1">INDEX(Photobiology!$21:$421,1+$H38-380,N$14)</f>
        <v>0.0497079668459565</v>
      </c>
      <c r="O38" s="236">
        <f ca="1">INDEX(Photobiology!$21:$421,1+$H38-380,O$14)</f>
        <v>0.00587490705275559</v>
      </c>
      <c r="P38" s="236">
        <f ca="1">INDEX(Photobiology!$21:$421,1+$H38-380,P$14)</f>
        <v>0.00558072985190752</v>
      </c>
      <c r="Q38" s="236">
        <f ca="1">INDEX(Photobiology!$21:$421,1+$H38-380,Q$14)</f>
        <v>0.00761878994576487</v>
      </c>
      <c r="R38" s="236">
        <f ca="1">INDEX(Photobiology!$21:$421,1+$H38-380,R$14)</f>
        <v>0.00765115499726195</v>
      </c>
      <c r="S38" s="236">
        <f ca="1" t="shared" si="27"/>
        <v>7.58866216400625e+16</v>
      </c>
      <c r="T38" s="236">
        <f ca="1">INDEX(Photobiology!$21:$421,1+$H38-380,T$14)</f>
        <v>0.0550919531793976</v>
      </c>
      <c r="U38" s="236">
        <f ca="1">INDEX(Photobiology!$21:$421,1+$H38-380,U$14)</f>
        <v>0.00803592284541256</v>
      </c>
      <c r="V38" s="236">
        <f ca="1">INDEX(Photobiology!$21:$421,1+$H38-380,V$14)</f>
        <v>0.00800246073913755</v>
      </c>
      <c r="W38" s="236">
        <f ca="1">INDEX(Photobiology!$21:$421,1+$H38-380,W$14)</f>
        <v>0.00978226008758568</v>
      </c>
      <c r="X38" s="236">
        <f ca="1">INDEX(Photobiology!$21:$421,1+$H38-380,X$14)</f>
        <v>0.00941992520456052</v>
      </c>
      <c r="Y38" s="236">
        <f ca="1" t="shared" si="14"/>
        <v>0.0379603195160596</v>
      </c>
      <c r="Z38" s="236">
        <f ca="1" t="shared" si="28"/>
        <v>0.00188693030396621</v>
      </c>
      <c r="AA38" s="236">
        <f ca="1" t="shared" si="15"/>
        <v>0.000223013348849754</v>
      </c>
      <c r="AB38" s="236">
        <f ca="1" t="shared" si="16"/>
        <v>0.000211846288311221</v>
      </c>
      <c r="AC38" s="236">
        <f ca="1" t="shared" si="17"/>
        <v>0.000289211700666977</v>
      </c>
      <c r="AD38" s="236">
        <f ca="1" t="shared" si="18"/>
        <v>0.00029044028836296</v>
      </c>
      <c r="AE38" s="236"/>
      <c r="AF38" s="236"/>
      <c r="AG38" s="236"/>
      <c r="AH38" s="236">
        <f t="shared" si="29"/>
        <v>397</v>
      </c>
      <c r="AI38" s="236">
        <f>IF($AH38&gt;$AH37,INDEX(Spectra!38:38,1,MATCH($AI$20,Spectra!$20:$20,0)),AI37)</f>
        <v>1</v>
      </c>
      <c r="AJ38" s="236">
        <f>((Physics!$C$9*Physics!$C$10)/(Physics!$C$11*Physics!$C$12*$AH38))^($AJ$17-$AJ$18)</f>
        <v>1.9991038697121e+18</v>
      </c>
      <c r="AK38" s="236">
        <f t="shared" si="30"/>
        <v>1</v>
      </c>
      <c r="AL38" s="236">
        <f ca="1">INDEX(Photobiology!$21:$421,1+$AH38-380,10)</f>
        <v>0.00028124</v>
      </c>
      <c r="AM38" s="236">
        <f ca="1" t="shared" si="31"/>
        <v>13.3319879209511</v>
      </c>
      <c r="AN38" s="236">
        <f ca="1">INDEX(Photobiology!$21:$421,1+$AH38-380,AN$14)</f>
        <v>0.0497079668459565</v>
      </c>
      <c r="AO38" s="236">
        <f ca="1">INDEX(Photobiology!$21:$421,1+$AH38-380,AO$14)</f>
        <v>0.00587490705275559</v>
      </c>
      <c r="AP38" s="236">
        <f ca="1">INDEX(Photobiology!$21:$421,1+$AH38-380,AP$14)</f>
        <v>0.00558072985190752</v>
      </c>
      <c r="AQ38" s="236">
        <f ca="1">INDEX(Photobiology!$21:$421,1+$AH38-380,AQ$14)</f>
        <v>0.00761878994576487</v>
      </c>
      <c r="AR38" s="236">
        <f ca="1">INDEX(Photobiology!$21:$421,1+$AH38-380,AR$14)</f>
        <v>0.00765115499726195</v>
      </c>
      <c r="AS38" s="236">
        <f ca="1" t="shared" si="32"/>
        <v>2.66520286437285e+19</v>
      </c>
      <c r="AT38" s="236">
        <f ca="1">INDEX(Photobiology!$21:$421,1+$AH38-380,AT$14)</f>
        <v>0.0550919531793976</v>
      </c>
      <c r="AU38" s="236">
        <f ca="1">INDEX(Photobiology!$21:$421,1+$AH38-380,AU$14)</f>
        <v>0.00803592284541256</v>
      </c>
      <c r="AV38" s="236">
        <f ca="1">INDEX(Photobiology!$21:$421,1+$AH38-380,AV$14)</f>
        <v>0.00800246073913755</v>
      </c>
      <c r="AW38" s="236">
        <f ca="1">INDEX(Photobiology!$21:$421,1+$AH38-380,AW$14)</f>
        <v>0.00978226008758568</v>
      </c>
      <c r="AX38" s="236">
        <f ca="1">INDEX(Photobiology!$21:$421,1+$AH38-380,AX$14)</f>
        <v>0.00941992520456052</v>
      </c>
      <c r="AY38" s="236">
        <f ca="1" t="shared" si="19"/>
        <v>13.3319879209511</v>
      </c>
      <c r="AZ38" s="236">
        <f ca="1" t="shared" si="33"/>
        <v>0.662706013565332</v>
      </c>
      <c r="BA38" s="236">
        <f ca="1" t="shared" si="20"/>
        <v>0.0783241898640482</v>
      </c>
      <c r="BB38" s="236">
        <f ca="1" t="shared" si="21"/>
        <v>0.0744022229757225</v>
      </c>
      <c r="BC38" s="236">
        <f ca="1" t="shared" si="22"/>
        <v>0.101573615529201</v>
      </c>
      <c r="BD38" s="236">
        <f ca="1" t="shared" si="23"/>
        <v>0.102005106004821</v>
      </c>
    </row>
    <row r="39" s="234" customFormat="1" ht="0.2" customHeight="1" spans="7:56">
      <c r="G39" s="236"/>
      <c r="H39" s="236">
        <f t="shared" si="24"/>
        <v>398</v>
      </c>
      <c r="I39" s="236">
        <f>IF($H39&gt;$H38,INDEX(Spectra!39:39,1,MATCH($I$20,Spectra!$20:$20,0)),I38)</f>
        <v>0.0403455796190111</v>
      </c>
      <c r="J39" s="236">
        <f>((Physics!$C$9*Physics!$C$10)/(Physics!$C$11*Physics!$C$12*$H39))^($J$17-$J$18)</f>
        <v>2.00413939583229e+18</v>
      </c>
      <c r="K39" s="236">
        <f t="shared" si="25"/>
        <v>1</v>
      </c>
      <c r="L39" s="236">
        <f ca="1">INDEX(Photobiology!$21:$421,1+$H39-380,10)</f>
        <v>0.00031852</v>
      </c>
      <c r="M39" s="236">
        <f ca="1" t="shared" si="26"/>
        <v>0.0403455796190111</v>
      </c>
      <c r="N39" s="236">
        <f ca="1">INDEX(Photobiology!$21:$421,1+$H39-380,N$14)</f>
        <v>0.0564662569415647</v>
      </c>
      <c r="O39" s="236">
        <f ca="1">INDEX(Photobiology!$21:$421,1+$H39-380,O$14)</f>
        <v>0.00654850253544234</v>
      </c>
      <c r="P39" s="236">
        <f ca="1">INDEX(Photobiology!$21:$421,1+$H39-380,P$14)</f>
        <v>0.006217703381839</v>
      </c>
      <c r="Q39" s="236">
        <f ca="1">INDEX(Photobiology!$21:$421,1+$H39-380,Q$14)</f>
        <v>0.00860716245322773</v>
      </c>
      <c r="R39" s="236">
        <f ca="1">INDEX(Photobiology!$21:$421,1+$H39-380,R$14)</f>
        <v>0.00873878390239837</v>
      </c>
      <c r="S39" s="236">
        <f ca="1" t="shared" si="27"/>
        <v>8.08581655621485e+16</v>
      </c>
      <c r="T39" s="236">
        <f ca="1">INDEX(Photobiology!$21:$421,1+$H39-380,T$14)</f>
        <v>0.0624250076740916</v>
      </c>
      <c r="U39" s="236">
        <f ca="1">INDEX(Photobiology!$21:$421,1+$H39-380,U$14)</f>
        <v>0.00893478678171048</v>
      </c>
      <c r="V39" s="236">
        <f ca="1">INDEX(Photobiology!$21:$421,1+$H39-380,V$14)</f>
        <v>0.00889344424704197</v>
      </c>
      <c r="W39" s="236">
        <f ca="1">INDEX(Photobiology!$21:$421,1+$H39-380,W$14)</f>
        <v>0.0110235287781321</v>
      </c>
      <c r="X39" s="236">
        <f ca="1">INDEX(Photobiology!$21:$421,1+$H39-380,X$14)</f>
        <v>0.0107319561409408</v>
      </c>
      <c r="Y39" s="236">
        <f ca="1" t="shared" si="14"/>
        <v>0.0403455796190111</v>
      </c>
      <c r="Z39" s="236">
        <f ca="1" t="shared" si="28"/>
        <v>0.00227816386522344</v>
      </c>
      <c r="AA39" s="236">
        <f ca="1" t="shared" si="15"/>
        <v>0.000264203130428985</v>
      </c>
      <c r="AB39" s="236">
        <f ca="1" t="shared" si="16"/>
        <v>0.00025085684683938</v>
      </c>
      <c r="AC39" s="236">
        <f ca="1" t="shared" si="17"/>
        <v>0.000347260958050462</v>
      </c>
      <c r="AD39" s="236">
        <f ca="1" t="shared" si="18"/>
        <v>0.000352571301707546</v>
      </c>
      <c r="AE39" s="236"/>
      <c r="AF39" s="236"/>
      <c r="AG39" s="236"/>
      <c r="AH39" s="236">
        <f t="shared" si="29"/>
        <v>398</v>
      </c>
      <c r="AI39" s="236">
        <f>IF($AH39&gt;$AH38,INDEX(Spectra!39:39,1,MATCH($AI$20,Spectra!$20:$20,0)),AI38)</f>
        <v>1</v>
      </c>
      <c r="AJ39" s="236">
        <f>((Physics!$C$9*Physics!$C$10)/(Physics!$C$11*Physics!$C$12*$AH39))^($AJ$17-$AJ$18)</f>
        <v>2.00413939583229e+18</v>
      </c>
      <c r="AK39" s="236">
        <f t="shared" si="30"/>
        <v>1</v>
      </c>
      <c r="AL39" s="236">
        <f ca="1">INDEX(Photobiology!$21:$421,1+$AH39-380,10)</f>
        <v>0.00031852</v>
      </c>
      <c r="AM39" s="236">
        <f ca="1" t="shared" si="31"/>
        <v>13.3319879209511</v>
      </c>
      <c r="AN39" s="236">
        <f ca="1">INDEX(Photobiology!$21:$421,1+$AH39-380,AN$14)</f>
        <v>0.0564662569415647</v>
      </c>
      <c r="AO39" s="236">
        <f ca="1">INDEX(Photobiology!$21:$421,1+$AH39-380,AO$14)</f>
        <v>0.00654850253544234</v>
      </c>
      <c r="AP39" s="236">
        <f ca="1">INDEX(Photobiology!$21:$421,1+$AH39-380,AP$14)</f>
        <v>0.006217703381839</v>
      </c>
      <c r="AQ39" s="236">
        <f ca="1">INDEX(Photobiology!$21:$421,1+$AH39-380,AQ$14)</f>
        <v>0.00860716245322773</v>
      </c>
      <c r="AR39" s="236">
        <f ca="1">INDEX(Photobiology!$21:$421,1+$AH39-380,AR$14)</f>
        <v>0.00873878390239837</v>
      </c>
      <c r="AS39" s="236">
        <f ca="1" t="shared" si="32"/>
        <v>2.67191622171384e+19</v>
      </c>
      <c r="AT39" s="236">
        <f ca="1">INDEX(Photobiology!$21:$421,1+$AH39-380,AT$14)</f>
        <v>0.0624250076740916</v>
      </c>
      <c r="AU39" s="236">
        <f ca="1">INDEX(Photobiology!$21:$421,1+$AH39-380,AU$14)</f>
        <v>0.00893478678171048</v>
      </c>
      <c r="AV39" s="236">
        <f ca="1">INDEX(Photobiology!$21:$421,1+$AH39-380,AV$14)</f>
        <v>0.00889344424704197</v>
      </c>
      <c r="AW39" s="236">
        <f ca="1">INDEX(Photobiology!$21:$421,1+$AH39-380,AW$14)</f>
        <v>0.0110235287781321</v>
      </c>
      <c r="AX39" s="236">
        <f ca="1">INDEX(Photobiology!$21:$421,1+$AH39-380,AX$14)</f>
        <v>0.0107319561409408</v>
      </c>
      <c r="AY39" s="236">
        <f ca="1" t="shared" si="19"/>
        <v>13.3319879209511</v>
      </c>
      <c r="AZ39" s="236">
        <f ca="1" t="shared" si="33"/>
        <v>0.752807455486264</v>
      </c>
      <c r="BA39" s="236">
        <f ca="1" t="shared" si="20"/>
        <v>0.0873045567028352</v>
      </c>
      <c r="BB39" s="236">
        <f ca="1" t="shared" si="21"/>
        <v>0.0828943463827346</v>
      </c>
      <c r="BC39" s="236">
        <f ca="1" t="shared" si="22"/>
        <v>0.114750585860096</v>
      </c>
      <c r="BD39" s="236">
        <f ca="1" t="shared" si="23"/>
        <v>0.116505361430577</v>
      </c>
    </row>
    <row r="40" s="234" customFormat="1" ht="0.2" customHeight="1" spans="7:56">
      <c r="G40" s="236"/>
      <c r="H40" s="236">
        <f t="shared" si="24"/>
        <v>399</v>
      </c>
      <c r="I40" s="236">
        <f>IF($H40&gt;$H39,INDEX(Spectra!40:40,1,MATCH($I$20,Spectra!$20:$20,0)),I39)</f>
        <v>0.0539991682491645</v>
      </c>
      <c r="J40" s="236">
        <f>((Physics!$C$9*Physics!$C$10)/(Physics!$C$11*Physics!$C$12*$H40))^($J$17-$J$18)</f>
        <v>2.00917492195247e+18</v>
      </c>
      <c r="K40" s="236">
        <f t="shared" si="25"/>
        <v>1</v>
      </c>
      <c r="L40" s="236">
        <f ca="1">INDEX(Photobiology!$21:$421,1+$H40-380,10)</f>
        <v>0.0003572667</v>
      </c>
      <c r="M40" s="236">
        <f ca="1" t="shared" si="26"/>
        <v>0.0539991682491645</v>
      </c>
      <c r="N40" s="236">
        <f ca="1">INDEX(Photobiology!$21:$421,1+$H40-380,N$14)</f>
        <v>0.0641159379603269</v>
      </c>
      <c r="O40" s="236">
        <f ca="1">INDEX(Photobiology!$21:$421,1+$H40-380,O$14)</f>
        <v>0.00730047301493445</v>
      </c>
      <c r="P40" s="236">
        <f ca="1">INDEX(Photobiology!$21:$421,1+$H40-380,P$14)</f>
        <v>0.00692600817777325</v>
      </c>
      <c r="Q40" s="236">
        <f ca="1">INDEX(Photobiology!$21:$421,1+$H40-380,Q$14)</f>
        <v>0.00973210979773522</v>
      </c>
      <c r="R40" s="236">
        <f ca="1">INDEX(Photobiology!$21:$421,1+$H40-380,R$14)</f>
        <v>0.00998925270697228</v>
      </c>
      <c r="S40" s="236">
        <f ca="1" t="shared" si="27"/>
        <v>1.08493774652513e+17</v>
      </c>
      <c r="T40" s="236">
        <f ca="1">INDEX(Photobiology!$21:$421,1+$H40-380,T$14)</f>
        <v>0.0707042924875785</v>
      </c>
      <c r="U40" s="236">
        <f ca="1">INDEX(Photobiology!$21:$421,1+$H40-380,U$14)</f>
        <v>0.00993581209133402</v>
      </c>
      <c r="V40" s="236">
        <f ca="1">INDEX(Photobiology!$21:$421,1+$H40-380,V$14)</f>
        <v>0.00988173409072766</v>
      </c>
      <c r="W40" s="236">
        <f ca="1">INDEX(Photobiology!$21:$421,1+$H40-380,W$14)</f>
        <v>0.0124330539052261</v>
      </c>
      <c r="X40" s="236">
        <f ca="1">INDEX(Photobiology!$21:$421,1+$H40-380,X$14)</f>
        <v>0.0122368902659523</v>
      </c>
      <c r="Y40" s="236">
        <f ca="1" t="shared" si="14"/>
        <v>0.0539991682491645</v>
      </c>
      <c r="Z40" s="236">
        <f ca="1" t="shared" si="28"/>
        <v>0.00346220732137269</v>
      </c>
      <c r="AA40" s="236">
        <f ca="1" t="shared" si="15"/>
        <v>0.000394219470631931</v>
      </c>
      <c r="AB40" s="236">
        <f ca="1" t="shared" si="16"/>
        <v>0.000373998680886667</v>
      </c>
      <c r="AC40" s="236">
        <f ca="1" t="shared" si="17"/>
        <v>0.000525525834387246</v>
      </c>
      <c r="AD40" s="236">
        <f ca="1" t="shared" si="18"/>
        <v>0.000539411337607218</v>
      </c>
      <c r="AE40" s="236"/>
      <c r="AF40" s="236"/>
      <c r="AG40" s="236"/>
      <c r="AH40" s="236">
        <f t="shared" si="29"/>
        <v>399</v>
      </c>
      <c r="AI40" s="236">
        <f>IF($AH40&gt;$AH39,INDEX(Spectra!40:40,1,MATCH($AI$20,Spectra!$20:$20,0)),AI39)</f>
        <v>1</v>
      </c>
      <c r="AJ40" s="236">
        <f>((Physics!$C$9*Physics!$C$10)/(Physics!$C$11*Physics!$C$12*$AH40))^($AJ$17-$AJ$18)</f>
        <v>2.00917492195247e+18</v>
      </c>
      <c r="AK40" s="236">
        <f t="shared" si="30"/>
        <v>1</v>
      </c>
      <c r="AL40" s="236">
        <f ca="1">INDEX(Photobiology!$21:$421,1+$AH40-380,10)</f>
        <v>0.0003572667</v>
      </c>
      <c r="AM40" s="236">
        <f ca="1" t="shared" si="31"/>
        <v>13.3319879209511</v>
      </c>
      <c r="AN40" s="236">
        <f ca="1">INDEX(Photobiology!$21:$421,1+$AH40-380,AN$14)</f>
        <v>0.0641159379603269</v>
      </c>
      <c r="AO40" s="236">
        <f ca="1">INDEX(Photobiology!$21:$421,1+$AH40-380,AO$14)</f>
        <v>0.00730047301493445</v>
      </c>
      <c r="AP40" s="236">
        <f ca="1">INDEX(Photobiology!$21:$421,1+$AH40-380,AP$14)</f>
        <v>0.00692600817777325</v>
      </c>
      <c r="AQ40" s="236">
        <f ca="1">INDEX(Photobiology!$21:$421,1+$AH40-380,AQ$14)</f>
        <v>0.00973210979773522</v>
      </c>
      <c r="AR40" s="236">
        <f ca="1">INDEX(Photobiology!$21:$421,1+$AH40-380,AR$14)</f>
        <v>0.00998925270697228</v>
      </c>
      <c r="AS40" s="236">
        <f ca="1" t="shared" si="32"/>
        <v>2.67862957905482e+19</v>
      </c>
      <c r="AT40" s="236">
        <f ca="1">INDEX(Photobiology!$21:$421,1+$AH40-380,AT$14)</f>
        <v>0.0707042924875785</v>
      </c>
      <c r="AU40" s="236">
        <f ca="1">INDEX(Photobiology!$21:$421,1+$AH40-380,AU$14)</f>
        <v>0.00993581209133402</v>
      </c>
      <c r="AV40" s="236">
        <f ca="1">INDEX(Photobiology!$21:$421,1+$AH40-380,AV$14)</f>
        <v>0.00988173409072766</v>
      </c>
      <c r="AW40" s="236">
        <f ca="1">INDEX(Photobiology!$21:$421,1+$AH40-380,AW$14)</f>
        <v>0.0124330539052261</v>
      </c>
      <c r="AX40" s="236">
        <f ca="1">INDEX(Photobiology!$21:$421,1+$AH40-380,AX$14)</f>
        <v>0.0122368902659523</v>
      </c>
      <c r="AY40" s="236">
        <f ca="1" t="shared" si="19"/>
        <v>13.3319879209511</v>
      </c>
      <c r="AZ40" s="236">
        <f ca="1" t="shared" si="33"/>
        <v>0.854792910427531</v>
      </c>
      <c r="BA40" s="236">
        <f ca="1" t="shared" si="20"/>
        <v>0.0973298180523359</v>
      </c>
      <c r="BB40" s="236">
        <f ca="1" t="shared" si="21"/>
        <v>0.0923374573664818</v>
      </c>
      <c r="BC40" s="236">
        <f ca="1" t="shared" si="22"/>
        <v>0.129748370268776</v>
      </c>
      <c r="BD40" s="236">
        <f ca="1" t="shared" si="23"/>
        <v>0.133176596428683</v>
      </c>
    </row>
    <row r="41" s="234" customFormat="1" ht="0.2" customHeight="1" spans="7:56">
      <c r="G41" s="236"/>
      <c r="H41" s="236">
        <f t="shared" si="24"/>
        <v>400</v>
      </c>
      <c r="I41" s="236">
        <f>IF($H41&gt;$H40,INDEX(Spectra!41:41,1,MATCH($I$20,Spectra!$20:$20,0)),I40)</f>
        <v>0.0629360238083775</v>
      </c>
      <c r="J41" s="236">
        <f>((Physics!$C$9*Physics!$C$10)/(Physics!$C$11*Physics!$C$12*$H41))^($J$17-$J$18)</f>
        <v>2.01421044807265e+18</v>
      </c>
      <c r="K41" s="236">
        <f t="shared" si="25"/>
        <v>1</v>
      </c>
      <c r="L41" s="236">
        <f ca="1">INDEX(Photobiology!$21:$421,1+$H41-380,10)</f>
        <v>0.000396</v>
      </c>
      <c r="M41" s="236">
        <f ca="1" t="shared" si="26"/>
        <v>0.0629360238083775</v>
      </c>
      <c r="N41" s="236">
        <f ca="1">INDEX(Photobiology!$21:$421,1+$H41-380,N$14)</f>
        <v>0.0727706074174964</v>
      </c>
      <c r="O41" s="236">
        <f ca="1">INDEX(Photobiology!$21:$421,1+$H41-380,O$14)</f>
        <v>0.00814034853641646</v>
      </c>
      <c r="P41" s="236">
        <f ca="1">INDEX(Photobiology!$21:$421,1+$H41-380,P$14)</f>
        <v>0.00771358021155828</v>
      </c>
      <c r="Q41" s="236">
        <f ca="1">INDEX(Photobiology!$21:$421,1+$H41-380,Q$14)</f>
        <v>0.0110136684865981</v>
      </c>
      <c r="R41" s="236">
        <f ca="1">INDEX(Photobiology!$21:$421,1+$H41-380,R$14)</f>
        <v>0.0114277044532327</v>
      </c>
      <c r="S41" s="236">
        <f ca="1" t="shared" si="27"/>
        <v>1.26766396714983e+17</v>
      </c>
      <c r="T41" s="236">
        <f ca="1">INDEX(Photobiology!$21:$421,1+$H41-380,T$14)</f>
        <v>0.080047668159246</v>
      </c>
      <c r="U41" s="236">
        <f ca="1">INDEX(Photobiology!$21:$421,1+$H41-380,U$14)</f>
        <v>0.0110511703580326</v>
      </c>
      <c r="V41" s="236">
        <f ca="1">INDEX(Photobiology!$21:$421,1+$H41-380,V$14)</f>
        <v>0.0109778948732367</v>
      </c>
      <c r="W41" s="236">
        <f ca="1">INDEX(Photobiology!$21:$421,1+$H41-380,W$14)</f>
        <v>0.0140351067745845</v>
      </c>
      <c r="X41" s="236">
        <f ca="1">INDEX(Photobiology!$21:$421,1+$H41-380,X$14)</f>
        <v>0.0139640041717152</v>
      </c>
      <c r="Y41" s="236">
        <f ca="1" t="shared" si="14"/>
        <v>0.0629360238083775</v>
      </c>
      <c r="Z41" s="236">
        <f ca="1" t="shared" si="28"/>
        <v>0.00457989268097765</v>
      </c>
      <c r="AA41" s="236">
        <f ca="1" t="shared" si="15"/>
        <v>0.000512321169296397</v>
      </c>
      <c r="AB41" s="236">
        <f ca="1" t="shared" si="16"/>
        <v>0.000485462067842461</v>
      </c>
      <c r="AC41" s="236">
        <f ca="1" t="shared" si="17"/>
        <v>0.000693156502090115</v>
      </c>
      <c r="AD41" s="236">
        <f ca="1" t="shared" si="18"/>
        <v>0.000719214279543755</v>
      </c>
      <c r="AE41" s="236"/>
      <c r="AF41" s="236"/>
      <c r="AG41" s="236"/>
      <c r="AH41" s="236">
        <f t="shared" si="29"/>
        <v>400</v>
      </c>
      <c r="AI41" s="236">
        <f>IF($AH41&gt;$AH40,INDEX(Spectra!41:41,1,MATCH($AI$20,Spectra!$20:$20,0)),AI40)</f>
        <v>1</v>
      </c>
      <c r="AJ41" s="236">
        <f>((Physics!$C$9*Physics!$C$10)/(Physics!$C$11*Physics!$C$12*$AH41))^($AJ$17-$AJ$18)</f>
        <v>2.01421044807265e+18</v>
      </c>
      <c r="AK41" s="236">
        <f t="shared" si="30"/>
        <v>1</v>
      </c>
      <c r="AL41" s="236">
        <f ca="1">INDEX(Photobiology!$21:$421,1+$AH41-380,10)</f>
        <v>0.000396</v>
      </c>
      <c r="AM41" s="236">
        <f ca="1" t="shared" si="31"/>
        <v>13.3319879209511</v>
      </c>
      <c r="AN41" s="236">
        <f ca="1">INDEX(Photobiology!$21:$421,1+$AH41-380,AN$14)</f>
        <v>0.0727706074174964</v>
      </c>
      <c r="AO41" s="236">
        <f ca="1">INDEX(Photobiology!$21:$421,1+$AH41-380,AO$14)</f>
        <v>0.00814034853641646</v>
      </c>
      <c r="AP41" s="236">
        <f ca="1">INDEX(Photobiology!$21:$421,1+$AH41-380,AP$14)</f>
        <v>0.00771358021155828</v>
      </c>
      <c r="AQ41" s="236">
        <f ca="1">INDEX(Photobiology!$21:$421,1+$AH41-380,AQ$14)</f>
        <v>0.0110136684865981</v>
      </c>
      <c r="AR41" s="236">
        <f ca="1">INDEX(Photobiology!$21:$421,1+$AH41-380,AR$14)</f>
        <v>0.0114277044532327</v>
      </c>
      <c r="AS41" s="236">
        <f ca="1" t="shared" si="32"/>
        <v>2.68534293639581e+19</v>
      </c>
      <c r="AT41" s="236">
        <f ca="1">INDEX(Photobiology!$21:$421,1+$AH41-380,AT$14)</f>
        <v>0.080047668159246</v>
      </c>
      <c r="AU41" s="236">
        <f ca="1">INDEX(Photobiology!$21:$421,1+$AH41-380,AU$14)</f>
        <v>0.0110511703580326</v>
      </c>
      <c r="AV41" s="236">
        <f ca="1">INDEX(Photobiology!$21:$421,1+$AH41-380,AV$14)</f>
        <v>0.0109778948732367</v>
      </c>
      <c r="AW41" s="236">
        <f ca="1">INDEX(Photobiology!$21:$421,1+$AH41-380,AW$14)</f>
        <v>0.0140351067745845</v>
      </c>
      <c r="AX41" s="236">
        <f ca="1">INDEX(Photobiology!$21:$421,1+$AH41-380,AX$14)</f>
        <v>0.0139640041717152</v>
      </c>
      <c r="AY41" s="236">
        <f ca="1" t="shared" si="19"/>
        <v>13.3319879209511</v>
      </c>
      <c r="AZ41" s="236">
        <f ca="1" t="shared" si="33"/>
        <v>0.970176859090339</v>
      </c>
      <c r="BA41" s="236">
        <f ca="1" t="shared" si="20"/>
        <v>0.108527028359837</v>
      </c>
      <c r="BB41" s="236">
        <f ca="1" t="shared" si="21"/>
        <v>0.102837358207783</v>
      </c>
      <c r="BC41" s="236">
        <f ca="1" t="shared" si="22"/>
        <v>0.146834095228686</v>
      </c>
      <c r="BD41" s="236">
        <f ca="1" t="shared" si="23"/>
        <v>0.152354017734698</v>
      </c>
    </row>
    <row r="42" s="234" customFormat="1" ht="0.2" customHeight="1" spans="7:56">
      <c r="G42" s="236"/>
      <c r="H42" s="236">
        <f t="shared" si="24"/>
        <v>401</v>
      </c>
      <c r="I42" s="236">
        <f>IF($H42&gt;$H41,INDEX(Spectra!42:42,1,MATCH($I$20,Spectra!$20:$20,0)),I41)</f>
        <v>0.0837300502875307</v>
      </c>
      <c r="J42" s="236">
        <f>((Physics!$C$9*Physics!$C$10)/(Physics!$C$11*Physics!$C$12*$H42))^($J$17-$J$18)</f>
        <v>2.01924597419283e+18</v>
      </c>
      <c r="K42" s="236">
        <f t="shared" si="25"/>
        <v>1</v>
      </c>
      <c r="L42" s="236">
        <f ca="1">INDEX(Photobiology!$21:$421,1+$H42-380,10)</f>
        <v>0.0004337147</v>
      </c>
      <c r="M42" s="236">
        <f ca="1" t="shared" si="26"/>
        <v>0.0837300502875307</v>
      </c>
      <c r="N42" s="236">
        <f ca="1">INDEX(Photobiology!$21:$421,1+$H42-380,N$14)</f>
        <v>0.0826909535459028</v>
      </c>
      <c r="O42" s="236">
        <f ca="1">INDEX(Photobiology!$21:$421,1+$H42-380,O$14)</f>
        <v>0.00909358226514462</v>
      </c>
      <c r="P42" s="236">
        <f ca="1">INDEX(Photobiology!$21:$421,1+$H42-380,P$14)</f>
        <v>0.00860312038295017</v>
      </c>
      <c r="Q42" s="236">
        <f ca="1">INDEX(Photobiology!$21:$421,1+$H42-380,Q$14)</f>
        <v>0.0124950212771051</v>
      </c>
      <c r="R42" s="236">
        <f ca="1">INDEX(Photobiology!$21:$421,1+$H42-380,R$14)</f>
        <v>0.0131042448744028</v>
      </c>
      <c r="S42" s="236">
        <f ca="1" t="shared" si="27"/>
        <v>1.6907156696206e+17</v>
      </c>
      <c r="T42" s="236">
        <f ca="1">INDEX(Photobiology!$21:$421,1+$H42-380,T$14)</f>
        <v>0.090733215860841</v>
      </c>
      <c r="U42" s="236">
        <f ca="1">INDEX(Photobiology!$21:$421,1+$H42-380,U$14)</f>
        <v>0.0123144747472707</v>
      </c>
      <c r="V42" s="236">
        <f ca="1">INDEX(Photobiology!$21:$421,1+$H42-380,V$14)</f>
        <v>0.0122133467194302</v>
      </c>
      <c r="W42" s="236">
        <f ca="1">INDEX(Photobiology!$21:$421,1+$H42-380,W$14)</f>
        <v>0.0158831391117303</v>
      </c>
      <c r="X42" s="236">
        <f ca="1">INDEX(Photobiology!$21:$421,1+$H42-380,X$14)</f>
        <v>0.0159727093342644</v>
      </c>
      <c r="Y42" s="236">
        <f ca="1" t="shared" si="14"/>
        <v>0.0837300502875307</v>
      </c>
      <c r="Z42" s="236">
        <f ca="1" t="shared" si="28"/>
        <v>0.00692371769872231</v>
      </c>
      <c r="AA42" s="236">
        <f ca="1" t="shared" si="15"/>
        <v>0.000761406100354356</v>
      </c>
      <c r="AB42" s="236">
        <f ca="1" t="shared" si="16"/>
        <v>0.000720339702294098</v>
      </c>
      <c r="AC42" s="236">
        <f ca="1" t="shared" si="17"/>
        <v>0.00104620875987578</v>
      </c>
      <c r="AD42" s="236">
        <f ca="1" t="shared" si="18"/>
        <v>0.00109721908231386</v>
      </c>
      <c r="AE42" s="236"/>
      <c r="AF42" s="236"/>
      <c r="AG42" s="236"/>
      <c r="AH42" s="236">
        <f t="shared" si="29"/>
        <v>401</v>
      </c>
      <c r="AI42" s="236">
        <f>IF($AH42&gt;$AH41,INDEX(Spectra!42:42,1,MATCH($AI$20,Spectra!$20:$20,0)),AI41)</f>
        <v>1</v>
      </c>
      <c r="AJ42" s="236">
        <f>((Physics!$C$9*Physics!$C$10)/(Physics!$C$11*Physics!$C$12*$AH42))^($AJ$17-$AJ$18)</f>
        <v>2.01924597419283e+18</v>
      </c>
      <c r="AK42" s="236">
        <f t="shared" si="30"/>
        <v>1</v>
      </c>
      <c r="AL42" s="236">
        <f ca="1">INDEX(Photobiology!$21:$421,1+$AH42-380,10)</f>
        <v>0.0004337147</v>
      </c>
      <c r="AM42" s="236">
        <f ca="1" t="shared" si="31"/>
        <v>13.3319879209511</v>
      </c>
      <c r="AN42" s="236">
        <f ca="1">INDEX(Photobiology!$21:$421,1+$AH42-380,AN$14)</f>
        <v>0.0826909535459028</v>
      </c>
      <c r="AO42" s="236">
        <f ca="1">INDEX(Photobiology!$21:$421,1+$AH42-380,AO$14)</f>
        <v>0.00909358226514462</v>
      </c>
      <c r="AP42" s="236">
        <f ca="1">INDEX(Photobiology!$21:$421,1+$AH42-380,AP$14)</f>
        <v>0.00860312038295017</v>
      </c>
      <c r="AQ42" s="236">
        <f ca="1">INDEX(Photobiology!$21:$421,1+$AH42-380,AQ$14)</f>
        <v>0.0124950212771051</v>
      </c>
      <c r="AR42" s="236">
        <f ca="1">INDEX(Photobiology!$21:$421,1+$AH42-380,AR$14)</f>
        <v>0.0131042448744028</v>
      </c>
      <c r="AS42" s="236">
        <f ca="1" t="shared" si="32"/>
        <v>2.6920562937368e+19</v>
      </c>
      <c r="AT42" s="236">
        <f ca="1">INDEX(Photobiology!$21:$421,1+$AH42-380,AT$14)</f>
        <v>0.090733215860841</v>
      </c>
      <c r="AU42" s="236">
        <f ca="1">INDEX(Photobiology!$21:$421,1+$AH42-380,AU$14)</f>
        <v>0.0123144747472707</v>
      </c>
      <c r="AV42" s="236">
        <f ca="1">INDEX(Photobiology!$21:$421,1+$AH42-380,AV$14)</f>
        <v>0.0122133467194302</v>
      </c>
      <c r="AW42" s="236">
        <f ca="1">INDEX(Photobiology!$21:$421,1+$AH42-380,AW$14)</f>
        <v>0.0158831391117303</v>
      </c>
      <c r="AX42" s="236">
        <f ca="1">INDEX(Photobiology!$21:$421,1+$AH42-380,AX$14)</f>
        <v>0.0159727093342644</v>
      </c>
      <c r="AY42" s="236">
        <f ca="1" t="shared" si="19"/>
        <v>13.3319879209511</v>
      </c>
      <c r="AZ42" s="236">
        <f ca="1" t="shared" si="33"/>
        <v>1.10243479384591</v>
      </c>
      <c r="BA42" s="236">
        <f ca="1" t="shared" si="20"/>
        <v>0.121235528917084</v>
      </c>
      <c r="BB42" s="236">
        <f ca="1" t="shared" si="21"/>
        <v>0.11469669702798</v>
      </c>
      <c r="BC42" s="236">
        <f ca="1" t="shared" si="22"/>
        <v>0.166583472738393</v>
      </c>
      <c r="BD42" s="236">
        <f ca="1" t="shared" si="23"/>
        <v>0.174705634378724</v>
      </c>
    </row>
    <row r="43" s="234" customFormat="1" ht="0.2" customHeight="1" spans="7:56">
      <c r="G43" s="236"/>
      <c r="H43" s="236">
        <f t="shared" si="24"/>
        <v>402</v>
      </c>
      <c r="I43" s="236">
        <f>IF($H43&gt;$H42,INDEX(Spectra!43:43,1,MATCH($I$20,Spectra!$20:$20,0)),I42)</f>
        <v>0.113050808144931</v>
      </c>
      <c r="J43" s="236">
        <f>((Physics!$C$9*Physics!$C$10)/(Physics!$C$11*Physics!$C$12*$H43))^($J$17-$J$18)</f>
        <v>2.02428150031301e+18</v>
      </c>
      <c r="K43" s="236">
        <f t="shared" si="25"/>
        <v>1</v>
      </c>
      <c r="L43" s="236">
        <f ca="1">INDEX(Photobiology!$21:$421,1+$H43-380,10)</f>
        <v>0.000473024</v>
      </c>
      <c r="M43" s="236">
        <f ca="1" t="shared" si="26"/>
        <v>0.113050808144931</v>
      </c>
      <c r="N43" s="236">
        <f ca="1">INDEX(Photobiology!$21:$421,1+$H43-380,N$14)</f>
        <v>0.0939227932609533</v>
      </c>
      <c r="O43" s="236">
        <f ca="1">INDEX(Photobiology!$21:$421,1+$H43-380,O$14)</f>
        <v>0.010161106423018</v>
      </c>
      <c r="P43" s="236">
        <f ca="1">INDEX(Photobiology!$21:$421,1+$H43-380,P$14)</f>
        <v>0.00959376331706157</v>
      </c>
      <c r="Q43" s="236">
        <f ca="1">INDEX(Photobiology!$21:$421,1+$H43-380,Q$14)</f>
        <v>0.0141879941261042</v>
      </c>
      <c r="R43" s="236">
        <f ca="1">INDEX(Photobiology!$21:$421,1+$H43-380,R$14)</f>
        <v>0.0150375124530034</v>
      </c>
      <c r="S43" s="236">
        <f ca="1" t="shared" si="27"/>
        <v>2.28846659523219e+17</v>
      </c>
      <c r="T43" s="236">
        <f ca="1">INDEX(Photobiology!$21:$421,1+$H43-380,T$14)</f>
        <v>0.102801067250795</v>
      </c>
      <c r="U43" s="236">
        <f ca="1">INDEX(Photobiology!$21:$421,1+$H43-380,U$14)</f>
        <v>0.0137258804525089</v>
      </c>
      <c r="V43" s="236">
        <f ca="1">INDEX(Photobiology!$21:$421,1+$H43-380,V$14)</f>
        <v>0.0135858246776809</v>
      </c>
      <c r="W43" s="236">
        <f ca="1">INDEX(Photobiology!$21:$421,1+$H43-380,W$14)</f>
        <v>0.0179903105072272</v>
      </c>
      <c r="X43" s="236">
        <f ca="1">INDEX(Photobiology!$21:$421,1+$H43-380,X$14)</f>
        <v>0.0182835661814382</v>
      </c>
      <c r="Y43" s="236">
        <f ca="1" t="shared" si="14"/>
        <v>0.113050808144931</v>
      </c>
      <c r="Z43" s="236">
        <f ca="1" t="shared" si="28"/>
        <v>0.01061804768138</v>
      </c>
      <c r="AA43" s="236">
        <f ca="1" t="shared" si="15"/>
        <v>0.00114872129276883</v>
      </c>
      <c r="AB43" s="236">
        <f ca="1" t="shared" si="16"/>
        <v>0.001084582696145</v>
      </c>
      <c r="AC43" s="236">
        <f ca="1" t="shared" si="17"/>
        <v>0.00160396420191161</v>
      </c>
      <c r="AD43" s="236">
        <f ca="1" t="shared" si="18"/>
        <v>0.0017000029353015</v>
      </c>
      <c r="AE43" s="236"/>
      <c r="AF43" s="236"/>
      <c r="AG43" s="236"/>
      <c r="AH43" s="236">
        <f t="shared" si="29"/>
        <v>402</v>
      </c>
      <c r="AI43" s="236">
        <f>IF($AH43&gt;$AH42,INDEX(Spectra!43:43,1,MATCH($AI$20,Spectra!$20:$20,0)),AI42)</f>
        <v>1</v>
      </c>
      <c r="AJ43" s="236">
        <f>((Physics!$C$9*Physics!$C$10)/(Physics!$C$11*Physics!$C$12*$AH43))^($AJ$17-$AJ$18)</f>
        <v>2.02428150031301e+18</v>
      </c>
      <c r="AK43" s="236">
        <f t="shared" si="30"/>
        <v>1</v>
      </c>
      <c r="AL43" s="236">
        <f ca="1">INDEX(Photobiology!$21:$421,1+$AH43-380,10)</f>
        <v>0.000473024</v>
      </c>
      <c r="AM43" s="236">
        <f ca="1" t="shared" si="31"/>
        <v>13.3319879209511</v>
      </c>
      <c r="AN43" s="236">
        <f ca="1">INDEX(Photobiology!$21:$421,1+$AH43-380,AN$14)</f>
        <v>0.0939227932609533</v>
      </c>
      <c r="AO43" s="236">
        <f ca="1">INDEX(Photobiology!$21:$421,1+$AH43-380,AO$14)</f>
        <v>0.010161106423018</v>
      </c>
      <c r="AP43" s="236">
        <f ca="1">INDEX(Photobiology!$21:$421,1+$AH43-380,AP$14)</f>
        <v>0.00959376331706157</v>
      </c>
      <c r="AQ43" s="236">
        <f ca="1">INDEX(Photobiology!$21:$421,1+$AH43-380,AQ$14)</f>
        <v>0.0141879941261042</v>
      </c>
      <c r="AR43" s="236">
        <f ca="1">INDEX(Photobiology!$21:$421,1+$AH43-380,AR$14)</f>
        <v>0.0150375124530034</v>
      </c>
      <c r="AS43" s="236">
        <f ca="1" t="shared" si="32"/>
        <v>2.69876965107779e+19</v>
      </c>
      <c r="AT43" s="236">
        <f ca="1">INDEX(Photobiology!$21:$421,1+$AH43-380,AT$14)</f>
        <v>0.102801067250795</v>
      </c>
      <c r="AU43" s="236">
        <f ca="1">INDEX(Photobiology!$21:$421,1+$AH43-380,AU$14)</f>
        <v>0.0137258804525089</v>
      </c>
      <c r="AV43" s="236">
        <f ca="1">INDEX(Photobiology!$21:$421,1+$AH43-380,AV$14)</f>
        <v>0.0135858246776809</v>
      </c>
      <c r="AW43" s="236">
        <f ca="1">INDEX(Photobiology!$21:$421,1+$AH43-380,AW$14)</f>
        <v>0.0179903105072272</v>
      </c>
      <c r="AX43" s="236">
        <f ca="1">INDEX(Photobiology!$21:$421,1+$AH43-380,AX$14)</f>
        <v>0.0182835661814382</v>
      </c>
      <c r="AY43" s="236">
        <f ca="1" t="shared" si="19"/>
        <v>13.3319879209511</v>
      </c>
      <c r="AZ43" s="236">
        <f ca="1" t="shared" si="33"/>
        <v>1.25217754525702</v>
      </c>
      <c r="BA43" s="236">
        <f ca="1" t="shared" si="20"/>
        <v>0.135467748095175</v>
      </c>
      <c r="BB43" s="236">
        <f ca="1" t="shared" si="21"/>
        <v>0.127903936659529</v>
      </c>
      <c r="BC43" s="236">
        <f ca="1" t="shared" si="22"/>
        <v>0.189154166311747</v>
      </c>
      <c r="BD43" s="236">
        <f ca="1" t="shared" si="23"/>
        <v>0.200479934384594</v>
      </c>
    </row>
    <row r="44" s="234" customFormat="1" ht="0.2" customHeight="1" spans="7:56">
      <c r="G44" s="236"/>
      <c r="H44" s="236">
        <f t="shared" si="24"/>
        <v>403</v>
      </c>
      <c r="I44" s="236">
        <f>IF($H44&gt;$H43,INDEX(Spectra!44:44,1,MATCH($I$20,Spectra!$20:$20,0)),I43)</f>
        <v>0.139859970455199</v>
      </c>
      <c r="J44" s="236">
        <f>((Physics!$C$9*Physics!$C$10)/(Physics!$C$11*Physics!$C$12*$H44))^($J$17-$J$18)</f>
        <v>2.02931702643319e+18</v>
      </c>
      <c r="K44" s="236">
        <f t="shared" si="25"/>
        <v>1</v>
      </c>
      <c r="L44" s="236">
        <f ca="1">INDEX(Photobiology!$21:$421,1+$H44-380,10)</f>
        <v>0.000517876</v>
      </c>
      <c r="M44" s="236">
        <f ca="1" t="shared" si="26"/>
        <v>0.139859970455199</v>
      </c>
      <c r="N44" s="236">
        <f ca="1">INDEX(Photobiology!$21:$421,1+$H44-380,N$14)</f>
        <v>0.106633336926835</v>
      </c>
      <c r="O44" s="236">
        <f ca="1">INDEX(Photobiology!$21:$421,1+$H44-380,O$14)</f>
        <v>0.0113574020499152</v>
      </c>
      <c r="P44" s="236">
        <f ca="1">INDEX(Photobiology!$21:$421,1+$H44-380,P$14)</f>
        <v>0.0106969754726217</v>
      </c>
      <c r="Q44" s="236">
        <f ca="1">INDEX(Photobiology!$21:$421,1+$H44-380,Q$14)</f>
        <v>0.0161243048338514</v>
      </c>
      <c r="R44" s="236">
        <f ca="1">INDEX(Photobiology!$21:$421,1+$H44-380,R$14)</f>
        <v>0.0172676008044059</v>
      </c>
      <c r="S44" s="236">
        <f ca="1" t="shared" si="27"/>
        <v>2.83820219361178e+17</v>
      </c>
      <c r="T44" s="236">
        <f ca="1">INDEX(Photobiology!$21:$421,1+$H44-380,T$14)</f>
        <v>0.116423494411433</v>
      </c>
      <c r="U44" s="236">
        <f ca="1">INDEX(Photobiology!$21:$421,1+$H44-380,U$14)</f>
        <v>0.0153037977994228</v>
      </c>
      <c r="V44" s="236">
        <f ca="1">INDEX(Photobiology!$21:$421,1+$H44-380,V$14)</f>
        <v>0.0151105061777392</v>
      </c>
      <c r="W44" s="236">
        <f ca="1">INDEX(Photobiology!$21:$421,1+$H44-380,W$14)</f>
        <v>0.020394810112695</v>
      </c>
      <c r="X44" s="236">
        <f ca="1">INDEX(Photobiology!$21:$421,1+$H44-380,X$14)</f>
        <v>0.0209429528546764</v>
      </c>
      <c r="Y44" s="236">
        <f ca="1" t="shared" si="14"/>
        <v>0.139859970455199</v>
      </c>
      <c r="Z44" s="236">
        <f ca="1" t="shared" si="28"/>
        <v>0.0149137353521264</v>
      </c>
      <c r="AA44" s="236">
        <f ca="1" t="shared" si="15"/>
        <v>0.00158844591514896</v>
      </c>
      <c r="AB44" s="236">
        <f ca="1" t="shared" si="16"/>
        <v>0.00149607867356086</v>
      </c>
      <c r="AC44" s="236">
        <f ca="1" t="shared" si="17"/>
        <v>0.00225514479767308</v>
      </c>
      <c r="AD44" s="236">
        <f ca="1" t="shared" si="18"/>
        <v>0.00241504613833638</v>
      </c>
      <c r="AE44" s="236"/>
      <c r="AF44" s="236"/>
      <c r="AG44" s="236"/>
      <c r="AH44" s="236">
        <f t="shared" si="29"/>
        <v>403</v>
      </c>
      <c r="AI44" s="236">
        <f>IF($AH44&gt;$AH43,INDEX(Spectra!44:44,1,MATCH($AI$20,Spectra!$20:$20,0)),AI43)</f>
        <v>1</v>
      </c>
      <c r="AJ44" s="236">
        <f>((Physics!$C$9*Physics!$C$10)/(Physics!$C$11*Physics!$C$12*$AH44))^($AJ$17-$AJ$18)</f>
        <v>2.02931702643319e+18</v>
      </c>
      <c r="AK44" s="236">
        <f t="shared" si="30"/>
        <v>1</v>
      </c>
      <c r="AL44" s="236">
        <f ca="1">INDEX(Photobiology!$21:$421,1+$AH44-380,10)</f>
        <v>0.000517876</v>
      </c>
      <c r="AM44" s="236">
        <f ca="1" t="shared" si="31"/>
        <v>13.3319879209511</v>
      </c>
      <c r="AN44" s="236">
        <f ca="1">INDEX(Photobiology!$21:$421,1+$AH44-380,AN$14)</f>
        <v>0.106633336926835</v>
      </c>
      <c r="AO44" s="236">
        <f ca="1">INDEX(Photobiology!$21:$421,1+$AH44-380,AO$14)</f>
        <v>0.0113574020499152</v>
      </c>
      <c r="AP44" s="236">
        <f ca="1">INDEX(Photobiology!$21:$421,1+$AH44-380,AP$14)</f>
        <v>0.0106969754726217</v>
      </c>
      <c r="AQ44" s="236">
        <f ca="1">INDEX(Photobiology!$21:$421,1+$AH44-380,AQ$14)</f>
        <v>0.0161243048338514</v>
      </c>
      <c r="AR44" s="236">
        <f ca="1">INDEX(Photobiology!$21:$421,1+$AH44-380,AR$14)</f>
        <v>0.0172676008044059</v>
      </c>
      <c r="AS44" s="236">
        <f ca="1" t="shared" si="32"/>
        <v>2.70548300841878e+19</v>
      </c>
      <c r="AT44" s="236">
        <f ca="1">INDEX(Photobiology!$21:$421,1+$AH44-380,AT$14)</f>
        <v>0.116423494411433</v>
      </c>
      <c r="AU44" s="236">
        <f ca="1">INDEX(Photobiology!$21:$421,1+$AH44-380,AU$14)</f>
        <v>0.0153037977994228</v>
      </c>
      <c r="AV44" s="236">
        <f ca="1">INDEX(Photobiology!$21:$421,1+$AH44-380,AV$14)</f>
        <v>0.0151105061777392</v>
      </c>
      <c r="AW44" s="236">
        <f ca="1">INDEX(Photobiology!$21:$421,1+$AH44-380,AW$14)</f>
        <v>0.020394810112695</v>
      </c>
      <c r="AX44" s="236">
        <f ca="1">INDEX(Photobiology!$21:$421,1+$AH44-380,AX$14)</f>
        <v>0.0209429528546764</v>
      </c>
      <c r="AY44" s="236">
        <f ca="1" t="shared" si="19"/>
        <v>13.3319879209511</v>
      </c>
      <c r="AZ44" s="236">
        <f ca="1" t="shared" si="33"/>
        <v>1.42163435987928</v>
      </c>
      <c r="BA44" s="236">
        <f ca="1" t="shared" si="20"/>
        <v>0.151416746942855</v>
      </c>
      <c r="BB44" s="236">
        <f ca="1" t="shared" si="21"/>
        <v>0.142611947791703</v>
      </c>
      <c r="BC44" s="236">
        <f ca="1" t="shared" si="22"/>
        <v>0.214969037278641</v>
      </c>
      <c r="BD44" s="236">
        <f ca="1" t="shared" si="23"/>
        <v>0.230211445348146</v>
      </c>
    </row>
    <row r="45" s="234" customFormat="1" ht="0.2" customHeight="1" spans="7:56">
      <c r="G45" s="236"/>
      <c r="H45" s="236">
        <f t="shared" si="24"/>
        <v>404</v>
      </c>
      <c r="I45" s="236">
        <f>IF($H45&gt;$H44,INDEX(Spectra!45:45,1,MATCH($I$20,Spectra!$20:$20,0)),I44)</f>
        <v>0.197109142242554</v>
      </c>
      <c r="J45" s="236">
        <f>((Physics!$C$9*Physics!$C$10)/(Physics!$C$11*Physics!$C$12*$H45))^($J$17-$J$18)</f>
        <v>2.03435255255338e+18</v>
      </c>
      <c r="K45" s="236">
        <f t="shared" si="25"/>
        <v>1</v>
      </c>
      <c r="L45" s="236">
        <f ca="1">INDEX(Photobiology!$21:$421,1+$H45-380,10)</f>
        <v>0.0005722187</v>
      </c>
      <c r="M45" s="236">
        <f ca="1" t="shared" si="26"/>
        <v>0.197109142242554</v>
      </c>
      <c r="N45" s="236">
        <f ca="1">INDEX(Photobiology!$21:$421,1+$H45-380,N$14)</f>
        <v>0.12101048456557</v>
      </c>
      <c r="O45" s="236">
        <f ca="1">INDEX(Photobiology!$21:$421,1+$H45-380,O$14)</f>
        <v>0.0126988969803743</v>
      </c>
      <c r="P45" s="236">
        <f ca="1">INDEX(Photobiology!$21:$421,1+$H45-380,P$14)</f>
        <v>0.0119255934520382</v>
      </c>
      <c r="Q45" s="236">
        <f ca="1">INDEX(Photobiology!$21:$421,1+$H45-380,Q$14)</f>
        <v>0.0183406616904664</v>
      </c>
      <c r="R45" s="236">
        <f ca="1">INDEX(Photobiology!$21:$421,1+$H45-380,R$14)</f>
        <v>0.0198409745481462</v>
      </c>
      <c r="S45" s="236">
        <f ca="1" t="shared" si="27"/>
        <v>4.00989486652747e+17</v>
      </c>
      <c r="T45" s="236">
        <f ca="1">INDEX(Photobiology!$21:$421,1+$H45-380,T$14)</f>
        <v>0.131793597051611</v>
      </c>
      <c r="U45" s="236">
        <f ca="1">INDEX(Photobiology!$21:$421,1+$H45-380,U$14)</f>
        <v>0.0170690715941623</v>
      </c>
      <c r="V45" s="236">
        <f ca="1">INDEX(Photobiology!$21:$421,1+$H45-380,V$14)</f>
        <v>0.0168043490466929</v>
      </c>
      <c r="W45" s="236">
        <f ca="1">INDEX(Photobiology!$21:$421,1+$H45-380,W$14)</f>
        <v>0.0231407455609319</v>
      </c>
      <c r="X45" s="236">
        <f ca="1">INDEX(Photobiology!$21:$421,1+$H45-380,X$14)</f>
        <v>0.0240044962309859</v>
      </c>
      <c r="Y45" s="236">
        <f ca="1" t="shared" si="14"/>
        <v>0.197109142242554</v>
      </c>
      <c r="Z45" s="236">
        <f ca="1" t="shared" si="28"/>
        <v>0.0238522728150753</v>
      </c>
      <c r="AA45" s="236">
        <f ca="1" t="shared" si="15"/>
        <v>0.00250306869122814</v>
      </c>
      <c r="AB45" s="236">
        <f ca="1" t="shared" si="16"/>
        <v>0.00235064349606467</v>
      </c>
      <c r="AC45" s="236">
        <f ca="1" t="shared" si="17"/>
        <v>0.0036151120939687</v>
      </c>
      <c r="AD45" s="236">
        <f ca="1" t="shared" si="18"/>
        <v>0.00391083747444144</v>
      </c>
      <c r="AE45" s="236"/>
      <c r="AF45" s="236"/>
      <c r="AG45" s="236"/>
      <c r="AH45" s="236">
        <f t="shared" si="29"/>
        <v>404</v>
      </c>
      <c r="AI45" s="236">
        <f>IF($AH45&gt;$AH44,INDEX(Spectra!45:45,1,MATCH($AI$20,Spectra!$20:$20,0)),AI44)</f>
        <v>1</v>
      </c>
      <c r="AJ45" s="236">
        <f>((Physics!$C$9*Physics!$C$10)/(Physics!$C$11*Physics!$C$12*$AH45))^($AJ$17-$AJ$18)</f>
        <v>2.03435255255338e+18</v>
      </c>
      <c r="AK45" s="236">
        <f t="shared" si="30"/>
        <v>1</v>
      </c>
      <c r="AL45" s="236">
        <f ca="1">INDEX(Photobiology!$21:$421,1+$AH45-380,10)</f>
        <v>0.0005722187</v>
      </c>
      <c r="AM45" s="236">
        <f ca="1" t="shared" si="31"/>
        <v>13.3319879209511</v>
      </c>
      <c r="AN45" s="236">
        <f ca="1">INDEX(Photobiology!$21:$421,1+$AH45-380,AN$14)</f>
        <v>0.12101048456557</v>
      </c>
      <c r="AO45" s="236">
        <f ca="1">INDEX(Photobiology!$21:$421,1+$AH45-380,AO$14)</f>
        <v>0.0126988969803743</v>
      </c>
      <c r="AP45" s="236">
        <f ca="1">INDEX(Photobiology!$21:$421,1+$AH45-380,AP$14)</f>
        <v>0.0119255934520382</v>
      </c>
      <c r="AQ45" s="236">
        <f ca="1">INDEX(Photobiology!$21:$421,1+$AH45-380,AQ$14)</f>
        <v>0.0183406616904664</v>
      </c>
      <c r="AR45" s="236">
        <f ca="1">INDEX(Photobiology!$21:$421,1+$AH45-380,AR$14)</f>
        <v>0.0198409745481462</v>
      </c>
      <c r="AS45" s="236">
        <f ca="1" t="shared" si="32"/>
        <v>2.71219636575977e+19</v>
      </c>
      <c r="AT45" s="236">
        <f ca="1">INDEX(Photobiology!$21:$421,1+$AH45-380,AT$14)</f>
        <v>0.131793597051611</v>
      </c>
      <c r="AU45" s="236">
        <f ca="1">INDEX(Photobiology!$21:$421,1+$AH45-380,AU$14)</f>
        <v>0.0170690715941623</v>
      </c>
      <c r="AV45" s="236">
        <f ca="1">INDEX(Photobiology!$21:$421,1+$AH45-380,AV$14)</f>
        <v>0.0168043490466929</v>
      </c>
      <c r="AW45" s="236">
        <f ca="1">INDEX(Photobiology!$21:$421,1+$AH45-380,AW$14)</f>
        <v>0.0231407455609319</v>
      </c>
      <c r="AX45" s="236">
        <f ca="1">INDEX(Photobiology!$21:$421,1+$AH45-380,AX$14)</f>
        <v>0.0240044962309859</v>
      </c>
      <c r="AY45" s="236">
        <f ca="1" t="shared" si="19"/>
        <v>13.3319879209511</v>
      </c>
      <c r="AZ45" s="236">
        <f ca="1" t="shared" si="33"/>
        <v>1.61331031853662</v>
      </c>
      <c r="BA45" s="236">
        <f ca="1" t="shared" si="20"/>
        <v>0.169301541151753</v>
      </c>
      <c r="BB45" s="236">
        <f ca="1" t="shared" si="21"/>
        <v>0.158991867852747</v>
      </c>
      <c r="BC45" s="236">
        <f ca="1" t="shared" si="22"/>
        <v>0.244517480119549</v>
      </c>
      <c r="BD45" s="236">
        <f ca="1" t="shared" si="23"/>
        <v>0.264519633015784</v>
      </c>
    </row>
    <row r="46" s="234" customFormat="1" ht="0.2" customHeight="1" spans="7:56">
      <c r="G46" s="236"/>
      <c r="H46" s="236">
        <f t="shared" si="24"/>
        <v>405</v>
      </c>
      <c r="I46" s="236">
        <f>IF($H46&gt;$H45,INDEX(Spectra!46:46,1,MATCH($I$20,Spectra!$20:$20,0)),I45)</f>
        <v>0.249658696745467</v>
      </c>
      <c r="J46" s="236">
        <f>((Physics!$C$9*Physics!$C$10)/(Physics!$C$11*Physics!$C$12*$H46))^($J$17-$J$18)</f>
        <v>2.03938807867356e+18</v>
      </c>
      <c r="K46" s="236">
        <f t="shared" si="25"/>
        <v>1</v>
      </c>
      <c r="L46" s="236">
        <f ca="1">INDEX(Photobiology!$21:$421,1+$H46-380,10)</f>
        <v>0.00064</v>
      </c>
      <c r="M46" s="236">
        <f ca="1" t="shared" si="26"/>
        <v>0.249658696745467</v>
      </c>
      <c r="N46" s="236">
        <f ca="1">INDEX(Photobiology!$21:$421,1+$H46-380,N$14)</f>
        <v>0.137265374724352</v>
      </c>
      <c r="O46" s="236">
        <f ca="1">INDEX(Photobiology!$21:$421,1+$H46-380,O$14)</f>
        <v>0.0142042399447609</v>
      </c>
      <c r="P46" s="236">
        <f ca="1">INDEX(Photobiology!$21:$421,1+$H46-380,P$14)</f>
        <v>0.0132939487445998</v>
      </c>
      <c r="Q46" s="236">
        <f ca="1">INDEX(Photobiology!$21:$421,1+$H46-380,Q$14)</f>
        <v>0.0208792550772402</v>
      </c>
      <c r="R46" s="236">
        <f ca="1">INDEX(Photobiology!$21:$421,1+$H46-380,R$14)</f>
        <v>0.0228112455779001</v>
      </c>
      <c r="S46" s="236">
        <f ca="1" t="shared" si="27"/>
        <v>5.09150969879883e+17</v>
      </c>
      <c r="T46" s="236">
        <f ca="1">INDEX(Photobiology!$21:$421,1+$H46-380,T$14)</f>
        <v>0.149127814515345</v>
      </c>
      <c r="U46" s="236">
        <f ca="1">INDEX(Photobiology!$21:$421,1+$H46-380,U$14)</f>
        <v>0.0190453185881632</v>
      </c>
      <c r="V46" s="236">
        <f ca="1">INDEX(Photobiology!$21:$421,1+$H46-380,V$14)</f>
        <v>0.0186862448703367</v>
      </c>
      <c r="W46" s="236">
        <f ca="1">INDEX(Photobiology!$21:$421,1+$H46-380,W$14)</f>
        <v>0.0262786886290208</v>
      </c>
      <c r="X46" s="236">
        <f ca="1">INDEX(Photobiology!$21:$421,1+$H46-380,X$14)</f>
        <v>0.0275299192794996</v>
      </c>
      <c r="Y46" s="236">
        <f ca="1" t="shared" si="14"/>
        <v>0.249658696745467</v>
      </c>
      <c r="Z46" s="236">
        <f ca="1" t="shared" si="28"/>
        <v>0.0342694945619599</v>
      </c>
      <c r="AA46" s="236">
        <f ca="1" t="shared" si="15"/>
        <v>0.00354621203286891</v>
      </c>
      <c r="AB46" s="236">
        <f ca="1" t="shared" si="16"/>
        <v>0.00331894991817782</v>
      </c>
      <c r="AC46" s="236">
        <f ca="1" t="shared" si="17"/>
        <v>0.00521268761159996</v>
      </c>
      <c r="AD46" s="236">
        <f ca="1" t="shared" si="18"/>
        <v>0.00569502584211934</v>
      </c>
      <c r="AE46" s="236"/>
      <c r="AF46" s="236"/>
      <c r="AG46" s="236"/>
      <c r="AH46" s="236">
        <f t="shared" si="29"/>
        <v>405</v>
      </c>
      <c r="AI46" s="236">
        <f>IF($AH46&gt;$AH45,INDEX(Spectra!46:46,1,MATCH($AI$20,Spectra!$20:$20,0)),AI45)</f>
        <v>1</v>
      </c>
      <c r="AJ46" s="236">
        <f>((Physics!$C$9*Physics!$C$10)/(Physics!$C$11*Physics!$C$12*$AH46))^($AJ$17-$AJ$18)</f>
        <v>2.03938807867356e+18</v>
      </c>
      <c r="AK46" s="236">
        <f t="shared" si="30"/>
        <v>1</v>
      </c>
      <c r="AL46" s="236">
        <f ca="1">INDEX(Photobiology!$21:$421,1+$AH46-380,10)</f>
        <v>0.00064</v>
      </c>
      <c r="AM46" s="236">
        <f ca="1" t="shared" si="31"/>
        <v>13.3319879209511</v>
      </c>
      <c r="AN46" s="236">
        <f ca="1">INDEX(Photobiology!$21:$421,1+$AH46-380,AN$14)</f>
        <v>0.137265374724352</v>
      </c>
      <c r="AO46" s="236">
        <f ca="1">INDEX(Photobiology!$21:$421,1+$AH46-380,AO$14)</f>
        <v>0.0142042399447609</v>
      </c>
      <c r="AP46" s="236">
        <f ca="1">INDEX(Photobiology!$21:$421,1+$AH46-380,AP$14)</f>
        <v>0.0132939487445998</v>
      </c>
      <c r="AQ46" s="236">
        <f ca="1">INDEX(Photobiology!$21:$421,1+$AH46-380,AQ$14)</f>
        <v>0.0208792550772402</v>
      </c>
      <c r="AR46" s="236">
        <f ca="1">INDEX(Photobiology!$21:$421,1+$AH46-380,AR$14)</f>
        <v>0.0228112455779001</v>
      </c>
      <c r="AS46" s="236">
        <f ca="1" t="shared" si="32"/>
        <v>2.71890972310076e+19</v>
      </c>
      <c r="AT46" s="236">
        <f ca="1">INDEX(Photobiology!$21:$421,1+$AH46-380,AT$14)</f>
        <v>0.149127814515345</v>
      </c>
      <c r="AU46" s="236">
        <f ca="1">INDEX(Photobiology!$21:$421,1+$AH46-380,AU$14)</f>
        <v>0.0190453185881632</v>
      </c>
      <c r="AV46" s="236">
        <f ca="1">INDEX(Photobiology!$21:$421,1+$AH46-380,AV$14)</f>
        <v>0.0186862448703367</v>
      </c>
      <c r="AW46" s="236">
        <f ca="1">INDEX(Photobiology!$21:$421,1+$AH46-380,AW$14)</f>
        <v>0.0262786886290208</v>
      </c>
      <c r="AX46" s="236">
        <f ca="1">INDEX(Photobiology!$21:$421,1+$AH46-380,AX$14)</f>
        <v>0.0275299192794996</v>
      </c>
      <c r="AY46" s="236">
        <f ca="1" t="shared" si="19"/>
        <v>13.3319879209511</v>
      </c>
      <c r="AZ46" s="236">
        <f ca="1" t="shared" si="33"/>
        <v>1.83002031778989</v>
      </c>
      <c r="BA46" s="236">
        <f ca="1" t="shared" si="20"/>
        <v>0.189370755369844</v>
      </c>
      <c r="BB46" s="236">
        <f ca="1" t="shared" si="21"/>
        <v>0.177234764084748</v>
      </c>
      <c r="BC46" s="236">
        <f ca="1" t="shared" si="22"/>
        <v>0.278361976488224</v>
      </c>
      <c r="BD46" s="236">
        <f ca="1" t="shared" si="23"/>
        <v>0.304119250506414</v>
      </c>
    </row>
    <row r="47" s="234" customFormat="1" ht="0.2" customHeight="1" spans="7:56">
      <c r="G47" s="236"/>
      <c r="H47" s="236">
        <f t="shared" si="24"/>
        <v>406</v>
      </c>
      <c r="I47" s="236">
        <f>IF($H47&gt;$H46,INDEX(Spectra!47:47,1,MATCH($I$20,Spectra!$20:$20,0)),I46)</f>
        <v>0.327715769135015</v>
      </c>
      <c r="J47" s="236">
        <f>((Physics!$C$9*Physics!$C$10)/(Physics!$C$11*Physics!$C$12*$H47))^($J$17-$J$18)</f>
        <v>2.04442360479374e+18</v>
      </c>
      <c r="K47" s="236">
        <f t="shared" si="25"/>
        <v>1</v>
      </c>
      <c r="L47" s="236">
        <f ca="1">INDEX(Photobiology!$21:$421,1+$H47-380,10)</f>
        <v>0.00072456</v>
      </c>
      <c r="M47" s="236">
        <f ca="1" t="shared" si="26"/>
        <v>0.327715769135015</v>
      </c>
      <c r="N47" s="236">
        <f ca="1">INDEX(Photobiology!$21:$421,1+$H47-380,N$14)</f>
        <v>0.155633469792504</v>
      </c>
      <c r="O47" s="236">
        <f ca="1">INDEX(Photobiology!$21:$421,1+$H47-380,O$14)</f>
        <v>0.0158947243250994</v>
      </c>
      <c r="P47" s="236">
        <f ca="1">INDEX(Photobiology!$21:$421,1+$H47-380,P$14)</f>
        <v>0.0148180480936326</v>
      </c>
      <c r="Q47" s="236">
        <f ca="1">INDEX(Photobiology!$21:$421,1+$H47-380,Q$14)</f>
        <v>0.0237889350182122</v>
      </c>
      <c r="R47" s="236">
        <f ca="1">INDEX(Photobiology!$21:$421,1+$H47-380,R$14)</f>
        <v>0.0262403727505034</v>
      </c>
      <c r="S47" s="236">
        <f ca="1" t="shared" si="27"/>
        <v>6.6998985408276e+17</v>
      </c>
      <c r="T47" s="236">
        <f ca="1">INDEX(Photobiology!$21:$421,1+$H47-380,T$14)</f>
        <v>0.168666814553453</v>
      </c>
      <c r="U47" s="236">
        <f ca="1">INDEX(Photobiology!$21:$421,1+$H47-380,U$14)</f>
        <v>0.0212594601214159</v>
      </c>
      <c r="V47" s="236">
        <f ca="1">INDEX(Photobiology!$21:$421,1+$H47-380,V$14)</f>
        <v>0.0207772480817027</v>
      </c>
      <c r="W47" s="236">
        <f ca="1">INDEX(Photobiology!$21:$421,1+$H47-380,W$14)</f>
        <v>0.0298670740499208</v>
      </c>
      <c r="X47" s="236">
        <f ca="1">INDEX(Photobiology!$21:$421,1+$H47-380,X$14)</f>
        <v>0.0315903856432728</v>
      </c>
      <c r="Y47" s="236">
        <f ca="1" t="shared" si="14"/>
        <v>0.327715769135015</v>
      </c>
      <c r="Z47" s="236">
        <f ca="1" t="shared" si="28"/>
        <v>0.0510035422562016</v>
      </c>
      <c r="AA47" s="236">
        <f ca="1" t="shared" si="15"/>
        <v>0.00520895180738898</v>
      </c>
      <c r="AB47" s="236">
        <f ca="1" t="shared" si="16"/>
        <v>0.00485610802808445</v>
      </c>
      <c r="AC47" s="236">
        <f ca="1" t="shared" si="17"/>
        <v>0.0077960091363963</v>
      </c>
      <c r="AD47" s="236">
        <f ca="1" t="shared" si="18"/>
        <v>0.00859938393832071</v>
      </c>
      <c r="AE47" s="236"/>
      <c r="AF47" s="236"/>
      <c r="AG47" s="236"/>
      <c r="AH47" s="236">
        <f t="shared" si="29"/>
        <v>406</v>
      </c>
      <c r="AI47" s="236">
        <f>IF($AH47&gt;$AH46,INDEX(Spectra!47:47,1,MATCH($AI$20,Spectra!$20:$20,0)),AI46)</f>
        <v>1</v>
      </c>
      <c r="AJ47" s="236">
        <f>((Physics!$C$9*Physics!$C$10)/(Physics!$C$11*Physics!$C$12*$AH47))^($AJ$17-$AJ$18)</f>
        <v>2.04442360479374e+18</v>
      </c>
      <c r="AK47" s="236">
        <f t="shared" si="30"/>
        <v>1</v>
      </c>
      <c r="AL47" s="236">
        <f ca="1">INDEX(Photobiology!$21:$421,1+$AH47-380,10)</f>
        <v>0.00072456</v>
      </c>
      <c r="AM47" s="236">
        <f ca="1" t="shared" si="31"/>
        <v>13.3319879209511</v>
      </c>
      <c r="AN47" s="236">
        <f ca="1">INDEX(Photobiology!$21:$421,1+$AH47-380,AN$14)</f>
        <v>0.155633469792504</v>
      </c>
      <c r="AO47" s="236">
        <f ca="1">INDEX(Photobiology!$21:$421,1+$AH47-380,AO$14)</f>
        <v>0.0158947243250994</v>
      </c>
      <c r="AP47" s="236">
        <f ca="1">INDEX(Photobiology!$21:$421,1+$AH47-380,AP$14)</f>
        <v>0.0148180480936326</v>
      </c>
      <c r="AQ47" s="236">
        <f ca="1">INDEX(Photobiology!$21:$421,1+$AH47-380,AQ$14)</f>
        <v>0.0237889350182122</v>
      </c>
      <c r="AR47" s="236">
        <f ca="1">INDEX(Photobiology!$21:$421,1+$AH47-380,AR$14)</f>
        <v>0.0262403727505034</v>
      </c>
      <c r="AS47" s="236">
        <f ca="1" t="shared" si="32"/>
        <v>2.72562308044175e+19</v>
      </c>
      <c r="AT47" s="236">
        <f ca="1">INDEX(Photobiology!$21:$421,1+$AH47-380,AT$14)</f>
        <v>0.168666814553453</v>
      </c>
      <c r="AU47" s="236">
        <f ca="1">INDEX(Photobiology!$21:$421,1+$AH47-380,AU$14)</f>
        <v>0.0212594601214159</v>
      </c>
      <c r="AV47" s="236">
        <f ca="1">INDEX(Photobiology!$21:$421,1+$AH47-380,AV$14)</f>
        <v>0.0207772480817027</v>
      </c>
      <c r="AW47" s="236">
        <f ca="1">INDEX(Photobiology!$21:$421,1+$AH47-380,AW$14)</f>
        <v>0.0298670740499208</v>
      </c>
      <c r="AX47" s="236">
        <f ca="1">INDEX(Photobiology!$21:$421,1+$AH47-380,AX$14)</f>
        <v>0.0315903856432728</v>
      </c>
      <c r="AY47" s="236">
        <f ca="1" t="shared" si="19"/>
        <v>13.3319879209511</v>
      </c>
      <c r="AZ47" s="236">
        <f ca="1" t="shared" si="33"/>
        <v>2.07490353936938</v>
      </c>
      <c r="BA47" s="236">
        <f ca="1" t="shared" si="20"/>
        <v>0.211908272709074</v>
      </c>
      <c r="BB47" s="236">
        <f ca="1" t="shared" si="21"/>
        <v>0.197554038196383</v>
      </c>
      <c r="BC47" s="236">
        <f ca="1" t="shared" si="22"/>
        <v>0.317153794315097</v>
      </c>
      <c r="BD47" s="236">
        <f ca="1" t="shared" si="23"/>
        <v>0.349836332550967</v>
      </c>
    </row>
    <row r="48" s="234" customFormat="1" ht="0.2" customHeight="1" spans="7:56">
      <c r="G48" s="236"/>
      <c r="H48" s="236">
        <f t="shared" si="24"/>
        <v>407</v>
      </c>
      <c r="I48" s="236">
        <f>IF($H48&gt;$H47,INDEX(Spectra!48:48,1,MATCH($I$20,Spectra!$20:$20,0)),I47)</f>
        <v>0.429331695306812</v>
      </c>
      <c r="J48" s="236">
        <f>((Physics!$C$9*Physics!$C$10)/(Physics!$C$11*Physics!$C$12*$H48))^($J$17-$J$18)</f>
        <v>2.04945913091392e+18</v>
      </c>
      <c r="K48" s="236">
        <f t="shared" si="25"/>
        <v>1</v>
      </c>
      <c r="L48" s="236">
        <f ca="1">INDEX(Photobiology!$21:$421,1+$H48-380,10)</f>
        <v>0.0008255</v>
      </c>
      <c r="M48" s="236">
        <f ca="1" t="shared" si="26"/>
        <v>0.429331695306812</v>
      </c>
      <c r="N48" s="236">
        <f ca="1">INDEX(Photobiology!$21:$421,1+$H48-380,N$14)</f>
        <v>0.176380268749783</v>
      </c>
      <c r="O48" s="236">
        <f ca="1">INDEX(Photobiology!$21:$421,1+$H48-380,O$14)</f>
        <v>0.0177946315471692</v>
      </c>
      <c r="P48" s="236">
        <f ca="1">INDEX(Photobiology!$21:$421,1+$H48-380,P$14)</f>
        <v>0.0165158526666848</v>
      </c>
      <c r="Q48" s="236">
        <f ca="1">INDEX(Photobiology!$21:$421,1+$H48-380,Q$14)</f>
        <v>0.0271258902320326</v>
      </c>
      <c r="R48" s="236">
        <f ca="1">INDEX(Photobiology!$21:$421,1+$H48-380,R$14)</f>
        <v>0.0302000735048089</v>
      </c>
      <c r="S48" s="236">
        <f ca="1" t="shared" si="27"/>
        <v>8.79897763137299e+17</v>
      </c>
      <c r="T48" s="236">
        <f ca="1">INDEX(Photobiology!$21:$421,1+$H48-380,T$14)</f>
        <v>0.190681371621387</v>
      </c>
      <c r="U48" s="236">
        <f ca="1">INDEX(Photobiology!$21:$421,1+$H48-380,U$14)</f>
        <v>0.0237421396897532</v>
      </c>
      <c r="V48" s="236">
        <f ca="1">INDEX(Photobiology!$21:$421,1+$H48-380,V$14)</f>
        <v>0.0231009398694564</v>
      </c>
      <c r="W48" s="236">
        <f ca="1">INDEX(Photobiology!$21:$421,1+$H48-380,W$14)</f>
        <v>0.0339729533727364</v>
      </c>
      <c r="X48" s="236">
        <f ca="1">INDEX(Photobiology!$21:$421,1+$H48-380,X$14)</f>
        <v>0.0362680789114647</v>
      </c>
      <c r="Y48" s="236">
        <f ca="1" t="shared" si="14"/>
        <v>0.429331695306812</v>
      </c>
      <c r="Z48" s="236">
        <f ca="1" t="shared" si="28"/>
        <v>0.0757256398010154</v>
      </c>
      <c r="AA48" s="236">
        <f ca="1" t="shared" si="15"/>
        <v>0.00763979932950623</v>
      </c>
      <c r="AB48" s="236">
        <f ca="1" t="shared" si="16"/>
        <v>0.00709077902482532</v>
      </c>
      <c r="AC48" s="236">
        <f ca="1" t="shared" si="17"/>
        <v>0.011646004440025</v>
      </c>
      <c r="AD48" s="236">
        <f ca="1" t="shared" si="18"/>
        <v>0.0129658487562099</v>
      </c>
      <c r="AE48" s="236"/>
      <c r="AF48" s="236"/>
      <c r="AG48" s="236"/>
      <c r="AH48" s="236">
        <f t="shared" si="29"/>
        <v>407</v>
      </c>
      <c r="AI48" s="236">
        <f>IF($AH48&gt;$AH47,INDEX(Spectra!48:48,1,MATCH($AI$20,Spectra!$20:$20,0)),AI47)</f>
        <v>1</v>
      </c>
      <c r="AJ48" s="236">
        <f>((Physics!$C$9*Physics!$C$10)/(Physics!$C$11*Physics!$C$12*$AH48))^($AJ$17-$AJ$18)</f>
        <v>2.04945913091392e+18</v>
      </c>
      <c r="AK48" s="236">
        <f t="shared" si="30"/>
        <v>1</v>
      </c>
      <c r="AL48" s="236">
        <f ca="1">INDEX(Photobiology!$21:$421,1+$AH48-380,10)</f>
        <v>0.0008255</v>
      </c>
      <c r="AM48" s="236">
        <f ca="1" t="shared" si="31"/>
        <v>13.3319879209511</v>
      </c>
      <c r="AN48" s="236">
        <f ca="1">INDEX(Photobiology!$21:$421,1+$AH48-380,AN$14)</f>
        <v>0.176380268749783</v>
      </c>
      <c r="AO48" s="236">
        <f ca="1">INDEX(Photobiology!$21:$421,1+$AH48-380,AO$14)</f>
        <v>0.0177946315471692</v>
      </c>
      <c r="AP48" s="236">
        <f ca="1">INDEX(Photobiology!$21:$421,1+$AH48-380,AP$14)</f>
        <v>0.0165158526666848</v>
      </c>
      <c r="AQ48" s="236">
        <f ca="1">INDEX(Photobiology!$21:$421,1+$AH48-380,AQ$14)</f>
        <v>0.0271258902320326</v>
      </c>
      <c r="AR48" s="236">
        <f ca="1">INDEX(Photobiology!$21:$421,1+$AH48-380,AR$14)</f>
        <v>0.0302000735048089</v>
      </c>
      <c r="AS48" s="236">
        <f ca="1" t="shared" si="32"/>
        <v>2.73233643778274e+19</v>
      </c>
      <c r="AT48" s="236">
        <f ca="1">INDEX(Photobiology!$21:$421,1+$AH48-380,AT$14)</f>
        <v>0.190681371621387</v>
      </c>
      <c r="AU48" s="236">
        <f ca="1">INDEX(Photobiology!$21:$421,1+$AH48-380,AU$14)</f>
        <v>0.0237421396897532</v>
      </c>
      <c r="AV48" s="236">
        <f ca="1">INDEX(Photobiology!$21:$421,1+$AH48-380,AV$14)</f>
        <v>0.0231009398694564</v>
      </c>
      <c r="AW48" s="236">
        <f ca="1">INDEX(Photobiology!$21:$421,1+$AH48-380,AW$14)</f>
        <v>0.0339729533727364</v>
      </c>
      <c r="AX48" s="236">
        <f ca="1">INDEX(Photobiology!$21:$421,1+$AH48-380,AX$14)</f>
        <v>0.0362680789114647</v>
      </c>
      <c r="AY48" s="236">
        <f ca="1" t="shared" si="19"/>
        <v>13.3319879209511</v>
      </c>
      <c r="AZ48" s="236">
        <f ca="1" t="shared" si="33"/>
        <v>2.35149961246622</v>
      </c>
      <c r="BA48" s="236">
        <f ca="1" t="shared" si="20"/>
        <v>0.237237812844636</v>
      </c>
      <c r="BB48" s="236">
        <f ca="1" t="shared" si="21"/>
        <v>0.22018914825645</v>
      </c>
      <c r="BC48" s="236">
        <f ca="1" t="shared" si="22"/>
        <v>0.361642040918505</v>
      </c>
      <c r="BD48" s="236">
        <f ca="1" t="shared" si="23"/>
        <v>0.402627015177949</v>
      </c>
    </row>
    <row r="49" s="234" customFormat="1" ht="0.2" customHeight="1" spans="7:56">
      <c r="G49" s="236"/>
      <c r="H49" s="236">
        <f t="shared" si="24"/>
        <v>408</v>
      </c>
      <c r="I49" s="236">
        <f>IF($H49&gt;$H48,INDEX(Spectra!49:49,1,MATCH($I$20,Spectra!$20:$20,0)),I48)</f>
        <v>0.540649100968705</v>
      </c>
      <c r="J49" s="236">
        <f>((Physics!$C$9*Physics!$C$10)/(Physics!$C$11*Physics!$C$12*$H49))^($J$17-$J$18)</f>
        <v>2.0544946570341e+18</v>
      </c>
      <c r="K49" s="236">
        <f t="shared" si="25"/>
        <v>1</v>
      </c>
      <c r="L49" s="236">
        <f ca="1">INDEX(Photobiology!$21:$421,1+$H49-380,10)</f>
        <v>0.00094116</v>
      </c>
      <c r="M49" s="236">
        <f ca="1" t="shared" si="26"/>
        <v>0.540649100968705</v>
      </c>
      <c r="N49" s="236">
        <f ca="1">INDEX(Photobiology!$21:$421,1+$H49-380,N$14)</f>
        <v>0.199801617615831</v>
      </c>
      <c r="O49" s="236">
        <f ca="1">INDEX(Photobiology!$21:$421,1+$H49-380,O$14)</f>
        <v>0.0199315925243333</v>
      </c>
      <c r="P49" s="236">
        <f ca="1">INDEX(Photobiology!$21:$421,1+$H49-380,P$14)</f>
        <v>0.018407380935079</v>
      </c>
      <c r="Q49" s="236">
        <f ca="1">INDEX(Photobiology!$21:$421,1+$H49-380,Q$14)</f>
        <v>0.0309551562136593</v>
      </c>
      <c r="R49" s="236">
        <f ca="1">INDEX(Photobiology!$21:$421,1+$H49-380,R$14)</f>
        <v>0.0347729871451758</v>
      </c>
      <c r="S49" s="236">
        <f ca="1" t="shared" si="27"/>
        <v>1.11076068927049e+18</v>
      </c>
      <c r="T49" s="236">
        <f ca="1">INDEX(Photobiology!$21:$421,1+$H49-380,T$14)</f>
        <v>0.215472332722955</v>
      </c>
      <c r="U49" s="236">
        <f ca="1">INDEX(Photobiology!$21:$421,1+$H49-380,U$14)</f>
        <v>0.0265281583975824</v>
      </c>
      <c r="V49" s="236">
        <f ca="1">INDEX(Photobiology!$21:$421,1+$H49-380,V$14)</f>
        <v>0.0256835407590405</v>
      </c>
      <c r="W49" s="236">
        <f ca="1">INDEX(Photobiology!$21:$421,1+$H49-380,W$14)</f>
        <v>0.038673773483868</v>
      </c>
      <c r="X49" s="236">
        <f ca="1">INDEX(Photobiology!$21:$421,1+$H49-380,X$14)</f>
        <v>0.0416574611652817</v>
      </c>
      <c r="Y49" s="236">
        <f ca="1" t="shared" si="14"/>
        <v>0.540649100968705</v>
      </c>
      <c r="Z49" s="236">
        <f ca="1" t="shared" si="28"/>
        <v>0.108022564936092</v>
      </c>
      <c r="AA49" s="236">
        <f ca="1" t="shared" si="15"/>
        <v>0.0107759975791554</v>
      </c>
      <c r="AB49" s="236">
        <f ca="1" t="shared" si="16"/>
        <v>0.00995193395373894</v>
      </c>
      <c r="AC49" s="236">
        <f ca="1" t="shared" si="17"/>
        <v>0.0167358773772607</v>
      </c>
      <c r="AD49" s="236">
        <f ca="1" t="shared" si="18"/>
        <v>0.0187999842380356</v>
      </c>
      <c r="AE49" s="236"/>
      <c r="AF49" s="236"/>
      <c r="AG49" s="236"/>
      <c r="AH49" s="236">
        <f t="shared" si="29"/>
        <v>408</v>
      </c>
      <c r="AI49" s="236">
        <f>IF($AH49&gt;$AH48,INDEX(Spectra!49:49,1,MATCH($AI$20,Spectra!$20:$20,0)),AI48)</f>
        <v>1</v>
      </c>
      <c r="AJ49" s="236">
        <f>((Physics!$C$9*Physics!$C$10)/(Physics!$C$11*Physics!$C$12*$AH49))^($AJ$17-$AJ$18)</f>
        <v>2.0544946570341e+18</v>
      </c>
      <c r="AK49" s="236">
        <f t="shared" si="30"/>
        <v>1</v>
      </c>
      <c r="AL49" s="236">
        <f ca="1">INDEX(Photobiology!$21:$421,1+$AH49-380,10)</f>
        <v>0.00094116</v>
      </c>
      <c r="AM49" s="236">
        <f ca="1" t="shared" si="31"/>
        <v>13.3319879209511</v>
      </c>
      <c r="AN49" s="236">
        <f ca="1">INDEX(Photobiology!$21:$421,1+$AH49-380,AN$14)</f>
        <v>0.199801617615831</v>
      </c>
      <c r="AO49" s="236">
        <f ca="1">INDEX(Photobiology!$21:$421,1+$AH49-380,AO$14)</f>
        <v>0.0199315925243333</v>
      </c>
      <c r="AP49" s="236">
        <f ca="1">INDEX(Photobiology!$21:$421,1+$AH49-380,AP$14)</f>
        <v>0.018407380935079</v>
      </c>
      <c r="AQ49" s="236">
        <f ca="1">INDEX(Photobiology!$21:$421,1+$AH49-380,AQ$14)</f>
        <v>0.0309551562136593</v>
      </c>
      <c r="AR49" s="236">
        <f ca="1">INDEX(Photobiology!$21:$421,1+$AH49-380,AR$14)</f>
        <v>0.0347729871451758</v>
      </c>
      <c r="AS49" s="236">
        <f ca="1" t="shared" si="32"/>
        <v>2.73904979512373e+19</v>
      </c>
      <c r="AT49" s="236">
        <f ca="1">INDEX(Photobiology!$21:$421,1+$AH49-380,AT$14)</f>
        <v>0.215472332722955</v>
      </c>
      <c r="AU49" s="236">
        <f ca="1">INDEX(Photobiology!$21:$421,1+$AH49-380,AU$14)</f>
        <v>0.0265281583975824</v>
      </c>
      <c r="AV49" s="236">
        <f ca="1">INDEX(Photobiology!$21:$421,1+$AH49-380,AV$14)</f>
        <v>0.0256835407590405</v>
      </c>
      <c r="AW49" s="236">
        <f ca="1">INDEX(Photobiology!$21:$421,1+$AH49-380,AW$14)</f>
        <v>0.038673773483868</v>
      </c>
      <c r="AX49" s="236">
        <f ca="1">INDEX(Photobiology!$21:$421,1+$AH49-380,AX$14)</f>
        <v>0.0416574611652817</v>
      </c>
      <c r="AY49" s="236">
        <f ca="1" t="shared" si="19"/>
        <v>13.3319879209511</v>
      </c>
      <c r="AZ49" s="236">
        <f ca="1" t="shared" si="33"/>
        <v>2.66375275264076</v>
      </c>
      <c r="BA49" s="236">
        <f ca="1" t="shared" si="20"/>
        <v>0.265727750779732</v>
      </c>
      <c r="BB49" s="236">
        <f ca="1" t="shared" si="21"/>
        <v>0.24540698028282</v>
      </c>
      <c r="BC49" s="236">
        <f ca="1" t="shared" si="22"/>
        <v>0.412693768731661</v>
      </c>
      <c r="BD49" s="236">
        <f ca="1" t="shared" si="23"/>
        <v>0.463593044594873</v>
      </c>
    </row>
    <row r="50" s="234" customFormat="1" ht="0.2" customHeight="1" spans="7:56">
      <c r="G50" s="236"/>
      <c r="H50" s="236">
        <f t="shared" si="24"/>
        <v>409</v>
      </c>
      <c r="I50" s="236">
        <f>IF($H50&gt;$H49,INDEX(Spectra!50:50,1,MATCH($I$20,Spectra!$20:$20,0)),I49)</f>
        <v>0.703401455544653</v>
      </c>
      <c r="J50" s="236">
        <f>((Physics!$C$9*Physics!$C$10)/(Physics!$C$11*Physics!$C$12*$H50))^($J$17-$J$18)</f>
        <v>2.05953018315428e+18</v>
      </c>
      <c r="K50" s="236">
        <f t="shared" si="25"/>
        <v>1</v>
      </c>
      <c r="L50" s="236">
        <f ca="1">INDEX(Photobiology!$21:$421,1+$H50-380,10)</f>
        <v>0.00106988</v>
      </c>
      <c r="M50" s="236">
        <f ca="1" t="shared" si="26"/>
        <v>0.703401455544653</v>
      </c>
      <c r="N50" s="236">
        <f ca="1">INDEX(Photobiology!$21:$421,1+$H50-380,N$14)</f>
        <v>0.226228856332481</v>
      </c>
      <c r="O50" s="236">
        <f ca="1">INDEX(Photobiology!$21:$421,1+$H50-380,O$14)</f>
        <v>0.022337213745233</v>
      </c>
      <c r="P50" s="236">
        <f ca="1">INDEX(Photobiology!$21:$421,1+$H50-380,P$14)</f>
        <v>0.0205150698501208</v>
      </c>
      <c r="Q50" s="236">
        <f ca="1">INDEX(Photobiology!$21:$421,1+$H50-380,Q$14)</f>
        <v>0.035351431129356</v>
      </c>
      <c r="R50" s="236">
        <f ca="1">INDEX(Photobiology!$21:$421,1+$H50-380,R$14)</f>
        <v>0.0400545631941957</v>
      </c>
      <c r="S50" s="236">
        <f ca="1" t="shared" si="27"/>
        <v>1.44867652856887e+18</v>
      </c>
      <c r="T50" s="236">
        <f ca="1">INDEX(Photobiology!$21:$421,1+$H50-380,T$14)</f>
        <v>0.243375786763549</v>
      </c>
      <c r="U50" s="236">
        <f ca="1">INDEX(Photobiology!$21:$421,1+$H50-380,U$14)</f>
        <v>0.0296572553918392</v>
      </c>
      <c r="V50" s="236">
        <f ca="1">INDEX(Photobiology!$21:$421,1+$H50-380,V$14)</f>
        <v>0.0285543810585197</v>
      </c>
      <c r="W50" s="236">
        <f ca="1">INDEX(Photobiology!$21:$421,1+$H50-380,W$14)</f>
        <v>0.0440582663694555</v>
      </c>
      <c r="X50" s="236">
        <f ca="1">INDEX(Photobiology!$21:$421,1+$H50-380,X$14)</f>
        <v>0.0478673795582827</v>
      </c>
      <c r="Y50" s="236">
        <f ca="1" t="shared" si="14"/>
        <v>0.703401455544653</v>
      </c>
      <c r="Z50" s="236">
        <f ca="1" t="shared" si="28"/>
        <v>0.159129706830469</v>
      </c>
      <c r="AA50" s="236">
        <f ca="1" t="shared" si="15"/>
        <v>0.0157120286612089</v>
      </c>
      <c r="AB50" s="236">
        <f ca="1" t="shared" si="16"/>
        <v>0.0144303299931752</v>
      </c>
      <c r="AC50" s="236">
        <f ca="1" t="shared" si="17"/>
        <v>0.0248662481119756</v>
      </c>
      <c r="AD50" s="236">
        <f ca="1" t="shared" si="18"/>
        <v>0.0281744380520025</v>
      </c>
      <c r="AE50" s="236"/>
      <c r="AF50" s="236"/>
      <c r="AG50" s="236"/>
      <c r="AH50" s="236">
        <f t="shared" si="29"/>
        <v>409</v>
      </c>
      <c r="AI50" s="236">
        <f>IF($AH50&gt;$AH49,INDEX(Spectra!50:50,1,MATCH($AI$20,Spectra!$20:$20,0)),AI49)</f>
        <v>1</v>
      </c>
      <c r="AJ50" s="236">
        <f>((Physics!$C$9*Physics!$C$10)/(Physics!$C$11*Physics!$C$12*$AH50))^($AJ$17-$AJ$18)</f>
        <v>2.05953018315428e+18</v>
      </c>
      <c r="AK50" s="236">
        <f t="shared" si="30"/>
        <v>1</v>
      </c>
      <c r="AL50" s="236">
        <f ca="1">INDEX(Photobiology!$21:$421,1+$AH50-380,10)</f>
        <v>0.00106988</v>
      </c>
      <c r="AM50" s="236">
        <f ca="1" t="shared" si="31"/>
        <v>13.3319879209511</v>
      </c>
      <c r="AN50" s="236">
        <f ca="1">INDEX(Photobiology!$21:$421,1+$AH50-380,AN$14)</f>
        <v>0.226228856332481</v>
      </c>
      <c r="AO50" s="236">
        <f ca="1">INDEX(Photobiology!$21:$421,1+$AH50-380,AO$14)</f>
        <v>0.022337213745233</v>
      </c>
      <c r="AP50" s="236">
        <f ca="1">INDEX(Photobiology!$21:$421,1+$AH50-380,AP$14)</f>
        <v>0.0205150698501208</v>
      </c>
      <c r="AQ50" s="236">
        <f ca="1">INDEX(Photobiology!$21:$421,1+$AH50-380,AQ$14)</f>
        <v>0.035351431129356</v>
      </c>
      <c r="AR50" s="236">
        <f ca="1">INDEX(Photobiology!$21:$421,1+$AH50-380,AR$14)</f>
        <v>0.0400545631941957</v>
      </c>
      <c r="AS50" s="236">
        <f ca="1" t="shared" si="32"/>
        <v>2.74576315246472e+19</v>
      </c>
      <c r="AT50" s="236">
        <f ca="1">INDEX(Photobiology!$21:$421,1+$AH50-380,AT$14)</f>
        <v>0.243375786763549</v>
      </c>
      <c r="AU50" s="236">
        <f ca="1">INDEX(Photobiology!$21:$421,1+$AH50-380,AU$14)</f>
        <v>0.0296572553918392</v>
      </c>
      <c r="AV50" s="236">
        <f ca="1">INDEX(Photobiology!$21:$421,1+$AH50-380,AV$14)</f>
        <v>0.0285543810585197</v>
      </c>
      <c r="AW50" s="236">
        <f ca="1">INDEX(Photobiology!$21:$421,1+$AH50-380,AW$14)</f>
        <v>0.0440582663694555</v>
      </c>
      <c r="AX50" s="236">
        <f ca="1">INDEX(Photobiology!$21:$421,1+$AH50-380,AX$14)</f>
        <v>0.0478673795582827</v>
      </c>
      <c r="AY50" s="236">
        <f ca="1" t="shared" si="19"/>
        <v>13.3319879209511</v>
      </c>
      <c r="AZ50" s="236">
        <f ca="1" t="shared" si="33"/>
        <v>3.01608037999523</v>
      </c>
      <c r="BA50" s="236">
        <f ca="1" t="shared" si="20"/>
        <v>0.29779946383915</v>
      </c>
      <c r="BB50" s="236">
        <f ca="1" t="shared" si="21"/>
        <v>0.273506663439279</v>
      </c>
      <c r="BC50" s="236">
        <f ca="1" t="shared" si="22"/>
        <v>0.47130485280491</v>
      </c>
      <c r="BD50" s="236">
        <f ca="1" t="shared" si="23"/>
        <v>0.534006952683991</v>
      </c>
    </row>
    <row r="51" s="234" customFormat="1" ht="0.2" customHeight="1" spans="7:56">
      <c r="G51" s="236"/>
      <c r="H51" s="236">
        <f t="shared" si="24"/>
        <v>410</v>
      </c>
      <c r="I51" s="236">
        <f>IF($H51&gt;$H50,INDEX(Spectra!51:51,1,MATCH($I$20,Spectra!$20:$20,0)),I50)</f>
        <v>0.88305593395213</v>
      </c>
      <c r="J51" s="236">
        <f>((Physics!$C$9*Physics!$C$10)/(Physics!$C$11*Physics!$C$12*$H51))^($J$17-$J$18)</f>
        <v>2.06456570927447e+18</v>
      </c>
      <c r="K51" s="236">
        <f t="shared" si="25"/>
        <v>1</v>
      </c>
      <c r="L51" s="236">
        <f ca="1">INDEX(Photobiology!$21:$421,1+$H51-380,10)</f>
        <v>0.00121</v>
      </c>
      <c r="M51" s="236">
        <f ca="1" t="shared" si="26"/>
        <v>0.88305593395213</v>
      </c>
      <c r="N51" s="236">
        <f ca="1">INDEX(Photobiology!$21:$421,1+$H51-380,N$14)</f>
        <v>0.256033032438185</v>
      </c>
      <c r="O51" s="236">
        <f ca="1">INDEX(Photobiology!$21:$421,1+$H51-380,O$14)</f>
        <v>0.0250477661509118</v>
      </c>
      <c r="P51" s="236">
        <f ca="1">INDEX(Photobiology!$21:$421,1+$H51-380,P$14)</f>
        <v>0.0228642521010198</v>
      </c>
      <c r="Q51" s="236">
        <f ca="1">INDEX(Photobiology!$21:$421,1+$H51-380,Q$14)</f>
        <v>0.0404011753705795</v>
      </c>
      <c r="R51" s="236">
        <f ca="1">INDEX(Photobiology!$21:$421,1+$H51-380,R$14)</f>
        <v>0.0461550260053656</v>
      </c>
      <c r="S51" s="236">
        <f ca="1" t="shared" si="27"/>
        <v>1.82312700060891e+18</v>
      </c>
      <c r="T51" s="236">
        <f ca="1">INDEX(Photobiology!$21:$421,1+$H51-380,T$14)</f>
        <v>0.27476715676293</v>
      </c>
      <c r="U51" s="236">
        <f ca="1">INDEX(Photobiology!$21:$421,1+$H51-380,U$14)</f>
        <v>0.0331749600375332</v>
      </c>
      <c r="V51" s="236">
        <f ca="1">INDEX(Photobiology!$21:$421,1+$H51-380,V$14)</f>
        <v>0.0317465255968306</v>
      </c>
      <c r="W51" s="236">
        <f ca="1">INDEX(Photobiology!$21:$421,1+$H51-380,W$14)</f>
        <v>0.050228921770921</v>
      </c>
      <c r="X51" s="236">
        <f ca="1">INDEX(Photobiology!$21:$421,1+$H51-380,X$14)</f>
        <v>0.0550232329811801</v>
      </c>
      <c r="Y51" s="236">
        <f ca="1" t="shared" si="14"/>
        <v>0.88305593395213</v>
      </c>
      <c r="Z51" s="236">
        <f ca="1" t="shared" si="28"/>
        <v>0.226091488582297</v>
      </c>
      <c r="AA51" s="236">
        <f ca="1" t="shared" si="15"/>
        <v>0.022118578531808</v>
      </c>
      <c r="AB51" s="236">
        <f ca="1" t="shared" si="16"/>
        <v>0.020190413493183</v>
      </c>
      <c r="AC51" s="236">
        <f ca="1" t="shared" si="17"/>
        <v>0.0356764976496309</v>
      </c>
      <c r="AD51" s="236">
        <f ca="1" t="shared" si="18"/>
        <v>0.040757469595753</v>
      </c>
      <c r="AE51" s="236"/>
      <c r="AF51" s="236"/>
      <c r="AG51" s="236"/>
      <c r="AH51" s="236">
        <f t="shared" si="29"/>
        <v>410</v>
      </c>
      <c r="AI51" s="236">
        <f>IF($AH51&gt;$AH50,INDEX(Spectra!51:51,1,MATCH($AI$20,Spectra!$20:$20,0)),AI50)</f>
        <v>1</v>
      </c>
      <c r="AJ51" s="236">
        <f>((Physics!$C$9*Physics!$C$10)/(Physics!$C$11*Physics!$C$12*$AH51))^($AJ$17-$AJ$18)</f>
        <v>2.06456570927447e+18</v>
      </c>
      <c r="AK51" s="236">
        <f t="shared" si="30"/>
        <v>1</v>
      </c>
      <c r="AL51" s="236">
        <f ca="1">INDEX(Photobiology!$21:$421,1+$AH51-380,10)</f>
        <v>0.00121</v>
      </c>
      <c r="AM51" s="236">
        <f ca="1" t="shared" si="31"/>
        <v>13.3319879209511</v>
      </c>
      <c r="AN51" s="236">
        <f ca="1">INDEX(Photobiology!$21:$421,1+$AH51-380,AN$14)</f>
        <v>0.256033032438185</v>
      </c>
      <c r="AO51" s="236">
        <f ca="1">INDEX(Photobiology!$21:$421,1+$AH51-380,AO$14)</f>
        <v>0.0250477661509118</v>
      </c>
      <c r="AP51" s="236">
        <f ca="1">INDEX(Photobiology!$21:$421,1+$AH51-380,AP$14)</f>
        <v>0.0228642521010198</v>
      </c>
      <c r="AQ51" s="236">
        <f ca="1">INDEX(Photobiology!$21:$421,1+$AH51-380,AQ$14)</f>
        <v>0.0404011753705795</v>
      </c>
      <c r="AR51" s="236">
        <f ca="1">INDEX(Photobiology!$21:$421,1+$AH51-380,AR$14)</f>
        <v>0.0461550260053656</v>
      </c>
      <c r="AS51" s="236">
        <f ca="1" t="shared" si="32"/>
        <v>2.75247650980571e+19</v>
      </c>
      <c r="AT51" s="236">
        <f ca="1">INDEX(Photobiology!$21:$421,1+$AH51-380,AT$14)</f>
        <v>0.27476715676293</v>
      </c>
      <c r="AU51" s="236">
        <f ca="1">INDEX(Photobiology!$21:$421,1+$AH51-380,AU$14)</f>
        <v>0.0331749600375332</v>
      </c>
      <c r="AV51" s="236">
        <f ca="1">INDEX(Photobiology!$21:$421,1+$AH51-380,AV$14)</f>
        <v>0.0317465255968306</v>
      </c>
      <c r="AW51" s="236">
        <f ca="1">INDEX(Photobiology!$21:$421,1+$AH51-380,AW$14)</f>
        <v>0.050228921770921</v>
      </c>
      <c r="AX51" s="236">
        <f ca="1">INDEX(Photobiology!$21:$421,1+$AH51-380,AX$14)</f>
        <v>0.0550232329811801</v>
      </c>
      <c r="AY51" s="236">
        <f ca="1" t="shared" si="19"/>
        <v>13.3319879209511</v>
      </c>
      <c r="AZ51" s="236">
        <f ca="1" t="shared" si="33"/>
        <v>3.41342929583037</v>
      </c>
      <c r="BA51" s="236">
        <f ca="1" t="shared" si="20"/>
        <v>0.333936515770765</v>
      </c>
      <c r="BB51" s="236">
        <f ca="1" t="shared" si="21"/>
        <v>0.304825932832378</v>
      </c>
      <c r="BC51" s="236">
        <f ca="1" t="shared" si="22"/>
        <v>0.538627982032795</v>
      </c>
      <c r="BD51" s="236">
        <f ca="1" t="shared" si="23"/>
        <v>0.61533824919472</v>
      </c>
    </row>
    <row r="52" s="234" customFormat="1" ht="0.2" customHeight="1" spans="7:56">
      <c r="G52" s="236"/>
      <c r="H52" s="236">
        <f t="shared" si="24"/>
        <v>411</v>
      </c>
      <c r="I52" s="236">
        <f>IF($H52&gt;$H51,INDEX(Spectra!52:52,1,MATCH($I$20,Spectra!$20:$20,0)),I51)</f>
        <v>1.07810027617698</v>
      </c>
      <c r="J52" s="236">
        <f>((Physics!$C$9*Physics!$C$10)/(Physics!$C$11*Physics!$C$12*$H52))^($J$17-$J$18)</f>
        <v>2.06960123539465e+18</v>
      </c>
      <c r="K52" s="236">
        <f t="shared" si="25"/>
        <v>1</v>
      </c>
      <c r="L52" s="236">
        <f ca="1">INDEX(Photobiology!$21:$421,1+$H52-380,10)</f>
        <v>0.001362091</v>
      </c>
      <c r="M52" s="236">
        <f ca="1" t="shared" si="26"/>
        <v>1.07810027617698</v>
      </c>
      <c r="N52" s="236">
        <f ca="1">INDEX(Photobiology!$21:$421,1+$H52-380,N$14)</f>
        <v>0.279988375005385</v>
      </c>
      <c r="O52" s="236">
        <f ca="1">INDEX(Photobiology!$21:$421,1+$H52-380,O$14)</f>
        <v>0.0271692093364479</v>
      </c>
      <c r="P52" s="236">
        <f ca="1">INDEX(Photobiology!$21:$421,1+$H52-380,P$14)</f>
        <v>0.0246349678594785</v>
      </c>
      <c r="Q52" s="236">
        <f ca="1">INDEX(Photobiology!$21:$421,1+$H52-380,Q$14)</f>
        <v>0.0446660965130502</v>
      </c>
      <c r="R52" s="236">
        <f ca="1">INDEX(Photobiology!$21:$421,1+$H52-380,R$14)</f>
        <v>0.05143076686825</v>
      </c>
      <c r="S52" s="236">
        <f ca="1" t="shared" si="27"/>
        <v>2.23123766345519e+18</v>
      </c>
      <c r="T52" s="236">
        <f ca="1">INDEX(Photobiology!$21:$421,1+$H52-380,T$14)</f>
        <v>0.299744245747857</v>
      </c>
      <c r="U52" s="236">
        <f ca="1">INDEX(Photobiology!$21:$421,1+$H52-380,U$14)</f>
        <v>0.0358971891326169</v>
      </c>
      <c r="V52" s="236">
        <f ca="1">INDEX(Photobiology!$21:$421,1+$H52-380,V$14)</f>
        <v>0.0341219024476159</v>
      </c>
      <c r="W52" s="236">
        <f ca="1">INDEX(Photobiology!$21:$421,1+$H52-380,W$14)</f>
        <v>0.0553961892667144</v>
      </c>
      <c r="X52" s="236">
        <f ca="1">INDEX(Photobiology!$21:$421,1+$H52-380,X$14)</f>
        <v>0.0611634732362554</v>
      </c>
      <c r="Y52" s="236">
        <f ca="1" t="shared" si="14"/>
        <v>1.07810027617698</v>
      </c>
      <c r="Z52" s="236">
        <f ca="1" t="shared" si="28"/>
        <v>0.301855544419649</v>
      </c>
      <c r="AA52" s="236">
        <f ca="1" t="shared" si="15"/>
        <v>0.0292911320891347</v>
      </c>
      <c r="AB52" s="236">
        <f ca="1" t="shared" si="16"/>
        <v>0.0265589656529148</v>
      </c>
      <c r="AC52" s="236">
        <f ca="1" t="shared" si="17"/>
        <v>0.0481545309864671</v>
      </c>
      <c r="AD52" s="236">
        <f ca="1" t="shared" si="18"/>
        <v>0.0554475239646542</v>
      </c>
      <c r="AE52" s="236"/>
      <c r="AF52" s="236"/>
      <c r="AG52" s="236"/>
      <c r="AH52" s="236">
        <f t="shared" si="29"/>
        <v>411</v>
      </c>
      <c r="AI52" s="236">
        <f>IF($AH52&gt;$AH51,INDEX(Spectra!52:52,1,MATCH($AI$20,Spectra!$20:$20,0)),AI51)</f>
        <v>1</v>
      </c>
      <c r="AJ52" s="236">
        <f>((Physics!$C$9*Physics!$C$10)/(Physics!$C$11*Physics!$C$12*$AH52))^($AJ$17-$AJ$18)</f>
        <v>2.06960123539465e+18</v>
      </c>
      <c r="AK52" s="236">
        <f t="shared" si="30"/>
        <v>1</v>
      </c>
      <c r="AL52" s="236">
        <f ca="1">INDEX(Photobiology!$21:$421,1+$AH52-380,10)</f>
        <v>0.001362091</v>
      </c>
      <c r="AM52" s="236">
        <f ca="1" t="shared" si="31"/>
        <v>13.3319879209511</v>
      </c>
      <c r="AN52" s="236">
        <f ca="1">INDEX(Photobiology!$21:$421,1+$AH52-380,AN$14)</f>
        <v>0.279988375005385</v>
      </c>
      <c r="AO52" s="236">
        <f ca="1">INDEX(Photobiology!$21:$421,1+$AH52-380,AO$14)</f>
        <v>0.0271692093364479</v>
      </c>
      <c r="AP52" s="236">
        <f ca="1">INDEX(Photobiology!$21:$421,1+$AH52-380,AP$14)</f>
        <v>0.0246349678594785</v>
      </c>
      <c r="AQ52" s="236">
        <f ca="1">INDEX(Photobiology!$21:$421,1+$AH52-380,AQ$14)</f>
        <v>0.0446660965130502</v>
      </c>
      <c r="AR52" s="236">
        <f ca="1">INDEX(Photobiology!$21:$421,1+$AH52-380,AR$14)</f>
        <v>0.05143076686825</v>
      </c>
      <c r="AS52" s="236">
        <f ca="1" t="shared" si="32"/>
        <v>2.7591898671467e+19</v>
      </c>
      <c r="AT52" s="236">
        <f ca="1">INDEX(Photobiology!$21:$421,1+$AH52-380,AT$14)</f>
        <v>0.299744245747857</v>
      </c>
      <c r="AU52" s="236">
        <f ca="1">INDEX(Photobiology!$21:$421,1+$AH52-380,AU$14)</f>
        <v>0.0358971891326169</v>
      </c>
      <c r="AV52" s="236">
        <f ca="1">INDEX(Photobiology!$21:$421,1+$AH52-380,AV$14)</f>
        <v>0.0341219024476159</v>
      </c>
      <c r="AW52" s="236">
        <f ca="1">INDEX(Photobiology!$21:$421,1+$AH52-380,AW$14)</f>
        <v>0.0553961892667144</v>
      </c>
      <c r="AX52" s="236">
        <f ca="1">INDEX(Photobiology!$21:$421,1+$AH52-380,AX$14)</f>
        <v>0.0611634732362554</v>
      </c>
      <c r="AY52" s="236">
        <f ca="1" t="shared" si="19"/>
        <v>13.3319879209511</v>
      </c>
      <c r="AZ52" s="236">
        <f ca="1" t="shared" si="33"/>
        <v>3.73280163357853</v>
      </c>
      <c r="BA52" s="236">
        <f ca="1" t="shared" si="20"/>
        <v>0.362219570695316</v>
      </c>
      <c r="BB52" s="236">
        <f ca="1" t="shared" si="21"/>
        <v>0.328433093935587</v>
      </c>
      <c r="BC52" s="236">
        <f ca="1" t="shared" si="22"/>
        <v>0.595487859188023</v>
      </c>
      <c r="BD52" s="236">
        <f ca="1" t="shared" si="23"/>
        <v>0.685674362652763</v>
      </c>
    </row>
    <row r="53" s="234" customFormat="1" ht="0.2" customHeight="1" spans="7:56">
      <c r="G53" s="236"/>
      <c r="H53" s="236">
        <f t="shared" si="24"/>
        <v>412</v>
      </c>
      <c r="I53" s="236">
        <f>IF($H53&gt;$H52,INDEX(Spectra!53:53,1,MATCH($I$20,Spectra!$20:$20,0)),I52)</f>
        <v>1.34836150644433</v>
      </c>
      <c r="J53" s="236">
        <f>((Physics!$C$9*Physics!$C$10)/(Physics!$C$11*Physics!$C$12*$H53))^($J$17-$J$18)</f>
        <v>2.07463676151483e+18</v>
      </c>
      <c r="K53" s="236">
        <f t="shared" si="25"/>
        <v>1</v>
      </c>
      <c r="L53" s="236">
        <f ca="1">INDEX(Photobiology!$21:$421,1+$H53-380,10)</f>
        <v>0.001530752</v>
      </c>
      <c r="M53" s="236">
        <f ca="1" t="shared" si="26"/>
        <v>1.34836150644433</v>
      </c>
      <c r="N53" s="236">
        <f ca="1">INDEX(Photobiology!$21:$421,1+$H53-380,N$14)</f>
        <v>0.306039159108454</v>
      </c>
      <c r="O53" s="236">
        <f ca="1">INDEX(Photobiology!$21:$421,1+$H53-380,O$14)</f>
        <v>0.0294896080276672</v>
      </c>
      <c r="P53" s="236">
        <f ca="1">INDEX(Photobiology!$21:$421,1+$H53-380,P$14)</f>
        <v>0.0265442830669306</v>
      </c>
      <c r="Q53" s="236">
        <f ca="1">INDEX(Photobiology!$21:$421,1+$H53-380,Q$14)</f>
        <v>0.0494132023072998</v>
      </c>
      <c r="R53" s="236">
        <f ca="1">INDEX(Photobiology!$21:$421,1+$H53-380,R$14)</f>
        <v>0.0573251236270361</v>
      </c>
      <c r="S53" s="236">
        <f ca="1" t="shared" si="27"/>
        <v>2.79736034908092e+18</v>
      </c>
      <c r="T53" s="236">
        <f ca="1">INDEX(Photobiology!$21:$421,1+$H53-380,T$14)</f>
        <v>0.326837936911941</v>
      </c>
      <c r="U53" s="236">
        <f ca="1">INDEX(Photobiology!$21:$421,1+$H53-380,U$14)</f>
        <v>0.0388684345111676</v>
      </c>
      <c r="V53" s="236">
        <f ca="1">INDEX(Photobiology!$21:$421,1+$H53-380,V$14)</f>
        <v>0.0366772565305821</v>
      </c>
      <c r="W53" s="236">
        <f ca="1">INDEX(Photobiology!$21:$421,1+$H53-380,W$14)</f>
        <v>0.0611349408361889</v>
      </c>
      <c r="X53" s="236">
        <f ca="1">INDEX(Photobiology!$21:$421,1+$H53-380,X$14)</f>
        <v>0.0680078030066625</v>
      </c>
      <c r="Y53" s="236">
        <f ca="1" t="shared" si="14"/>
        <v>1.34836150644433</v>
      </c>
      <c r="Z53" s="236">
        <f ca="1" t="shared" si="28"/>
        <v>0.412651421606431</v>
      </c>
      <c r="AA53" s="236">
        <f ca="1" t="shared" si="15"/>
        <v>0.0397626523046382</v>
      </c>
      <c r="AB53" s="236">
        <f ca="1" t="shared" si="16"/>
        <v>0.0357912895036113</v>
      </c>
      <c r="AC53" s="236">
        <f ca="1" t="shared" si="17"/>
        <v>0.0666268599013092</v>
      </c>
      <c r="AD53" s="236">
        <f ca="1" t="shared" si="18"/>
        <v>0.0772949900508579</v>
      </c>
      <c r="AE53" s="236"/>
      <c r="AF53" s="236"/>
      <c r="AG53" s="236"/>
      <c r="AH53" s="236">
        <f t="shared" si="29"/>
        <v>412</v>
      </c>
      <c r="AI53" s="236">
        <f>IF($AH53&gt;$AH52,INDEX(Spectra!53:53,1,MATCH($AI$20,Spectra!$20:$20,0)),AI52)</f>
        <v>1</v>
      </c>
      <c r="AJ53" s="236">
        <f>((Physics!$C$9*Physics!$C$10)/(Physics!$C$11*Physics!$C$12*$AH53))^($AJ$17-$AJ$18)</f>
        <v>2.07463676151483e+18</v>
      </c>
      <c r="AK53" s="236">
        <f t="shared" si="30"/>
        <v>1</v>
      </c>
      <c r="AL53" s="236">
        <f ca="1">INDEX(Photobiology!$21:$421,1+$AH53-380,10)</f>
        <v>0.001530752</v>
      </c>
      <c r="AM53" s="236">
        <f ca="1" t="shared" si="31"/>
        <v>13.3319879209511</v>
      </c>
      <c r="AN53" s="236">
        <f ca="1">INDEX(Photobiology!$21:$421,1+$AH53-380,AN$14)</f>
        <v>0.306039159108454</v>
      </c>
      <c r="AO53" s="236">
        <f ca="1">INDEX(Photobiology!$21:$421,1+$AH53-380,AO$14)</f>
        <v>0.0294896080276672</v>
      </c>
      <c r="AP53" s="236">
        <f ca="1">INDEX(Photobiology!$21:$421,1+$AH53-380,AP$14)</f>
        <v>0.0265442830669306</v>
      </c>
      <c r="AQ53" s="236">
        <f ca="1">INDEX(Photobiology!$21:$421,1+$AH53-380,AQ$14)</f>
        <v>0.0494132023072998</v>
      </c>
      <c r="AR53" s="236">
        <f ca="1">INDEX(Photobiology!$21:$421,1+$AH53-380,AR$14)</f>
        <v>0.0573251236270361</v>
      </c>
      <c r="AS53" s="236">
        <f ca="1" t="shared" si="32"/>
        <v>2.76590322448769e+19</v>
      </c>
      <c r="AT53" s="236">
        <f ca="1">INDEX(Photobiology!$21:$421,1+$AH53-380,AT$14)</f>
        <v>0.326837936911941</v>
      </c>
      <c r="AU53" s="236">
        <f ca="1">INDEX(Photobiology!$21:$421,1+$AH53-380,AU$14)</f>
        <v>0.0388684345111676</v>
      </c>
      <c r="AV53" s="236">
        <f ca="1">INDEX(Photobiology!$21:$421,1+$AH53-380,AV$14)</f>
        <v>0.0366772565305821</v>
      </c>
      <c r="AW53" s="236">
        <f ca="1">INDEX(Photobiology!$21:$421,1+$AH53-380,AW$14)</f>
        <v>0.0611349408361889</v>
      </c>
      <c r="AX53" s="236">
        <f ca="1">INDEX(Photobiology!$21:$421,1+$AH53-380,AX$14)</f>
        <v>0.0680078030066625</v>
      </c>
      <c r="AY53" s="236">
        <f ca="1" t="shared" si="19"/>
        <v>13.3319879209511</v>
      </c>
      <c r="AZ53" s="236">
        <f ca="1" t="shared" si="33"/>
        <v>4.08011037257195</v>
      </c>
      <c r="BA53" s="236">
        <f ca="1" t="shared" si="20"/>
        <v>0.393155098018443</v>
      </c>
      <c r="BB53" s="236">
        <f ca="1" t="shared" si="21"/>
        <v>0.353888061218627</v>
      </c>
      <c r="BC53" s="236">
        <f ca="1" t="shared" si="22"/>
        <v>0.658776216296436</v>
      </c>
      <c r="BD53" s="236">
        <f ca="1" t="shared" si="23"/>
        <v>0.764257855762676</v>
      </c>
    </row>
    <row r="54" s="234" customFormat="1" ht="0.2" customHeight="1" spans="7:56">
      <c r="G54" s="236"/>
      <c r="H54" s="236">
        <f t="shared" si="24"/>
        <v>413</v>
      </c>
      <c r="I54" s="236">
        <f>IF($H54&gt;$H53,INDEX(Spectra!54:54,1,MATCH($I$20,Spectra!$20:$20,0)),I53)</f>
        <v>1.6118401042455</v>
      </c>
      <c r="J54" s="236">
        <f>((Physics!$C$9*Physics!$C$10)/(Physics!$C$11*Physics!$C$12*$H54))^($J$17-$J$18)</f>
        <v>2.07967228763501e+18</v>
      </c>
      <c r="K54" s="236">
        <f t="shared" si="25"/>
        <v>1</v>
      </c>
      <c r="L54" s="236">
        <f ca="1">INDEX(Photobiology!$21:$421,1+$H54-380,10)</f>
        <v>0.001720368</v>
      </c>
      <c r="M54" s="236">
        <f ca="1" t="shared" si="26"/>
        <v>1.6118401042455</v>
      </c>
      <c r="N54" s="236">
        <f ca="1">INDEX(Photobiology!$21:$421,1+$H54-380,N$14)</f>
        <v>0.334353597206123</v>
      </c>
      <c r="O54" s="236">
        <f ca="1">INDEX(Photobiology!$21:$421,1+$H54-380,O$14)</f>
        <v>0.0320302995322562</v>
      </c>
      <c r="P54" s="236">
        <f ca="1">INDEX(Photobiology!$21:$421,1+$H54-380,P$14)</f>
        <v>0.0286039493269947</v>
      </c>
      <c r="Q54" s="236">
        <f ca="1">INDEX(Photobiology!$21:$421,1+$H54-380,Q$14)</f>
        <v>0.0546980696608384</v>
      </c>
      <c r="R54" s="236">
        <f ca="1">INDEX(Photobiology!$21:$421,1+$H54-380,R$14)</f>
        <v>0.0639098796911285</v>
      </c>
      <c r="S54" s="236">
        <f ca="1" t="shared" si="27"/>
        <v>3.35209919689809e+18</v>
      </c>
      <c r="T54" s="236">
        <f ca="1">INDEX(Photobiology!$21:$421,1+$H54-380,T$14)</f>
        <v>0.356212064820083</v>
      </c>
      <c r="U54" s="236">
        <f ca="1">INDEX(Photobiology!$21:$421,1+$H54-380,U$14)</f>
        <v>0.0421149426327854</v>
      </c>
      <c r="V54" s="236">
        <f ca="1">INDEX(Photobiology!$21:$421,1+$H54-380,V$14)</f>
        <v>0.0394274788312981</v>
      </c>
      <c r="W54" s="236">
        <f ca="1">INDEX(Photobiology!$21:$421,1+$H54-380,W$14)</f>
        <v>0.0675096195648278</v>
      </c>
      <c r="X54" s="236">
        <f ca="1">INDEX(Photobiology!$21:$421,1+$H54-380,X$14)</f>
        <v>0.0756360620674394</v>
      </c>
      <c r="Y54" s="236">
        <f ca="1" t="shared" si="14"/>
        <v>1.6118401042455</v>
      </c>
      <c r="Z54" s="236">
        <f ca="1" t="shared" si="28"/>
        <v>0.538924536975575</v>
      </c>
      <c r="AA54" s="236">
        <f ca="1" t="shared" si="15"/>
        <v>0.0516277213370864</v>
      </c>
      <c r="AB54" s="236">
        <f ca="1" t="shared" si="16"/>
        <v>0.0461049926650561</v>
      </c>
      <c r="AC54" s="236">
        <f ca="1" t="shared" si="17"/>
        <v>0.0881645423041534</v>
      </c>
      <c r="AD54" s="236">
        <f ca="1" t="shared" si="18"/>
        <v>0.103012507143666</v>
      </c>
      <c r="AE54" s="236"/>
      <c r="AF54" s="236"/>
      <c r="AG54" s="236"/>
      <c r="AH54" s="236">
        <f t="shared" si="29"/>
        <v>413</v>
      </c>
      <c r="AI54" s="236">
        <f>IF($AH54&gt;$AH53,INDEX(Spectra!54:54,1,MATCH($AI$20,Spectra!$20:$20,0)),AI53)</f>
        <v>1</v>
      </c>
      <c r="AJ54" s="236">
        <f>((Physics!$C$9*Physics!$C$10)/(Physics!$C$11*Physics!$C$12*$AH54))^($AJ$17-$AJ$18)</f>
        <v>2.07967228763501e+18</v>
      </c>
      <c r="AK54" s="236">
        <f t="shared" si="30"/>
        <v>1</v>
      </c>
      <c r="AL54" s="236">
        <f ca="1">INDEX(Photobiology!$21:$421,1+$AH54-380,10)</f>
        <v>0.001720368</v>
      </c>
      <c r="AM54" s="236">
        <f ca="1" t="shared" si="31"/>
        <v>13.3319879209511</v>
      </c>
      <c r="AN54" s="236">
        <f ca="1">INDEX(Photobiology!$21:$421,1+$AH54-380,AN$14)</f>
        <v>0.334353597206123</v>
      </c>
      <c r="AO54" s="236">
        <f ca="1">INDEX(Photobiology!$21:$421,1+$AH54-380,AO$14)</f>
        <v>0.0320302995322562</v>
      </c>
      <c r="AP54" s="236">
        <f ca="1">INDEX(Photobiology!$21:$421,1+$AH54-380,AP$14)</f>
        <v>0.0286039493269947</v>
      </c>
      <c r="AQ54" s="236">
        <f ca="1">INDEX(Photobiology!$21:$421,1+$AH54-380,AQ$14)</f>
        <v>0.0546980696608384</v>
      </c>
      <c r="AR54" s="236">
        <f ca="1">INDEX(Photobiology!$21:$421,1+$AH54-380,AR$14)</f>
        <v>0.0639098796911285</v>
      </c>
      <c r="AS54" s="236">
        <f ca="1" t="shared" si="32"/>
        <v>2.77261658182868e+19</v>
      </c>
      <c r="AT54" s="236">
        <f ca="1">INDEX(Photobiology!$21:$421,1+$AH54-380,AT$14)</f>
        <v>0.356212064820083</v>
      </c>
      <c r="AU54" s="236">
        <f ca="1">INDEX(Photobiology!$21:$421,1+$AH54-380,AU$14)</f>
        <v>0.0421149426327854</v>
      </c>
      <c r="AV54" s="236">
        <f ca="1">INDEX(Photobiology!$21:$421,1+$AH54-380,AV$14)</f>
        <v>0.0394274788312981</v>
      </c>
      <c r="AW54" s="236">
        <f ca="1">INDEX(Photobiology!$21:$421,1+$AH54-380,AW$14)</f>
        <v>0.0675096195648278</v>
      </c>
      <c r="AX54" s="236">
        <f ca="1">INDEX(Photobiology!$21:$421,1+$AH54-380,AX$14)</f>
        <v>0.0756360620674394</v>
      </c>
      <c r="AY54" s="236">
        <f ca="1" t="shared" si="19"/>
        <v>13.3319879209511</v>
      </c>
      <c r="AZ54" s="236">
        <f ca="1" t="shared" si="33"/>
        <v>4.45759811927859</v>
      </c>
      <c r="BA54" s="236">
        <f ca="1" t="shared" si="20"/>
        <v>0.427027566468487</v>
      </c>
      <c r="BB54" s="236">
        <f ca="1" t="shared" si="21"/>
        <v>0.381347506918992</v>
      </c>
      <c r="BC54" s="236">
        <f ca="1" t="shared" si="22"/>
        <v>0.729234004017642</v>
      </c>
      <c r="BD54" s="236">
        <f ca="1" t="shared" si="23"/>
        <v>0.852045744071566</v>
      </c>
    </row>
    <row r="55" s="234" customFormat="1" ht="0.2" customHeight="1" spans="7:56">
      <c r="G55" s="236"/>
      <c r="H55" s="236">
        <f t="shared" si="24"/>
        <v>414</v>
      </c>
      <c r="I55" s="236">
        <f>IF($H55&gt;$H54,INDEX(Spectra!55:55,1,MATCH($I$20,Spectra!$20:$20,0)),I54)</f>
        <v>1.95380117710759</v>
      </c>
      <c r="J55" s="236">
        <f>((Physics!$C$9*Physics!$C$10)/(Physics!$C$11*Physics!$C$12*$H55))^($J$17-$J$18)</f>
        <v>2.08470781375519e+18</v>
      </c>
      <c r="K55" s="236">
        <f t="shared" si="25"/>
        <v>1</v>
      </c>
      <c r="L55" s="236">
        <f ca="1">INDEX(Photobiology!$21:$421,1+$H55-380,10)</f>
        <v>0.001935323</v>
      </c>
      <c r="M55" s="236">
        <f ca="1" t="shared" si="26"/>
        <v>1.95380117710759</v>
      </c>
      <c r="N55" s="236">
        <f ca="1">INDEX(Photobiology!$21:$421,1+$H55-380,N$14)</f>
        <v>0.365108547273012</v>
      </c>
      <c r="O55" s="236">
        <f ca="1">INDEX(Photobiology!$21:$421,1+$H55-380,O$14)</f>
        <v>0.0348151283025888</v>
      </c>
      <c r="P55" s="236">
        <f ca="1">INDEX(Photobiology!$21:$421,1+$H55-380,P$14)</f>
        <v>0.0308268394096355</v>
      </c>
      <c r="Q55" s="236">
        <f ca="1">INDEX(Photobiology!$21:$421,1+$H55-380,Q$14)</f>
        <v>0.060582473358847</v>
      </c>
      <c r="R55" s="236">
        <f ca="1">INDEX(Photobiology!$21:$421,1+$H55-380,R$14)</f>
        <v>0.0712641320356395</v>
      </c>
      <c r="S55" s="236">
        <f ca="1" t="shared" si="27"/>
        <v>4.07310458044028e+18</v>
      </c>
      <c r="T55" s="236">
        <f ca="1">INDEX(Photobiology!$21:$421,1+$H55-380,T$14)</f>
        <v>0.38803806956552</v>
      </c>
      <c r="U55" s="236">
        <f ca="1">INDEX(Photobiology!$21:$421,1+$H55-380,U$14)</f>
        <v>0.0456659949171231</v>
      </c>
      <c r="V55" s="236">
        <f ca="1">INDEX(Photobiology!$21:$421,1+$H55-380,V$14)</f>
        <v>0.0423888581358665</v>
      </c>
      <c r="W55" s="236">
        <f ca="1">INDEX(Photobiology!$21:$421,1+$H55-380,W$14)</f>
        <v>0.074591676986019</v>
      </c>
      <c r="X55" s="236">
        <f ca="1">INDEX(Photobiology!$21:$421,1+$H55-380,X$14)</f>
        <v>0.084135953346402</v>
      </c>
      <c r="Y55" s="236">
        <f ca="1" t="shared" si="14"/>
        <v>1.95380117710759</v>
      </c>
      <c r="Z55" s="236">
        <f ca="1" t="shared" si="28"/>
        <v>0.713349509434053</v>
      </c>
      <c r="AA55" s="236">
        <f ca="1" t="shared" si="15"/>
        <v>0.0680218386587498</v>
      </c>
      <c r="AB55" s="236">
        <f ca="1" t="shared" si="16"/>
        <v>0.0602295151250525</v>
      </c>
      <c r="AC55" s="236">
        <f ca="1" t="shared" si="17"/>
        <v>0.118366107760604</v>
      </c>
      <c r="AD55" s="236">
        <f ca="1" t="shared" si="18"/>
        <v>0.139235945056783</v>
      </c>
      <c r="AE55" s="236"/>
      <c r="AF55" s="236"/>
      <c r="AG55" s="236"/>
      <c r="AH55" s="236">
        <f t="shared" si="29"/>
        <v>414</v>
      </c>
      <c r="AI55" s="236">
        <f>IF($AH55&gt;$AH54,INDEX(Spectra!55:55,1,MATCH($AI$20,Spectra!$20:$20,0)),AI54)</f>
        <v>1</v>
      </c>
      <c r="AJ55" s="236">
        <f>((Physics!$C$9*Physics!$C$10)/(Physics!$C$11*Physics!$C$12*$AH55))^($AJ$17-$AJ$18)</f>
        <v>2.08470781375519e+18</v>
      </c>
      <c r="AK55" s="236">
        <f t="shared" si="30"/>
        <v>1</v>
      </c>
      <c r="AL55" s="236">
        <f ca="1">INDEX(Photobiology!$21:$421,1+$AH55-380,10)</f>
        <v>0.001935323</v>
      </c>
      <c r="AM55" s="236">
        <f ca="1" t="shared" si="31"/>
        <v>13.3319879209511</v>
      </c>
      <c r="AN55" s="236">
        <f ca="1">INDEX(Photobiology!$21:$421,1+$AH55-380,AN$14)</f>
        <v>0.365108547273012</v>
      </c>
      <c r="AO55" s="236">
        <f ca="1">INDEX(Photobiology!$21:$421,1+$AH55-380,AO$14)</f>
        <v>0.0348151283025888</v>
      </c>
      <c r="AP55" s="236">
        <f ca="1">INDEX(Photobiology!$21:$421,1+$AH55-380,AP$14)</f>
        <v>0.0308268394096355</v>
      </c>
      <c r="AQ55" s="236">
        <f ca="1">INDEX(Photobiology!$21:$421,1+$AH55-380,AQ$14)</f>
        <v>0.060582473358847</v>
      </c>
      <c r="AR55" s="236">
        <f ca="1">INDEX(Photobiology!$21:$421,1+$AH55-380,AR$14)</f>
        <v>0.0712641320356395</v>
      </c>
      <c r="AS55" s="236">
        <f ca="1" t="shared" si="32"/>
        <v>2.77932993916967e+19</v>
      </c>
      <c r="AT55" s="236">
        <f ca="1">INDEX(Photobiology!$21:$421,1+$AH55-380,AT$14)</f>
        <v>0.38803806956552</v>
      </c>
      <c r="AU55" s="236">
        <f ca="1">INDEX(Photobiology!$21:$421,1+$AH55-380,AU$14)</f>
        <v>0.0456659949171231</v>
      </c>
      <c r="AV55" s="236">
        <f ca="1">INDEX(Photobiology!$21:$421,1+$AH55-380,AV$14)</f>
        <v>0.0423888581358665</v>
      </c>
      <c r="AW55" s="236">
        <f ca="1">INDEX(Photobiology!$21:$421,1+$AH55-380,AW$14)</f>
        <v>0.074591676986019</v>
      </c>
      <c r="AX55" s="236">
        <f ca="1">INDEX(Photobiology!$21:$421,1+$AH55-380,AX$14)</f>
        <v>0.084135953346402</v>
      </c>
      <c r="AY55" s="236">
        <f ca="1" t="shared" si="19"/>
        <v>13.3319879209511</v>
      </c>
      <c r="AZ55" s="236">
        <f ca="1" t="shared" si="33"/>
        <v>4.86762274207981</v>
      </c>
      <c r="BA55" s="236">
        <f ca="1" t="shared" si="20"/>
        <v>0.464154869996478</v>
      </c>
      <c r="BB55" s="236">
        <f ca="1" t="shared" si="21"/>
        <v>0.410983050650361</v>
      </c>
      <c r="BC55" s="236">
        <f ca="1" t="shared" si="22"/>
        <v>0.807684803041492</v>
      </c>
      <c r="BD55" s="236">
        <f ca="1" t="shared" si="23"/>
        <v>0.950092547496213</v>
      </c>
    </row>
    <row r="56" s="234" customFormat="1" ht="0.2" customHeight="1" spans="7:56">
      <c r="G56" s="236"/>
      <c r="H56" s="236">
        <f t="shared" si="24"/>
        <v>415</v>
      </c>
      <c r="I56" s="236">
        <f>IF($H56&gt;$H55,INDEX(Spectra!56:56,1,MATCH($I$20,Spectra!$20:$20,0)),I55)</f>
        <v>2.30766752658566</v>
      </c>
      <c r="J56" s="236">
        <f>((Physics!$C$9*Physics!$C$10)/(Physics!$C$11*Physics!$C$12*$H56))^($J$17-$J$18)</f>
        <v>2.08974333987537e+18</v>
      </c>
      <c r="K56" s="236">
        <f t="shared" si="25"/>
        <v>1</v>
      </c>
      <c r="L56" s="236">
        <f ca="1">INDEX(Photobiology!$21:$421,1+$H56-380,10)</f>
        <v>0.00218</v>
      </c>
      <c r="M56" s="236">
        <f ca="1" t="shared" si="26"/>
        <v>2.30766752658566</v>
      </c>
      <c r="N56" s="236">
        <f ca="1">INDEX(Photobiology!$21:$421,1+$H56-380,N$14)</f>
        <v>0.398495113243824</v>
      </c>
      <c r="O56" s="236">
        <f ca="1">INDEX(Photobiology!$21:$421,1+$H56-380,O$14)</f>
        <v>0.0378706709909244</v>
      </c>
      <c r="P56" s="236">
        <f ca="1">INDEX(Photobiology!$21:$421,1+$H56-380,P$14)</f>
        <v>0.0332270664502871</v>
      </c>
      <c r="Q56" s="236">
        <f ca="1">INDEX(Photobiology!$21:$421,1+$H56-380,Q$14)</f>
        <v>0.0671353102118068</v>
      </c>
      <c r="R56" s="236">
        <f ca="1">INDEX(Photobiology!$21:$421,1+$H56-380,R$14)</f>
        <v>0.0794765488023572</v>
      </c>
      <c r="S56" s="236">
        <f ca="1" t="shared" si="27"/>
        <v>4.82243284432905e+18</v>
      </c>
      <c r="T56" s="236">
        <f ca="1">INDEX(Photobiology!$21:$421,1+$H56-380,T$14)</f>
        <v>0.422500842957307</v>
      </c>
      <c r="U56" s="236">
        <f ca="1">INDEX(Photobiology!$21:$421,1+$H56-380,U$14)</f>
        <v>0.0495541656651623</v>
      </c>
      <c r="V56" s="236">
        <f ca="1">INDEX(Photobiology!$21:$421,1+$H56-380,V$14)</f>
        <v>0.0455792277013485</v>
      </c>
      <c r="W56" s="236">
        <f ca="1">INDEX(Photobiology!$21:$421,1+$H56-380,W$14)</f>
        <v>0.0824606237493607</v>
      </c>
      <c r="X56" s="236">
        <f ca="1">INDEX(Photobiology!$21:$421,1+$H56-380,X$14)</f>
        <v>0.0936056071366065</v>
      </c>
      <c r="Y56" s="236">
        <f ca="1" t="shared" si="14"/>
        <v>2.30766752658566</v>
      </c>
      <c r="Z56" s="236">
        <f ca="1" t="shared" si="28"/>
        <v>0.919594232335848</v>
      </c>
      <c r="AA56" s="236">
        <f ca="1" t="shared" si="15"/>
        <v>0.0873929176557658</v>
      </c>
      <c r="AB56" s="236">
        <f ca="1" t="shared" si="16"/>
        <v>0.0766770222510314</v>
      </c>
      <c r="AC56" s="236">
        <f ca="1" t="shared" si="17"/>
        <v>0.154925975263041</v>
      </c>
      <c r="AD56" s="236">
        <f ca="1" t="shared" si="18"/>
        <v>0.1834054507963</v>
      </c>
      <c r="AE56" s="236"/>
      <c r="AF56" s="236"/>
      <c r="AG56" s="236"/>
      <c r="AH56" s="236">
        <f t="shared" si="29"/>
        <v>415</v>
      </c>
      <c r="AI56" s="236">
        <f>IF($AH56&gt;$AH55,INDEX(Spectra!56:56,1,MATCH($AI$20,Spectra!$20:$20,0)),AI55)</f>
        <v>1</v>
      </c>
      <c r="AJ56" s="236">
        <f>((Physics!$C$9*Physics!$C$10)/(Physics!$C$11*Physics!$C$12*$AH56))^($AJ$17-$AJ$18)</f>
        <v>2.08974333987537e+18</v>
      </c>
      <c r="AK56" s="236">
        <f t="shared" si="30"/>
        <v>1</v>
      </c>
      <c r="AL56" s="236">
        <f ca="1">INDEX(Photobiology!$21:$421,1+$AH56-380,10)</f>
        <v>0.00218</v>
      </c>
      <c r="AM56" s="236">
        <f ca="1" t="shared" si="31"/>
        <v>13.3319879209511</v>
      </c>
      <c r="AN56" s="236">
        <f ca="1">INDEX(Photobiology!$21:$421,1+$AH56-380,AN$14)</f>
        <v>0.398495113243824</v>
      </c>
      <c r="AO56" s="236">
        <f ca="1">INDEX(Photobiology!$21:$421,1+$AH56-380,AO$14)</f>
        <v>0.0378706709909244</v>
      </c>
      <c r="AP56" s="236">
        <f ca="1">INDEX(Photobiology!$21:$421,1+$AH56-380,AP$14)</f>
        <v>0.0332270664502871</v>
      </c>
      <c r="AQ56" s="236">
        <f ca="1">INDEX(Photobiology!$21:$421,1+$AH56-380,AQ$14)</f>
        <v>0.0671353102118068</v>
      </c>
      <c r="AR56" s="236">
        <f ca="1">INDEX(Photobiology!$21:$421,1+$AH56-380,AR$14)</f>
        <v>0.0794765488023572</v>
      </c>
      <c r="AS56" s="236">
        <f ca="1" t="shared" si="32"/>
        <v>2.78604329651066e+19</v>
      </c>
      <c r="AT56" s="236">
        <f ca="1">INDEX(Photobiology!$21:$421,1+$AH56-380,AT$14)</f>
        <v>0.422500842957307</v>
      </c>
      <c r="AU56" s="236">
        <f ca="1">INDEX(Photobiology!$21:$421,1+$AH56-380,AU$14)</f>
        <v>0.0495541656651623</v>
      </c>
      <c r="AV56" s="236">
        <f ca="1">INDEX(Photobiology!$21:$421,1+$AH56-380,AV$14)</f>
        <v>0.0455792277013485</v>
      </c>
      <c r="AW56" s="236">
        <f ca="1">INDEX(Photobiology!$21:$421,1+$AH56-380,AW$14)</f>
        <v>0.0824606237493607</v>
      </c>
      <c r="AX56" s="236">
        <f ca="1">INDEX(Photobiology!$21:$421,1+$AH56-380,AX$14)</f>
        <v>0.0936056071366065</v>
      </c>
      <c r="AY56" s="236">
        <f ca="1" t="shared" si="19"/>
        <v>13.3319879209511</v>
      </c>
      <c r="AZ56" s="236">
        <f ca="1" t="shared" si="33"/>
        <v>5.31273203632472</v>
      </c>
      <c r="BA56" s="236">
        <f ca="1" t="shared" si="20"/>
        <v>0.504891328209319</v>
      </c>
      <c r="BB56" s="236">
        <f ca="1" t="shared" si="21"/>
        <v>0.442982848563868</v>
      </c>
      <c r="BC56" s="236">
        <f ca="1" t="shared" si="22"/>
        <v>0.895047144813116</v>
      </c>
      <c r="BD56" s="236">
        <f ca="1" t="shared" si="23"/>
        <v>1.05958038863191</v>
      </c>
    </row>
    <row r="57" s="234" customFormat="1" ht="0.2" customHeight="1" spans="7:56">
      <c r="G57" s="236"/>
      <c r="H57" s="236">
        <f t="shared" si="24"/>
        <v>416</v>
      </c>
      <c r="I57" s="236">
        <f>IF($H57&gt;$H56,INDEX(Spectra!57:57,1,MATCH($I$20,Spectra!$20:$20,0)),I56)</f>
        <v>2.66770596828929</v>
      </c>
      <c r="J57" s="236">
        <f>((Physics!$C$9*Physics!$C$10)/(Physics!$C$11*Physics!$C$12*$H57))^($J$17-$J$18)</f>
        <v>2.09477886599555e+18</v>
      </c>
      <c r="K57" s="236">
        <f t="shared" si="25"/>
        <v>1</v>
      </c>
      <c r="L57" s="236">
        <f ca="1">INDEX(Photobiology!$21:$421,1+$H57-380,10)</f>
        <v>0.0024548</v>
      </c>
      <c r="M57" s="236">
        <f ca="1" t="shared" si="26"/>
        <v>2.66770596828929</v>
      </c>
      <c r="N57" s="236">
        <f ca="1">INDEX(Photobiology!$21:$421,1+$H57-380,N$14)</f>
        <v>0.434715374423104</v>
      </c>
      <c r="O57" s="236">
        <f ca="1">INDEX(Photobiology!$21:$421,1+$H57-380,O$14)</f>
        <v>0.041226740534449</v>
      </c>
      <c r="P57" s="236">
        <f ca="1">INDEX(Photobiology!$21:$421,1+$H57-380,P$14)</f>
        <v>0.035820364432466</v>
      </c>
      <c r="Q57" s="236">
        <f ca="1">INDEX(Photobiology!$21:$421,1+$H57-380,Q$14)</f>
        <v>0.0744329102859863</v>
      </c>
      <c r="R57" s="236">
        <f ca="1">INDEX(Photobiology!$21:$421,1+$H57-380,R$14)</f>
        <v>0.0886449501247807</v>
      </c>
      <c r="S57" s="236">
        <f ca="1" t="shared" si="27"/>
        <v>5.5882540830626e+18</v>
      </c>
      <c r="T57" s="236">
        <f ca="1">INDEX(Photobiology!$21:$421,1+$H57-380,T$14)</f>
        <v>0.459795107562898</v>
      </c>
      <c r="U57" s="236">
        <f ca="1">INDEX(Photobiology!$21:$421,1+$H57-380,U$14)</f>
        <v>0.053815940496238</v>
      </c>
      <c r="V57" s="236">
        <f ca="1">INDEX(Photobiology!$21:$421,1+$H57-380,V$14)</f>
        <v>0.0490184673647951</v>
      </c>
      <c r="W57" s="236">
        <f ca="1">INDEX(Photobiology!$21:$421,1+$H57-380,W$14)</f>
        <v>0.0912043141139797</v>
      </c>
      <c r="X57" s="236">
        <f ca="1">INDEX(Photobiology!$21:$421,1+$H57-380,X$14)</f>
        <v>0.104152963259806</v>
      </c>
      <c r="Y57" s="236">
        <f ca="1" t="shared" si="14"/>
        <v>2.66770596828929</v>
      </c>
      <c r="Z57" s="236">
        <f ca="1" t="shared" si="28"/>
        <v>1.15969279885563</v>
      </c>
      <c r="AA57" s="236">
        <f ca="1" t="shared" si="15"/>
        <v>0.109980821776864</v>
      </c>
      <c r="AB57" s="236">
        <f ca="1" t="shared" si="16"/>
        <v>0.0955581999827869</v>
      </c>
      <c r="AC57" s="236">
        <f ca="1" t="shared" si="17"/>
        <v>0.198565119007067</v>
      </c>
      <c r="AD57" s="236">
        <f ca="1" t="shared" si="18"/>
        <v>0.236478662506584</v>
      </c>
      <c r="AE57" s="236"/>
      <c r="AF57" s="236"/>
      <c r="AG57" s="236"/>
      <c r="AH57" s="236">
        <f t="shared" si="29"/>
        <v>416</v>
      </c>
      <c r="AI57" s="236">
        <f>IF($AH57&gt;$AH56,INDEX(Spectra!57:57,1,MATCH($AI$20,Spectra!$20:$20,0)),AI56)</f>
        <v>1</v>
      </c>
      <c r="AJ57" s="236">
        <f>((Physics!$C$9*Physics!$C$10)/(Physics!$C$11*Physics!$C$12*$AH57))^($AJ$17-$AJ$18)</f>
        <v>2.09477886599555e+18</v>
      </c>
      <c r="AK57" s="236">
        <f t="shared" si="30"/>
        <v>1</v>
      </c>
      <c r="AL57" s="236">
        <f ca="1">INDEX(Photobiology!$21:$421,1+$AH57-380,10)</f>
        <v>0.0024548</v>
      </c>
      <c r="AM57" s="236">
        <f ca="1" t="shared" si="31"/>
        <v>13.3319879209511</v>
      </c>
      <c r="AN57" s="236">
        <f ca="1">INDEX(Photobiology!$21:$421,1+$AH57-380,AN$14)</f>
        <v>0.434715374423104</v>
      </c>
      <c r="AO57" s="236">
        <f ca="1">INDEX(Photobiology!$21:$421,1+$AH57-380,AO$14)</f>
        <v>0.041226740534449</v>
      </c>
      <c r="AP57" s="236">
        <f ca="1">INDEX(Photobiology!$21:$421,1+$AH57-380,AP$14)</f>
        <v>0.035820364432466</v>
      </c>
      <c r="AQ57" s="236">
        <f ca="1">INDEX(Photobiology!$21:$421,1+$AH57-380,AQ$14)</f>
        <v>0.0744329102859863</v>
      </c>
      <c r="AR57" s="236">
        <f ca="1">INDEX(Photobiology!$21:$421,1+$AH57-380,AR$14)</f>
        <v>0.0886449501247807</v>
      </c>
      <c r="AS57" s="236">
        <f ca="1" t="shared" si="32"/>
        <v>2.79275665385165e+19</v>
      </c>
      <c r="AT57" s="236">
        <f ca="1">INDEX(Photobiology!$21:$421,1+$AH57-380,AT$14)</f>
        <v>0.459795107562898</v>
      </c>
      <c r="AU57" s="236">
        <f ca="1">INDEX(Photobiology!$21:$421,1+$AH57-380,AU$14)</f>
        <v>0.053815940496238</v>
      </c>
      <c r="AV57" s="236">
        <f ca="1">INDEX(Photobiology!$21:$421,1+$AH57-380,AV$14)</f>
        <v>0.0490184673647951</v>
      </c>
      <c r="AW57" s="236">
        <f ca="1">INDEX(Photobiology!$21:$421,1+$AH57-380,AW$14)</f>
        <v>0.0912043141139797</v>
      </c>
      <c r="AX57" s="236">
        <f ca="1">INDEX(Photobiology!$21:$421,1+$AH57-380,AX$14)</f>
        <v>0.104152963259806</v>
      </c>
      <c r="AY57" s="236">
        <f ca="1" t="shared" si="19"/>
        <v>13.3319879209511</v>
      </c>
      <c r="AZ57" s="236">
        <f ca="1" t="shared" si="33"/>
        <v>5.79562012086057</v>
      </c>
      <c r="BA57" s="236">
        <f ca="1" t="shared" si="20"/>
        <v>0.549634406825461</v>
      </c>
      <c r="BB57" s="236">
        <f ca="1" t="shared" si="21"/>
        <v>0.477556665937705</v>
      </c>
      <c r="BC57" s="236">
        <f ca="1" t="shared" si="22"/>
        <v>0.992338660854009</v>
      </c>
      <c r="BD57" s="236">
        <f ca="1" t="shared" si="23"/>
        <v>1.18181340431689</v>
      </c>
    </row>
    <row r="58" s="234" customFormat="1" ht="0.2" customHeight="1" spans="7:56">
      <c r="G58" s="236"/>
      <c r="H58" s="236">
        <f t="shared" si="24"/>
        <v>417</v>
      </c>
      <c r="I58" s="236">
        <f>IF($H58&gt;$H57,INDEX(Spectra!58:58,1,MATCH($I$20,Spectra!$20:$20,0)),I57)</f>
        <v>3.20366895713732</v>
      </c>
      <c r="J58" s="236">
        <f>((Physics!$C$9*Physics!$C$10)/(Physics!$C$11*Physics!$C$12*$H58))^($J$17-$J$18)</f>
        <v>2.09981439211574e+18</v>
      </c>
      <c r="K58" s="236">
        <f t="shared" si="25"/>
        <v>1</v>
      </c>
      <c r="L58" s="236">
        <f ca="1">INDEX(Photobiology!$21:$421,1+$H58-380,10)</f>
        <v>0.002764</v>
      </c>
      <c r="M58" s="236">
        <f ca="1" t="shared" si="26"/>
        <v>3.20366895713732</v>
      </c>
      <c r="N58" s="236">
        <f ca="1">INDEX(Photobiology!$21:$421,1+$H58-380,N$14)</f>
        <v>0.473984347392019</v>
      </c>
      <c r="O58" s="236">
        <f ca="1">INDEX(Photobiology!$21:$421,1+$H58-380,O$14)</f>
        <v>0.0449167163994655</v>
      </c>
      <c r="P58" s="236">
        <f ca="1">INDEX(Photobiology!$21:$421,1+$H58-380,P$14)</f>
        <v>0.0386238889721128</v>
      </c>
      <c r="Q58" s="236">
        <f ca="1">INDEX(Photobiology!$21:$421,1+$H58-380,Q$14)</f>
        <v>0.0825596798159961</v>
      </c>
      <c r="R58" s="236">
        <f ca="1">INDEX(Photobiology!$21:$421,1+$H58-380,R$14)</f>
        <v>0.098878302038135</v>
      </c>
      <c r="S58" s="236">
        <f ca="1" t="shared" si="27"/>
        <v>6.72711018377137e+18</v>
      </c>
      <c r="T58" s="236">
        <f ca="1">INDEX(Photobiology!$21:$421,1+$H58-380,T$14)</f>
        <v>0.500127368950811</v>
      </c>
      <c r="U58" s="236">
        <f ca="1">INDEX(Photobiology!$21:$421,1+$H58-380,U$14)</f>
        <v>0.0584920995051278</v>
      </c>
      <c r="V58" s="236">
        <f ca="1">INDEX(Photobiology!$21:$421,1+$H58-380,V$14)</f>
        <v>0.0527282070405104</v>
      </c>
      <c r="W58" s="236">
        <f ca="1">INDEX(Photobiology!$21:$421,1+$H58-380,W$14)</f>
        <v>0.100919631791273</v>
      </c>
      <c r="X58" s="236">
        <f ca="1">INDEX(Photobiology!$21:$421,1+$H58-380,X$14)</f>
        <v>0.115897990563237</v>
      </c>
      <c r="Y58" s="236">
        <f ca="1" t="shared" si="14"/>
        <v>3.20366895713732</v>
      </c>
      <c r="Z58" s="236">
        <f ca="1" t="shared" si="28"/>
        <v>1.5184889399088</v>
      </c>
      <c r="AA58" s="236">
        <f ca="1" t="shared" si="15"/>
        <v>0.143898289985508</v>
      </c>
      <c r="AB58" s="236">
        <f ca="1" t="shared" si="16"/>
        <v>0.123738154103876</v>
      </c>
      <c r="AC58" s="236">
        <f ca="1" t="shared" si="17"/>
        <v>0.264493883337703</v>
      </c>
      <c r="AD58" s="236">
        <f ca="1" t="shared" si="18"/>
        <v>0.316773346774021</v>
      </c>
      <c r="AE58" s="236"/>
      <c r="AF58" s="236"/>
      <c r="AG58" s="236"/>
      <c r="AH58" s="236">
        <f t="shared" si="29"/>
        <v>417</v>
      </c>
      <c r="AI58" s="236">
        <f>IF($AH58&gt;$AH57,INDEX(Spectra!58:58,1,MATCH($AI$20,Spectra!$20:$20,0)),AI57)</f>
        <v>1</v>
      </c>
      <c r="AJ58" s="236">
        <f>((Physics!$C$9*Physics!$C$10)/(Physics!$C$11*Physics!$C$12*$AH58))^($AJ$17-$AJ$18)</f>
        <v>2.09981439211574e+18</v>
      </c>
      <c r="AK58" s="236">
        <f t="shared" si="30"/>
        <v>1</v>
      </c>
      <c r="AL58" s="236">
        <f ca="1">INDEX(Photobiology!$21:$421,1+$AH58-380,10)</f>
        <v>0.002764</v>
      </c>
      <c r="AM58" s="236">
        <f ca="1" t="shared" si="31"/>
        <v>13.3319879209511</v>
      </c>
      <c r="AN58" s="236">
        <f ca="1">INDEX(Photobiology!$21:$421,1+$AH58-380,AN$14)</f>
        <v>0.473984347392019</v>
      </c>
      <c r="AO58" s="236">
        <f ca="1">INDEX(Photobiology!$21:$421,1+$AH58-380,AO$14)</f>
        <v>0.0449167163994655</v>
      </c>
      <c r="AP58" s="236">
        <f ca="1">INDEX(Photobiology!$21:$421,1+$AH58-380,AP$14)</f>
        <v>0.0386238889721128</v>
      </c>
      <c r="AQ58" s="236">
        <f ca="1">INDEX(Photobiology!$21:$421,1+$AH58-380,AQ$14)</f>
        <v>0.0825596798159961</v>
      </c>
      <c r="AR58" s="236">
        <f ca="1">INDEX(Photobiology!$21:$421,1+$AH58-380,AR$14)</f>
        <v>0.098878302038135</v>
      </c>
      <c r="AS58" s="236">
        <f ca="1" t="shared" si="32"/>
        <v>2.79947001119264e+19</v>
      </c>
      <c r="AT58" s="236">
        <f ca="1">INDEX(Photobiology!$21:$421,1+$AH58-380,AT$14)</f>
        <v>0.500127368950811</v>
      </c>
      <c r="AU58" s="236">
        <f ca="1">INDEX(Photobiology!$21:$421,1+$AH58-380,AU$14)</f>
        <v>0.0584920995051278</v>
      </c>
      <c r="AV58" s="236">
        <f ca="1">INDEX(Photobiology!$21:$421,1+$AH58-380,AV$14)</f>
        <v>0.0527282070405104</v>
      </c>
      <c r="AW58" s="236">
        <f ca="1">INDEX(Photobiology!$21:$421,1+$AH58-380,AW$14)</f>
        <v>0.100919631791273</v>
      </c>
      <c r="AX58" s="236">
        <f ca="1">INDEX(Photobiology!$21:$421,1+$AH58-380,AX$14)</f>
        <v>0.115897990563237</v>
      </c>
      <c r="AY58" s="236">
        <f ca="1" t="shared" si="19"/>
        <v>13.3319879209511</v>
      </c>
      <c r="AZ58" s="236">
        <f ca="1" t="shared" si="33"/>
        <v>6.31915359415031</v>
      </c>
      <c r="BA58" s="236">
        <f ca="1" t="shared" si="20"/>
        <v>0.598829120486462</v>
      </c>
      <c r="BB58" s="236">
        <f ca="1" t="shared" si="21"/>
        <v>0.514933221236366</v>
      </c>
      <c r="BC58" s="236">
        <f ca="1" t="shared" si="22"/>
        <v>1.10068465406445</v>
      </c>
      <c r="BD58" s="236">
        <f ca="1" t="shared" si="23"/>
        <v>1.31824432841657</v>
      </c>
    </row>
    <row r="59" s="234" customFormat="1" ht="0.2" customHeight="1" spans="7:56">
      <c r="G59" s="236"/>
      <c r="H59" s="236">
        <f t="shared" si="24"/>
        <v>418</v>
      </c>
      <c r="I59" s="236">
        <f>IF($H59&gt;$H58,INDEX(Spectra!59:59,1,MATCH($I$20,Spectra!$20:$20,0)),I58)</f>
        <v>3.75931925456993</v>
      </c>
      <c r="J59" s="236">
        <f>((Physics!$C$9*Physics!$C$10)/(Physics!$C$11*Physics!$C$12*$H59))^($J$17-$J$18)</f>
        <v>2.10484991823592e+18</v>
      </c>
      <c r="K59" s="236">
        <f t="shared" si="25"/>
        <v>1</v>
      </c>
      <c r="L59" s="236">
        <f ca="1">INDEX(Photobiology!$21:$421,1+$H59-380,10)</f>
        <v>0.0031178</v>
      </c>
      <c r="M59" s="236">
        <f ca="1" t="shared" si="26"/>
        <v>3.75931925456993</v>
      </c>
      <c r="N59" s="236">
        <f ca="1">INDEX(Photobiology!$21:$421,1+$H59-380,N$14)</f>
        <v>0.516530534782476</v>
      </c>
      <c r="O59" s="236">
        <f ca="1">INDEX(Photobiology!$21:$421,1+$H59-380,O$14)</f>
        <v>0.0489778819368446</v>
      </c>
      <c r="P59" s="236">
        <f ca="1">INDEX(Photobiology!$21:$421,1+$H59-380,P$14)</f>
        <v>0.041656617259031</v>
      </c>
      <c r="Q59" s="236">
        <f ca="1">INDEX(Photobiology!$21:$421,1+$H59-380,Q$14)</f>
        <v>0.091610235590258</v>
      </c>
      <c r="R59" s="236">
        <f ca="1">INDEX(Photobiology!$21:$421,1+$H59-380,R$14)</f>
        <v>0.110296568229556</v>
      </c>
      <c r="S59" s="236">
        <f ca="1" t="shared" si="27"/>
        <v>7.91280282560424e+18</v>
      </c>
      <c r="T59" s="236">
        <f ca="1">INDEX(Photobiology!$21:$421,1+$H59-380,T$14)</f>
        <v>0.543716352402606</v>
      </c>
      <c r="U59" s="236">
        <f ca="1">INDEX(Photobiology!$21:$421,1+$H59-380,U$14)</f>
        <v>0.0636281041576542</v>
      </c>
      <c r="V59" s="236">
        <f ca="1">INDEX(Photobiology!$21:$421,1+$H59-380,V$14)</f>
        <v>0.0567323504683119</v>
      </c>
      <c r="W59" s="236">
        <f ca="1">INDEX(Photobiology!$21:$421,1+$H59-380,W$14)</f>
        <v>0.111714984734036</v>
      </c>
      <c r="X59" s="236">
        <f ca="1">INDEX(Photobiology!$21:$421,1+$H59-380,X$14)</f>
        <v>0.128972369679762</v>
      </c>
      <c r="Y59" s="236">
        <f ca="1" t="shared" si="14"/>
        <v>3.75931925456993</v>
      </c>
      <c r="Z59" s="236">
        <f ca="1" t="shared" si="28"/>
        <v>1.94180318498107</v>
      </c>
      <c r="AA59" s="236">
        <f ca="1" t="shared" si="15"/>
        <v>0.184123494613233</v>
      </c>
      <c r="AB59" s="236">
        <f ca="1" t="shared" si="16"/>
        <v>0.156600523342125</v>
      </c>
      <c r="AC59" s="236">
        <f ca="1" t="shared" si="17"/>
        <v>0.344392122570144</v>
      </c>
      <c r="AD59" s="236">
        <f ca="1" t="shared" si="18"/>
        <v>0.414640012658356</v>
      </c>
      <c r="AE59" s="236"/>
      <c r="AF59" s="236"/>
      <c r="AG59" s="236"/>
      <c r="AH59" s="236">
        <f t="shared" si="29"/>
        <v>418</v>
      </c>
      <c r="AI59" s="236">
        <f>IF($AH59&gt;$AH58,INDEX(Spectra!59:59,1,MATCH($AI$20,Spectra!$20:$20,0)),AI58)</f>
        <v>1</v>
      </c>
      <c r="AJ59" s="236">
        <f>((Physics!$C$9*Physics!$C$10)/(Physics!$C$11*Physics!$C$12*$AH59))^($AJ$17-$AJ$18)</f>
        <v>2.10484991823592e+18</v>
      </c>
      <c r="AK59" s="236">
        <f t="shared" si="30"/>
        <v>1</v>
      </c>
      <c r="AL59" s="236">
        <f ca="1">INDEX(Photobiology!$21:$421,1+$AH59-380,10)</f>
        <v>0.0031178</v>
      </c>
      <c r="AM59" s="236">
        <f ca="1" t="shared" si="31"/>
        <v>13.3319879209511</v>
      </c>
      <c r="AN59" s="236">
        <f ca="1">INDEX(Photobiology!$21:$421,1+$AH59-380,AN$14)</f>
        <v>0.516530534782476</v>
      </c>
      <c r="AO59" s="236">
        <f ca="1">INDEX(Photobiology!$21:$421,1+$AH59-380,AO$14)</f>
        <v>0.0489778819368446</v>
      </c>
      <c r="AP59" s="236">
        <f ca="1">INDEX(Photobiology!$21:$421,1+$AH59-380,AP$14)</f>
        <v>0.041656617259031</v>
      </c>
      <c r="AQ59" s="236">
        <f ca="1">INDEX(Photobiology!$21:$421,1+$AH59-380,AQ$14)</f>
        <v>0.091610235590258</v>
      </c>
      <c r="AR59" s="236">
        <f ca="1">INDEX(Photobiology!$21:$421,1+$AH59-380,AR$14)</f>
        <v>0.110296568229556</v>
      </c>
      <c r="AS59" s="236">
        <f ca="1" t="shared" si="32"/>
        <v>2.80618336853363e+19</v>
      </c>
      <c r="AT59" s="236">
        <f ca="1">INDEX(Photobiology!$21:$421,1+$AH59-380,AT$14)</f>
        <v>0.543716352402606</v>
      </c>
      <c r="AU59" s="236">
        <f ca="1">INDEX(Photobiology!$21:$421,1+$AH59-380,AU$14)</f>
        <v>0.0636281041576542</v>
      </c>
      <c r="AV59" s="236">
        <f ca="1">INDEX(Photobiology!$21:$421,1+$AH59-380,AV$14)</f>
        <v>0.0567323504683119</v>
      </c>
      <c r="AW59" s="236">
        <f ca="1">INDEX(Photobiology!$21:$421,1+$AH59-380,AW$14)</f>
        <v>0.111714984734036</v>
      </c>
      <c r="AX59" s="236">
        <f ca="1">INDEX(Photobiology!$21:$421,1+$AH59-380,AX$14)</f>
        <v>0.128972369679762</v>
      </c>
      <c r="AY59" s="236">
        <f ca="1" t="shared" si="19"/>
        <v>13.3319879209511</v>
      </c>
      <c r="AZ59" s="236">
        <f ca="1" t="shared" si="33"/>
        <v>6.8863788505224</v>
      </c>
      <c r="BA59" s="236">
        <f ca="1" t="shared" si="20"/>
        <v>0.652972530375783</v>
      </c>
      <c r="BB59" s="236">
        <f ca="1" t="shared" si="21"/>
        <v>0.555365518125086</v>
      </c>
      <c r="BC59" s="236">
        <f ca="1" t="shared" si="22"/>
        <v>1.22134655432481</v>
      </c>
      <c r="BD59" s="236">
        <f ca="1" t="shared" si="23"/>
        <v>1.4704725153588</v>
      </c>
    </row>
    <row r="60" s="234" customFormat="1" ht="0.2" customHeight="1" spans="7:56">
      <c r="G60" s="236"/>
      <c r="H60" s="236">
        <f t="shared" si="24"/>
        <v>419</v>
      </c>
      <c r="I60" s="236">
        <f>IF($H60&gt;$H59,INDEX(Spectra!60:60,1,MATCH($I$20,Spectra!$20:$20,0)),I59)</f>
        <v>4.39852332385377</v>
      </c>
      <c r="J60" s="236">
        <f>((Physics!$C$9*Physics!$C$10)/(Physics!$C$11*Physics!$C$12*$H60))^($J$17-$J$18)</f>
        <v>2.1098854443561e+18</v>
      </c>
      <c r="K60" s="236">
        <f t="shared" si="25"/>
        <v>1</v>
      </c>
      <c r="L60" s="236">
        <f ca="1">INDEX(Photobiology!$21:$421,1+$H60-380,10)</f>
        <v>0.0035264</v>
      </c>
      <c r="M60" s="236">
        <f ca="1" t="shared" si="26"/>
        <v>4.39852332385377</v>
      </c>
      <c r="N60" s="236">
        <f ca="1">INDEX(Photobiology!$21:$421,1+$H60-380,N$14)</f>
        <v>0.562596466287411</v>
      </c>
      <c r="O60" s="236">
        <f ca="1">INDEX(Photobiology!$21:$421,1+$H60-380,O$14)</f>
        <v>0.0534520049556179</v>
      </c>
      <c r="P60" s="236">
        <f ca="1">INDEX(Photobiology!$21:$421,1+$H60-380,P$14)</f>
        <v>0.0449396825214832</v>
      </c>
      <c r="Q60" s="236">
        <f ca="1">INDEX(Photobiology!$21:$421,1+$H60-380,Q$14)</f>
        <v>0.101688303051729</v>
      </c>
      <c r="R60" s="236">
        <f ca="1">INDEX(Photobiology!$21:$421,1+$H60-380,R$14)</f>
        <v>0.123033675985574</v>
      </c>
      <c r="S60" s="236">
        <f ca="1" t="shared" si="27"/>
        <v>9.28038033765988e+18</v>
      </c>
      <c r="T60" s="236">
        <f ca="1">INDEX(Photobiology!$21:$421,1+$H60-380,T$14)</f>
        <v>0.590793425218284</v>
      </c>
      <c r="U60" s="236">
        <f ca="1">INDEX(Photobiology!$21:$421,1+$H60-380,U$14)</f>
        <v>0.0692747938612565</v>
      </c>
      <c r="V60" s="236">
        <f ca="1">INDEX(Photobiology!$21:$421,1+$H60-380,V$14)</f>
        <v>0.0610575025014078</v>
      </c>
      <c r="W60" s="236">
        <f ca="1">INDEX(Photobiology!$21:$421,1+$H60-380,W$14)</f>
        <v>0.123708827100966</v>
      </c>
      <c r="X60" s="236">
        <f ca="1">INDEX(Photobiology!$21:$421,1+$H60-380,X$14)</f>
        <v>0.143522813143983</v>
      </c>
      <c r="Y60" s="236">
        <f ca="1" t="shared" si="14"/>
        <v>4.39852332385377</v>
      </c>
      <c r="Z60" s="236">
        <f ca="1" t="shared" si="28"/>
        <v>2.47459367888289</v>
      </c>
      <c r="AA60" s="236">
        <f ca="1" t="shared" si="15"/>
        <v>0.235109890504033</v>
      </c>
      <c r="AB60" s="236">
        <f ca="1" t="shared" si="16"/>
        <v>0.197668241737327</v>
      </c>
      <c r="AC60" s="236">
        <f ca="1" t="shared" si="17"/>
        <v>0.447278372736141</v>
      </c>
      <c r="AD60" s="236">
        <f ca="1" t="shared" si="18"/>
        <v>0.541166493442015</v>
      </c>
      <c r="AE60" s="236"/>
      <c r="AF60" s="236"/>
      <c r="AG60" s="236"/>
      <c r="AH60" s="236">
        <f t="shared" si="29"/>
        <v>419</v>
      </c>
      <c r="AI60" s="236">
        <f>IF($AH60&gt;$AH59,INDEX(Spectra!60:60,1,MATCH($AI$20,Spectra!$20:$20,0)),AI59)</f>
        <v>1</v>
      </c>
      <c r="AJ60" s="236">
        <f>((Physics!$C$9*Physics!$C$10)/(Physics!$C$11*Physics!$C$12*$AH60))^($AJ$17-$AJ$18)</f>
        <v>2.1098854443561e+18</v>
      </c>
      <c r="AK60" s="236">
        <f t="shared" si="30"/>
        <v>1</v>
      </c>
      <c r="AL60" s="236">
        <f ca="1">INDEX(Photobiology!$21:$421,1+$AH60-380,10)</f>
        <v>0.0035264</v>
      </c>
      <c r="AM60" s="236">
        <f ca="1" t="shared" si="31"/>
        <v>13.3319879209511</v>
      </c>
      <c r="AN60" s="236">
        <f ca="1">INDEX(Photobiology!$21:$421,1+$AH60-380,AN$14)</f>
        <v>0.562596466287411</v>
      </c>
      <c r="AO60" s="236">
        <f ca="1">INDEX(Photobiology!$21:$421,1+$AH60-380,AO$14)</f>
        <v>0.0534520049556179</v>
      </c>
      <c r="AP60" s="236">
        <f ca="1">INDEX(Photobiology!$21:$421,1+$AH60-380,AP$14)</f>
        <v>0.0449396825214832</v>
      </c>
      <c r="AQ60" s="236">
        <f ca="1">INDEX(Photobiology!$21:$421,1+$AH60-380,AQ$14)</f>
        <v>0.101688303051729</v>
      </c>
      <c r="AR60" s="236">
        <f ca="1">INDEX(Photobiology!$21:$421,1+$AH60-380,AR$14)</f>
        <v>0.123033675985574</v>
      </c>
      <c r="AS60" s="236">
        <f ca="1" t="shared" si="32"/>
        <v>2.81289672587462e+19</v>
      </c>
      <c r="AT60" s="236">
        <f ca="1">INDEX(Photobiology!$21:$421,1+$AH60-380,AT$14)</f>
        <v>0.590793425218284</v>
      </c>
      <c r="AU60" s="236">
        <f ca="1">INDEX(Photobiology!$21:$421,1+$AH60-380,AU$14)</f>
        <v>0.0692747938612565</v>
      </c>
      <c r="AV60" s="236">
        <f ca="1">INDEX(Photobiology!$21:$421,1+$AH60-380,AV$14)</f>
        <v>0.0610575025014078</v>
      </c>
      <c r="AW60" s="236">
        <f ca="1">INDEX(Photobiology!$21:$421,1+$AH60-380,AW$14)</f>
        <v>0.123708827100966</v>
      </c>
      <c r="AX60" s="236">
        <f ca="1">INDEX(Photobiology!$21:$421,1+$AH60-380,AX$14)</f>
        <v>0.143522813143983</v>
      </c>
      <c r="AY60" s="236">
        <f ca="1" t="shared" si="19"/>
        <v>13.3319879209511</v>
      </c>
      <c r="AZ60" s="236">
        <f ca="1" t="shared" si="33"/>
        <v>7.50052929291356</v>
      </c>
      <c r="BA60" s="236">
        <f ca="1" t="shared" si="20"/>
        <v>0.712621484418918</v>
      </c>
      <c r="BB60" s="236">
        <f ca="1" t="shared" si="21"/>
        <v>0.599135304547793</v>
      </c>
      <c r="BC60" s="236">
        <f ca="1" t="shared" si="22"/>
        <v>1.35570722798767</v>
      </c>
      <c r="BD60" s="236">
        <f ca="1" t="shared" si="23"/>
        <v>1.64028348210989</v>
      </c>
    </row>
    <row r="61" s="234" customFormat="1" ht="0.2" customHeight="1" spans="7:56">
      <c r="G61" s="236"/>
      <c r="H61" s="236">
        <f t="shared" si="24"/>
        <v>420</v>
      </c>
      <c r="I61" s="236">
        <f>IF($H61&gt;$H60,INDEX(Spectra!61:61,1,MATCH($I$20,Spectra!$20:$20,0)),I60)</f>
        <v>5.08176733204877</v>
      </c>
      <c r="J61" s="236">
        <f>((Physics!$C$9*Physics!$C$10)/(Physics!$C$11*Physics!$C$12*$H61))^($J$17-$J$18)</f>
        <v>2.11492097047628e+18</v>
      </c>
      <c r="K61" s="236">
        <f t="shared" si="25"/>
        <v>1</v>
      </c>
      <c r="L61" s="236">
        <f ca="1">INDEX(Photobiology!$21:$421,1+$H61-380,10)</f>
        <v>0.004</v>
      </c>
      <c r="M61" s="236">
        <f ca="1" t="shared" si="26"/>
        <v>5.08176733204877</v>
      </c>
      <c r="N61" s="236">
        <f ca="1">INDEX(Photobiology!$21:$421,1+$H61-380,N$14)</f>
        <v>0.612436407087296</v>
      </c>
      <c r="O61" s="236">
        <f ca="1">INDEX(Photobiology!$21:$421,1+$H61-380,O$14)</f>
        <v>0.0583859028088898</v>
      </c>
      <c r="P61" s="236">
        <f ca="1">INDEX(Photobiology!$21:$421,1+$H61-380,P$14)</f>
        <v>0.0484962323752201</v>
      </c>
      <c r="Q61" s="236">
        <f ca="1">INDEX(Photobiology!$21:$421,1+$H61-380,Q$14)</f>
        <v>0.11291015406631</v>
      </c>
      <c r="R61" s="236">
        <f ca="1">INDEX(Photobiology!$21:$421,1+$H61-380,R$14)</f>
        <v>0.137237247803176</v>
      </c>
      <c r="S61" s="236">
        <f ca="1" t="shared" si="27"/>
        <v>1.07475362976312e+19</v>
      </c>
      <c r="T61" s="236">
        <f ca="1">INDEX(Photobiology!$21:$421,1+$H61-380,T$14)</f>
        <v>0.641600045520024</v>
      </c>
      <c r="U61" s="236">
        <f ca="1">INDEX(Photobiology!$21:$421,1+$H61-380,U$14)</f>
        <v>0.0754890525600234</v>
      </c>
      <c r="V61" s="236">
        <f ca="1">INDEX(Photobiology!$21:$421,1+$H61-380,V$14)</f>
        <v>0.0657327449537795</v>
      </c>
      <c r="W61" s="236">
        <f ca="1">INDEX(Photobiology!$21:$421,1+$H61-380,W$14)</f>
        <v>0.137033711915836</v>
      </c>
      <c r="X61" s="236">
        <f ca="1">INDEX(Photobiology!$21:$421,1+$H61-380,X$14)</f>
        <v>0.159710574101983</v>
      </c>
      <c r="Y61" s="236">
        <f ca="1" t="shared" si="14"/>
        <v>5.08176733204877</v>
      </c>
      <c r="Z61" s="236">
        <f ca="1" t="shared" si="28"/>
        <v>3.11225932649354</v>
      </c>
      <c r="AA61" s="236">
        <f ca="1" t="shared" si="15"/>
        <v>0.296703573546391</v>
      </c>
      <c r="AB61" s="236">
        <f ca="1" t="shared" si="16"/>
        <v>0.246446569411839</v>
      </c>
      <c r="AC61" s="236">
        <f ca="1" t="shared" si="17"/>
        <v>0.573783132390768</v>
      </c>
      <c r="AD61" s="236">
        <f ca="1" t="shared" si="18"/>
        <v>0.697407762626462</v>
      </c>
      <c r="AE61" s="236"/>
      <c r="AF61" s="236"/>
      <c r="AG61" s="236"/>
      <c r="AH61" s="236">
        <f t="shared" si="29"/>
        <v>420</v>
      </c>
      <c r="AI61" s="236">
        <f>IF($AH61&gt;$AH60,INDEX(Spectra!61:61,1,MATCH($AI$20,Spectra!$20:$20,0)),AI60)</f>
        <v>1</v>
      </c>
      <c r="AJ61" s="236">
        <f>((Physics!$C$9*Physics!$C$10)/(Physics!$C$11*Physics!$C$12*$AH61))^($AJ$17-$AJ$18)</f>
        <v>2.11492097047628e+18</v>
      </c>
      <c r="AK61" s="236">
        <f t="shared" si="30"/>
        <v>1</v>
      </c>
      <c r="AL61" s="236">
        <f ca="1">INDEX(Photobiology!$21:$421,1+$AH61-380,10)</f>
        <v>0.004</v>
      </c>
      <c r="AM61" s="236">
        <f ca="1" t="shared" si="31"/>
        <v>13.3319879209511</v>
      </c>
      <c r="AN61" s="236">
        <f ca="1">INDEX(Photobiology!$21:$421,1+$AH61-380,AN$14)</f>
        <v>0.612436407087296</v>
      </c>
      <c r="AO61" s="236">
        <f ca="1">INDEX(Photobiology!$21:$421,1+$AH61-380,AO$14)</f>
        <v>0.0583859028088898</v>
      </c>
      <c r="AP61" s="236">
        <f ca="1">INDEX(Photobiology!$21:$421,1+$AH61-380,AP$14)</f>
        <v>0.0484962323752201</v>
      </c>
      <c r="AQ61" s="236">
        <f ca="1">INDEX(Photobiology!$21:$421,1+$AH61-380,AQ$14)</f>
        <v>0.11291015406631</v>
      </c>
      <c r="AR61" s="236">
        <f ca="1">INDEX(Photobiology!$21:$421,1+$AH61-380,AR$14)</f>
        <v>0.137237247803176</v>
      </c>
      <c r="AS61" s="236">
        <f ca="1" t="shared" si="32"/>
        <v>2.8196100832156e+19</v>
      </c>
      <c r="AT61" s="236">
        <f ca="1">INDEX(Photobiology!$21:$421,1+$AH61-380,AT$14)</f>
        <v>0.641600045520024</v>
      </c>
      <c r="AU61" s="236">
        <f ca="1">INDEX(Photobiology!$21:$421,1+$AH61-380,AU$14)</f>
        <v>0.0754890525600234</v>
      </c>
      <c r="AV61" s="236">
        <f ca="1">INDEX(Photobiology!$21:$421,1+$AH61-380,AV$14)</f>
        <v>0.0657327449537795</v>
      </c>
      <c r="AW61" s="236">
        <f ca="1">INDEX(Photobiology!$21:$421,1+$AH61-380,AW$14)</f>
        <v>0.137033711915836</v>
      </c>
      <c r="AX61" s="236">
        <f ca="1">INDEX(Photobiology!$21:$421,1+$AH61-380,AX$14)</f>
        <v>0.159710574101983</v>
      </c>
      <c r="AY61" s="236">
        <f ca="1" t="shared" si="19"/>
        <v>13.3319879209511</v>
      </c>
      <c r="AZ61" s="236">
        <f ca="1" t="shared" si="33"/>
        <v>8.16499478163855</v>
      </c>
      <c r="BA61" s="236">
        <f ca="1" t="shared" si="20"/>
        <v>0.778400151001946</v>
      </c>
      <c r="BB61" s="236">
        <f ca="1" t="shared" si="21"/>
        <v>0.646551184238074</v>
      </c>
      <c r="BC61" s="236">
        <f ca="1" t="shared" si="22"/>
        <v>1.50531681016478</v>
      </c>
      <c r="BD61" s="236">
        <f ca="1" t="shared" si="23"/>
        <v>1.82964533001652</v>
      </c>
    </row>
    <row r="62" s="234" customFormat="1" ht="0.2" customHeight="1" spans="7:56">
      <c r="G62" s="236"/>
      <c r="H62" s="236">
        <f t="shared" si="24"/>
        <v>421</v>
      </c>
      <c r="I62" s="236">
        <f>IF($H62&gt;$H61,INDEX(Spectra!62:62,1,MATCH($I$20,Spectra!$20:$20,0)),I61)</f>
        <v>5.77052241072665</v>
      </c>
      <c r="J62" s="236">
        <f>((Physics!$C$9*Physics!$C$10)/(Physics!$C$11*Physics!$C$12*$H62))^($J$17-$J$18)</f>
        <v>2.11995649659646e+18</v>
      </c>
      <c r="K62" s="236">
        <f t="shared" si="25"/>
        <v>1</v>
      </c>
      <c r="L62" s="236">
        <f ca="1">INDEX(Photobiology!$21:$421,1+$H62-380,10)</f>
        <v>0.00454624</v>
      </c>
      <c r="M62" s="236">
        <f ca="1" t="shared" si="26"/>
        <v>5.77052241072665</v>
      </c>
      <c r="N62" s="236">
        <f ca="1">INDEX(Photobiology!$21:$421,1+$H62-380,N$14)</f>
        <v>0.635745068469121</v>
      </c>
      <c r="O62" s="236">
        <f ca="1">INDEX(Photobiology!$21:$421,1+$H62-380,O$14)</f>
        <v>0.0609027635761887</v>
      </c>
      <c r="P62" s="236">
        <f ca="1">INDEX(Photobiology!$21:$421,1+$H62-380,P$14)</f>
        <v>0.0499497133209841</v>
      </c>
      <c r="Q62" s="236">
        <f ca="1">INDEX(Photobiology!$21:$421,1+$H62-380,Q$14)</f>
        <v>0.119648979825828</v>
      </c>
      <c r="R62" s="236">
        <f ca="1">INDEX(Photobiology!$21:$421,1+$H62-380,R$14)</f>
        <v>0.146047457210038</v>
      </c>
      <c r="S62" s="236">
        <f ca="1" t="shared" si="27"/>
        <v>1.22332564733754e+19</v>
      </c>
      <c r="T62" s="236">
        <f ca="1">INDEX(Photobiology!$21:$421,1+$H62-380,T$14)</f>
        <v>0.664436651131623</v>
      </c>
      <c r="U62" s="236">
        <f ca="1">INDEX(Photobiology!$21:$421,1+$H62-380,U$14)</f>
        <v>0.078556146118077</v>
      </c>
      <c r="V62" s="236">
        <f ca="1">INDEX(Photobiology!$21:$421,1+$H62-380,V$14)</f>
        <v>0.0675420072448872</v>
      </c>
      <c r="W62" s="236">
        <f ca="1">INDEX(Photobiology!$21:$421,1+$H62-380,W$14)</f>
        <v>0.14486738356688</v>
      </c>
      <c r="X62" s="236">
        <f ca="1">INDEX(Photobiology!$21:$421,1+$H62-380,X$14)</f>
        <v>0.169559788187127</v>
      </c>
      <c r="Y62" s="236">
        <f ca="1" t="shared" si="14"/>
        <v>5.77052241072665</v>
      </c>
      <c r="Z62" s="236">
        <f ca="1" t="shared" si="28"/>
        <v>3.66858116511001</v>
      </c>
      <c r="AA62" s="236">
        <f ca="1" t="shared" si="15"/>
        <v>0.351440762091584</v>
      </c>
      <c r="AB62" s="236">
        <f ca="1" t="shared" si="16"/>
        <v>0.28823594012811</v>
      </c>
      <c r="AC62" s="236">
        <f ca="1" t="shared" si="17"/>
        <v>0.690437119505521</v>
      </c>
      <c r="AD62" s="236">
        <f ca="1" t="shared" si="18"/>
        <v>0.842770124860166</v>
      </c>
      <c r="AE62" s="236"/>
      <c r="AF62" s="236"/>
      <c r="AG62" s="236"/>
      <c r="AH62" s="236">
        <f t="shared" si="29"/>
        <v>421</v>
      </c>
      <c r="AI62" s="236">
        <f>IF($AH62&gt;$AH61,INDEX(Spectra!62:62,1,MATCH($AI$20,Spectra!$20:$20,0)),AI61)</f>
        <v>1</v>
      </c>
      <c r="AJ62" s="236">
        <f>((Physics!$C$9*Physics!$C$10)/(Physics!$C$11*Physics!$C$12*$AH62))^($AJ$17-$AJ$18)</f>
        <v>2.11995649659646e+18</v>
      </c>
      <c r="AK62" s="236">
        <f t="shared" si="30"/>
        <v>1</v>
      </c>
      <c r="AL62" s="236">
        <f ca="1">INDEX(Photobiology!$21:$421,1+$AH62-380,10)</f>
        <v>0.00454624</v>
      </c>
      <c r="AM62" s="236">
        <f ca="1" t="shared" si="31"/>
        <v>13.3319879209511</v>
      </c>
      <c r="AN62" s="236">
        <f ca="1">INDEX(Photobiology!$21:$421,1+$AH62-380,AN$14)</f>
        <v>0.635745068469121</v>
      </c>
      <c r="AO62" s="236">
        <f ca="1">INDEX(Photobiology!$21:$421,1+$AH62-380,AO$14)</f>
        <v>0.0609027635761887</v>
      </c>
      <c r="AP62" s="236">
        <f ca="1">INDEX(Photobiology!$21:$421,1+$AH62-380,AP$14)</f>
        <v>0.0499497133209841</v>
      </c>
      <c r="AQ62" s="236">
        <f ca="1">INDEX(Photobiology!$21:$421,1+$AH62-380,AQ$14)</f>
        <v>0.119648979825828</v>
      </c>
      <c r="AR62" s="236">
        <f ca="1">INDEX(Photobiology!$21:$421,1+$AH62-380,AR$14)</f>
        <v>0.146047457210038</v>
      </c>
      <c r="AS62" s="236">
        <f ca="1" t="shared" si="32"/>
        <v>2.82632344055659e+19</v>
      </c>
      <c r="AT62" s="236">
        <f ca="1">INDEX(Photobiology!$21:$421,1+$AH62-380,AT$14)</f>
        <v>0.664436651131623</v>
      </c>
      <c r="AU62" s="236">
        <f ca="1">INDEX(Photobiology!$21:$421,1+$AH62-380,AU$14)</f>
        <v>0.078556146118077</v>
      </c>
      <c r="AV62" s="236">
        <f ca="1">INDEX(Photobiology!$21:$421,1+$AH62-380,AV$14)</f>
        <v>0.0675420072448872</v>
      </c>
      <c r="AW62" s="236">
        <f ca="1">INDEX(Photobiology!$21:$421,1+$AH62-380,AW$14)</f>
        <v>0.14486738356688</v>
      </c>
      <c r="AX62" s="236">
        <f ca="1">INDEX(Photobiology!$21:$421,1+$AH62-380,AX$14)</f>
        <v>0.169559788187127</v>
      </c>
      <c r="AY62" s="236">
        <f ca="1" t="shared" si="19"/>
        <v>13.3319879209511</v>
      </c>
      <c r="AZ62" s="236">
        <f ca="1" t="shared" si="33"/>
        <v>8.47574557363458</v>
      </c>
      <c r="BA62" s="236">
        <f ca="1" t="shared" si="20"/>
        <v>0.811954908350291</v>
      </c>
      <c r="BB62" s="236">
        <f ca="1" t="shared" si="21"/>
        <v>0.665928974650332</v>
      </c>
      <c r="BC62" s="236">
        <f ca="1" t="shared" si="22"/>
        <v>1.59515875379207</v>
      </c>
      <c r="BD62" s="236">
        <f ca="1" t="shared" si="23"/>
        <v>1.94710293540986</v>
      </c>
    </row>
    <row r="63" s="234" customFormat="1" ht="0.2" customHeight="1" spans="7:56">
      <c r="G63" s="236"/>
      <c r="H63" s="236">
        <f t="shared" si="24"/>
        <v>422</v>
      </c>
      <c r="I63" s="236">
        <f>IF($H63&gt;$H62,INDEX(Spectra!63:63,1,MATCH($I$20,Spectra!$20:$20,0)),I62)</f>
        <v>6.56781111468074</v>
      </c>
      <c r="J63" s="236">
        <f>((Physics!$C$9*Physics!$C$10)/(Physics!$C$11*Physics!$C$12*$H63))^($J$17-$J$18)</f>
        <v>2.12499202271664e+18</v>
      </c>
      <c r="K63" s="236">
        <f t="shared" si="25"/>
        <v>1</v>
      </c>
      <c r="L63" s="236">
        <f ca="1">INDEX(Photobiology!$21:$421,1+$H63-380,10)</f>
        <v>0.00515932</v>
      </c>
      <c r="M63" s="236">
        <f ca="1" t="shared" si="26"/>
        <v>6.56781111468074</v>
      </c>
      <c r="N63" s="236">
        <f ca="1">INDEX(Photobiology!$21:$421,1+$H63-380,N$14)</f>
        <v>0.659565605011815</v>
      </c>
      <c r="O63" s="236">
        <f ca="1">INDEX(Photobiology!$21:$421,1+$H63-380,O$14)</f>
        <v>0.0635851939020321</v>
      </c>
      <c r="P63" s="236">
        <f ca="1">INDEX(Photobiology!$21:$421,1+$H63-380,P$14)</f>
        <v>0.0514663062568404</v>
      </c>
      <c r="Q63" s="236">
        <f ca="1">INDEX(Photobiology!$21:$421,1+$H63-380,Q$14)</f>
        <v>0.126818321267063</v>
      </c>
      <c r="R63" s="236">
        <f ca="1">INDEX(Photobiology!$21:$421,1+$H63-380,R$14)</f>
        <v>0.155408582782515</v>
      </c>
      <c r="S63" s="236">
        <f ca="1" t="shared" si="27"/>
        <v>1.39565462254063e+19</v>
      </c>
      <c r="T63" s="236">
        <f ca="1">INDEX(Photobiology!$21:$421,1+$H63-380,T$14)</f>
        <v>0.687698735083409</v>
      </c>
      <c r="U63" s="236">
        <f ca="1">INDEX(Photobiology!$21:$421,1+$H63-380,U$14)</f>
        <v>0.0818217594599957</v>
      </c>
      <c r="V63" s="236">
        <f ca="1">INDEX(Photobiology!$21:$421,1+$H63-380,V$14)</f>
        <v>0.0694278326447966</v>
      </c>
      <c r="W63" s="236">
        <f ca="1">INDEX(Photobiology!$21:$421,1+$H63-380,W$14)</f>
        <v>0.153183949039277</v>
      </c>
      <c r="X63" s="236">
        <f ca="1">INDEX(Photobiology!$21:$421,1+$H63-380,X$14)</f>
        <v>0.180000416600152</v>
      </c>
      <c r="Y63" s="236">
        <f ca="1" t="shared" si="14"/>
        <v>6.56781111468074</v>
      </c>
      <c r="Z63" s="236">
        <f ca="1" t="shared" si="28"/>
        <v>4.33190231145773</v>
      </c>
      <c r="AA63" s="236">
        <f ca="1" t="shared" si="15"/>
        <v>0.417615543238896</v>
      </c>
      <c r="AB63" s="236">
        <f ca="1" t="shared" si="16"/>
        <v>0.338020978265239</v>
      </c>
      <c r="AC63" s="236">
        <f ca="1" t="shared" si="17"/>
        <v>0.832918779962969</v>
      </c>
      <c r="AD63" s="236">
        <f ca="1" t="shared" si="18"/>
        <v>1.02069421731578</v>
      </c>
      <c r="AE63" s="236"/>
      <c r="AF63" s="236"/>
      <c r="AG63" s="236"/>
      <c r="AH63" s="236">
        <f t="shared" si="29"/>
        <v>422</v>
      </c>
      <c r="AI63" s="236">
        <f>IF($AH63&gt;$AH62,INDEX(Spectra!63:63,1,MATCH($AI$20,Spectra!$20:$20,0)),AI62)</f>
        <v>1</v>
      </c>
      <c r="AJ63" s="236">
        <f>((Physics!$C$9*Physics!$C$10)/(Physics!$C$11*Physics!$C$12*$AH63))^($AJ$17-$AJ$18)</f>
        <v>2.12499202271664e+18</v>
      </c>
      <c r="AK63" s="236">
        <f t="shared" si="30"/>
        <v>1</v>
      </c>
      <c r="AL63" s="236">
        <f ca="1">INDEX(Photobiology!$21:$421,1+$AH63-380,10)</f>
        <v>0.00515932</v>
      </c>
      <c r="AM63" s="236">
        <f ca="1" t="shared" si="31"/>
        <v>13.3319879209511</v>
      </c>
      <c r="AN63" s="236">
        <f ca="1">INDEX(Photobiology!$21:$421,1+$AH63-380,AN$14)</f>
        <v>0.659565605011815</v>
      </c>
      <c r="AO63" s="236">
        <f ca="1">INDEX(Photobiology!$21:$421,1+$AH63-380,AO$14)</f>
        <v>0.0635851939020321</v>
      </c>
      <c r="AP63" s="236">
        <f ca="1">INDEX(Photobiology!$21:$421,1+$AH63-380,AP$14)</f>
        <v>0.0514663062568404</v>
      </c>
      <c r="AQ63" s="236">
        <f ca="1">INDEX(Photobiology!$21:$421,1+$AH63-380,AQ$14)</f>
        <v>0.126818321267063</v>
      </c>
      <c r="AR63" s="236">
        <f ca="1">INDEX(Photobiology!$21:$421,1+$AH63-380,AR$14)</f>
        <v>0.155408582782515</v>
      </c>
      <c r="AS63" s="236">
        <f ca="1" t="shared" si="32"/>
        <v>2.83303679789758e+19</v>
      </c>
      <c r="AT63" s="236">
        <f ca="1">INDEX(Photobiology!$21:$421,1+$AH63-380,AT$14)</f>
        <v>0.687698735083409</v>
      </c>
      <c r="AU63" s="236">
        <f ca="1">INDEX(Photobiology!$21:$421,1+$AH63-380,AU$14)</f>
        <v>0.0818217594599957</v>
      </c>
      <c r="AV63" s="236">
        <f ca="1">INDEX(Photobiology!$21:$421,1+$AH63-380,AV$14)</f>
        <v>0.0694278326447966</v>
      </c>
      <c r="AW63" s="236">
        <f ca="1">INDEX(Photobiology!$21:$421,1+$AH63-380,AW$14)</f>
        <v>0.153183949039277</v>
      </c>
      <c r="AX63" s="236">
        <f ca="1">INDEX(Photobiology!$21:$421,1+$AH63-380,AX$14)</f>
        <v>0.180000416600152</v>
      </c>
      <c r="AY63" s="236">
        <f ca="1" t="shared" si="19"/>
        <v>13.3319879209511</v>
      </c>
      <c r="AZ63" s="236">
        <f ca="1" t="shared" si="33"/>
        <v>8.79332067909235</v>
      </c>
      <c r="BA63" s="236">
        <f ca="1" t="shared" si="20"/>
        <v>0.847717037053228</v>
      </c>
      <c r="BB63" s="236">
        <f ca="1" t="shared" si="21"/>
        <v>0.686148173352168</v>
      </c>
      <c r="BC63" s="236">
        <f ca="1" t="shared" si="22"/>
        <v>1.69074032728779</v>
      </c>
      <c r="BD63" s="236">
        <f ca="1" t="shared" si="23"/>
        <v>2.07190534846863</v>
      </c>
    </row>
    <row r="64" s="234" customFormat="1" ht="0.2" customHeight="1" spans="7:56">
      <c r="G64" s="236"/>
      <c r="H64" s="236">
        <f t="shared" si="24"/>
        <v>423</v>
      </c>
      <c r="I64" s="236">
        <f>IF($H64&gt;$H63,INDEX(Spectra!64:64,1,MATCH($I$20,Spectra!$20:$20,0)),I63)</f>
        <v>7.37783506860311</v>
      </c>
      <c r="J64" s="236">
        <f>((Physics!$C$9*Physics!$C$10)/(Physics!$C$11*Physics!$C$12*$H64))^($J$17-$J$18)</f>
        <v>2.13002754883683e+18</v>
      </c>
      <c r="K64" s="236">
        <f t="shared" si="25"/>
        <v>1</v>
      </c>
      <c r="L64" s="236">
        <f ca="1">INDEX(Photobiology!$21:$421,1+$H64-380,10)</f>
        <v>0.00582928</v>
      </c>
      <c r="M64" s="236">
        <f ca="1" t="shared" si="26"/>
        <v>7.37783506860311</v>
      </c>
      <c r="N64" s="236">
        <f ca="1">INDEX(Photobiology!$21:$421,1+$H64-380,N$14)</f>
        <v>0.683880152711345</v>
      </c>
      <c r="O64" s="236">
        <f ca="1">INDEX(Photobiology!$21:$421,1+$H64-380,O$14)</f>
        <v>0.0664457182005847</v>
      </c>
      <c r="P64" s="236">
        <f ca="1">INDEX(Photobiology!$21:$421,1+$H64-380,P$14)</f>
        <v>0.0530506854932399</v>
      </c>
      <c r="Q64" s="236">
        <f ca="1">INDEX(Photobiology!$21:$421,1+$H64-380,Q$14)</f>
        <v>0.134441391849601</v>
      </c>
      <c r="R64" s="236">
        <f ca="1">INDEX(Photobiology!$21:$421,1+$H64-380,R$14)</f>
        <v>0.165350304871892</v>
      </c>
      <c r="S64" s="236">
        <f ca="1" t="shared" si="27"/>
        <v>1.57149919468991e+19</v>
      </c>
      <c r="T64" s="236">
        <f ca="1">INDEX(Photobiology!$21:$421,1+$H64-380,T$14)</f>
        <v>0.711364697855772</v>
      </c>
      <c r="U64" s="236">
        <f ca="1">INDEX(Photobiology!$21:$421,1+$H64-380,U$14)</f>
        <v>0.0853005630251516</v>
      </c>
      <c r="V64" s="236">
        <f ca="1">INDEX(Photobiology!$21:$421,1+$H64-380,V$14)</f>
        <v>0.0713959688711377</v>
      </c>
      <c r="W64" s="236">
        <f ca="1">INDEX(Photobiology!$21:$421,1+$H64-380,W$14)</f>
        <v>0.162007956822701</v>
      </c>
      <c r="X64" s="236">
        <f ca="1">INDEX(Photobiology!$21:$421,1+$H64-380,X$14)</f>
        <v>0.191062560609969</v>
      </c>
      <c r="Y64" s="236">
        <f ca="1" t="shared" si="14"/>
        <v>7.37783506860311</v>
      </c>
      <c r="Z64" s="236">
        <f ca="1" t="shared" si="28"/>
        <v>5.04555497339541</v>
      </c>
      <c r="AA64" s="236">
        <f ca="1" t="shared" si="15"/>
        <v>0.490225549898794</v>
      </c>
      <c r="AB64" s="236">
        <f ca="1" t="shared" si="16"/>
        <v>0.39139920784546</v>
      </c>
      <c r="AC64" s="236">
        <f ca="1" t="shared" si="17"/>
        <v>0.991886415459798</v>
      </c>
      <c r="AD64" s="236">
        <f ca="1" t="shared" si="18"/>
        <v>1.21992727788806</v>
      </c>
      <c r="AE64" s="236"/>
      <c r="AF64" s="236"/>
      <c r="AG64" s="236"/>
      <c r="AH64" s="236">
        <f t="shared" si="29"/>
        <v>423</v>
      </c>
      <c r="AI64" s="236">
        <f>IF($AH64&gt;$AH63,INDEX(Spectra!64:64,1,MATCH($AI$20,Spectra!$20:$20,0)),AI63)</f>
        <v>1</v>
      </c>
      <c r="AJ64" s="236">
        <f>((Physics!$C$9*Physics!$C$10)/(Physics!$C$11*Physics!$C$12*$AH64))^($AJ$17-$AJ$18)</f>
        <v>2.13002754883683e+18</v>
      </c>
      <c r="AK64" s="236">
        <f t="shared" si="30"/>
        <v>1</v>
      </c>
      <c r="AL64" s="236">
        <f ca="1">INDEX(Photobiology!$21:$421,1+$AH64-380,10)</f>
        <v>0.00582928</v>
      </c>
      <c r="AM64" s="236">
        <f ca="1" t="shared" si="31"/>
        <v>13.3319879209511</v>
      </c>
      <c r="AN64" s="236">
        <f ca="1">INDEX(Photobiology!$21:$421,1+$AH64-380,AN$14)</f>
        <v>0.683880152711345</v>
      </c>
      <c r="AO64" s="236">
        <f ca="1">INDEX(Photobiology!$21:$421,1+$AH64-380,AO$14)</f>
        <v>0.0664457182005847</v>
      </c>
      <c r="AP64" s="236">
        <f ca="1">INDEX(Photobiology!$21:$421,1+$AH64-380,AP$14)</f>
        <v>0.0530506854932399</v>
      </c>
      <c r="AQ64" s="236">
        <f ca="1">INDEX(Photobiology!$21:$421,1+$AH64-380,AQ$14)</f>
        <v>0.134441391849601</v>
      </c>
      <c r="AR64" s="236">
        <f ca="1">INDEX(Photobiology!$21:$421,1+$AH64-380,AR$14)</f>
        <v>0.165350304871892</v>
      </c>
      <c r="AS64" s="236">
        <f ca="1" t="shared" si="32"/>
        <v>2.83975015523857e+19</v>
      </c>
      <c r="AT64" s="236">
        <f ca="1">INDEX(Photobiology!$21:$421,1+$AH64-380,AT$14)</f>
        <v>0.711364697855772</v>
      </c>
      <c r="AU64" s="236">
        <f ca="1">INDEX(Photobiology!$21:$421,1+$AH64-380,AU$14)</f>
        <v>0.0853005630251516</v>
      </c>
      <c r="AV64" s="236">
        <f ca="1">INDEX(Photobiology!$21:$421,1+$AH64-380,AV$14)</f>
        <v>0.0713959688711377</v>
      </c>
      <c r="AW64" s="236">
        <f ca="1">INDEX(Photobiology!$21:$421,1+$AH64-380,AW$14)</f>
        <v>0.162007956822701</v>
      </c>
      <c r="AX64" s="236">
        <f ca="1">INDEX(Photobiology!$21:$421,1+$AH64-380,AX$14)</f>
        <v>0.191062560609969</v>
      </c>
      <c r="AY64" s="236">
        <f ca="1" t="shared" si="19"/>
        <v>13.3319879209511</v>
      </c>
      <c r="AZ64" s="236">
        <f ca="1" t="shared" si="33"/>
        <v>9.11748193532587</v>
      </c>
      <c r="BA64" s="236">
        <f ca="1" t="shared" si="20"/>
        <v>0.885853512449119</v>
      </c>
      <c r="BB64" s="236">
        <f ca="1" t="shared" si="21"/>
        <v>0.707271098194052</v>
      </c>
      <c r="BC64" s="236">
        <f ca="1" t="shared" si="22"/>
        <v>1.79237101221474</v>
      </c>
      <c r="BD64" s="236">
        <f ca="1" t="shared" si="23"/>
        <v>2.20444826727765</v>
      </c>
    </row>
    <row r="65" s="234" customFormat="1" ht="0.2" customHeight="1" spans="7:56">
      <c r="G65" s="236"/>
      <c r="H65" s="236">
        <f t="shared" si="24"/>
        <v>424</v>
      </c>
      <c r="I65" s="236">
        <f>IF($H65&gt;$H64,INDEX(Spectra!65:65,1,MATCH($I$20,Spectra!$20:$20,0)),I64)</f>
        <v>8.1518074541019</v>
      </c>
      <c r="J65" s="236">
        <f>((Physics!$C$9*Physics!$C$10)/(Physics!$C$11*Physics!$C$12*$H65))^($J$17-$J$18)</f>
        <v>2.13506307495701e+18</v>
      </c>
      <c r="K65" s="236">
        <f t="shared" si="25"/>
        <v>1</v>
      </c>
      <c r="L65" s="236">
        <f ca="1">INDEX(Photobiology!$21:$421,1+$H65-380,10)</f>
        <v>0.00654616</v>
      </c>
      <c r="M65" s="236">
        <f ca="1" t="shared" si="26"/>
        <v>8.1518074541019</v>
      </c>
      <c r="N65" s="236">
        <f ca="1">INDEX(Photobiology!$21:$421,1+$H65-380,N$14)</f>
        <v>0.708666657744801</v>
      </c>
      <c r="O65" s="236">
        <f ca="1">INDEX(Photobiology!$21:$421,1+$H65-380,O$14)</f>
        <v>0.0694979509159543</v>
      </c>
      <c r="P65" s="236">
        <f ca="1">INDEX(Photobiology!$21:$421,1+$H65-380,P$14)</f>
        <v>0.0547085242574842</v>
      </c>
      <c r="Q65" s="236">
        <f ca="1">INDEX(Photobiology!$21:$421,1+$H65-380,Q$14)</f>
        <v>0.142543362732951</v>
      </c>
      <c r="R65" s="236">
        <f ca="1">INDEX(Photobiology!$21:$421,1+$H65-380,R$14)</f>
        <v>0.175902495189701</v>
      </c>
      <c r="S65" s="236">
        <f ca="1" t="shared" si="27"/>
        <v>1.74046230894123e+19</v>
      </c>
      <c r="T65" s="236">
        <f ca="1">INDEX(Photobiology!$21:$421,1+$H65-380,T$14)</f>
        <v>0.735408795772907</v>
      </c>
      <c r="U65" s="236">
        <f ca="1">INDEX(Photobiology!$21:$421,1+$H65-380,U$14)</f>
        <v>0.0890084848924641</v>
      </c>
      <c r="V65" s="236">
        <f ca="1">INDEX(Photobiology!$21:$421,1+$H65-380,V$14)</f>
        <v>0.0734534505961619</v>
      </c>
      <c r="W65" s="236">
        <f ca="1">INDEX(Photobiology!$21:$421,1+$H65-380,W$14)</f>
        <v>0.171366077370282</v>
      </c>
      <c r="X65" s="236">
        <f ca="1">INDEX(Photobiology!$21:$421,1+$H65-380,X$14)</f>
        <v>0.202776258106845</v>
      </c>
      <c r="Y65" s="236">
        <f ca="1" t="shared" si="14"/>
        <v>8.1518074541019</v>
      </c>
      <c r="Z65" s="236">
        <f ca="1" t="shared" si="28"/>
        <v>5.77691414307755</v>
      </c>
      <c r="AA65" s="236">
        <f ca="1" t="shared" si="15"/>
        <v>0.566533914321484</v>
      </c>
      <c r="AB65" s="236">
        <f ca="1" t="shared" si="16"/>
        <v>0.445973355845074</v>
      </c>
      <c r="AC65" s="236">
        <f ca="1" t="shared" si="17"/>
        <v>1.16198604685922</v>
      </c>
      <c r="AD65" s="236">
        <f ca="1" t="shared" si="18"/>
        <v>1.43392327148253</v>
      </c>
      <c r="AE65" s="236"/>
      <c r="AF65" s="236"/>
      <c r="AG65" s="236"/>
      <c r="AH65" s="236">
        <f t="shared" si="29"/>
        <v>424</v>
      </c>
      <c r="AI65" s="236">
        <f>IF($AH65&gt;$AH64,INDEX(Spectra!65:65,1,MATCH($AI$20,Spectra!$20:$20,0)),AI64)</f>
        <v>1</v>
      </c>
      <c r="AJ65" s="236">
        <f>((Physics!$C$9*Physics!$C$10)/(Physics!$C$11*Physics!$C$12*$AH65))^($AJ$17-$AJ$18)</f>
        <v>2.13506307495701e+18</v>
      </c>
      <c r="AK65" s="236">
        <f t="shared" si="30"/>
        <v>1</v>
      </c>
      <c r="AL65" s="236">
        <f ca="1">INDEX(Photobiology!$21:$421,1+$AH65-380,10)</f>
        <v>0.00654616</v>
      </c>
      <c r="AM65" s="236">
        <f ca="1" t="shared" si="31"/>
        <v>13.3319879209511</v>
      </c>
      <c r="AN65" s="236">
        <f ca="1">INDEX(Photobiology!$21:$421,1+$AH65-380,AN$14)</f>
        <v>0.708666657744801</v>
      </c>
      <c r="AO65" s="236">
        <f ca="1">INDEX(Photobiology!$21:$421,1+$AH65-380,AO$14)</f>
        <v>0.0694979509159543</v>
      </c>
      <c r="AP65" s="236">
        <f ca="1">INDEX(Photobiology!$21:$421,1+$AH65-380,AP$14)</f>
        <v>0.0547085242574842</v>
      </c>
      <c r="AQ65" s="236">
        <f ca="1">INDEX(Photobiology!$21:$421,1+$AH65-380,AQ$14)</f>
        <v>0.142543362732951</v>
      </c>
      <c r="AR65" s="236">
        <f ca="1">INDEX(Photobiology!$21:$421,1+$AH65-380,AR$14)</f>
        <v>0.175902495189701</v>
      </c>
      <c r="AS65" s="236">
        <f ca="1" t="shared" si="32"/>
        <v>2.84646351257956e+19</v>
      </c>
      <c r="AT65" s="236">
        <f ca="1">INDEX(Photobiology!$21:$421,1+$AH65-380,AT$14)</f>
        <v>0.735408795772907</v>
      </c>
      <c r="AU65" s="236">
        <f ca="1">INDEX(Photobiology!$21:$421,1+$AH65-380,AU$14)</f>
        <v>0.0890084848924641</v>
      </c>
      <c r="AV65" s="236">
        <f ca="1">INDEX(Photobiology!$21:$421,1+$AH65-380,AV$14)</f>
        <v>0.0734534505961619</v>
      </c>
      <c r="AW65" s="236">
        <f ca="1">INDEX(Photobiology!$21:$421,1+$AH65-380,AW$14)</f>
        <v>0.171366077370282</v>
      </c>
      <c r="AX65" s="236">
        <f ca="1">INDEX(Photobiology!$21:$421,1+$AH65-380,AX$14)</f>
        <v>0.202776258106845</v>
      </c>
      <c r="AY65" s="236">
        <f ca="1" t="shared" si="19"/>
        <v>13.3319879209511</v>
      </c>
      <c r="AZ65" s="236">
        <f ca="1" t="shared" si="33"/>
        <v>9.4479353210345</v>
      </c>
      <c r="BA65" s="236">
        <f ca="1" t="shared" si="20"/>
        <v>0.926545842142358</v>
      </c>
      <c r="BB65" s="236">
        <f ca="1" t="shared" si="21"/>
        <v>0.729373384573842</v>
      </c>
      <c r="BC65" s="236">
        <f ca="1" t="shared" si="22"/>
        <v>1.90038639016746</v>
      </c>
      <c r="BD65" s="236">
        <f ca="1" t="shared" si="23"/>
        <v>2.34512994113426</v>
      </c>
    </row>
    <row r="66" s="234" customFormat="1" ht="0.2" customHeight="1" spans="7:56">
      <c r="G66" s="236"/>
      <c r="H66" s="236">
        <f t="shared" si="24"/>
        <v>425</v>
      </c>
      <c r="I66" s="236">
        <f>IF($H66&gt;$H65,INDEX(Spectra!66:66,1,MATCH($I$20,Spectra!$20:$20,0)),I65)</f>
        <v>8.82499937631178</v>
      </c>
      <c r="J66" s="236">
        <f>((Physics!$C$9*Physics!$C$10)/(Physics!$C$11*Physics!$C$12*$H66))^($J$17-$J$18)</f>
        <v>2.14009860107719e+18</v>
      </c>
      <c r="K66" s="236">
        <f t="shared" si="25"/>
        <v>1</v>
      </c>
      <c r="L66" s="236">
        <f ca="1">INDEX(Photobiology!$21:$421,1+$H66-380,10)</f>
        <v>0.0073</v>
      </c>
      <c r="M66" s="236">
        <f ca="1" t="shared" si="26"/>
        <v>8.82499937631178</v>
      </c>
      <c r="N66" s="236">
        <f ca="1">INDEX(Photobiology!$21:$421,1+$H66-380,N$14)</f>
        <v>0.733903569515794</v>
      </c>
      <c r="O66" s="236">
        <f ca="1">INDEX(Photobiology!$21:$421,1+$H66-380,O$14)</f>
        <v>0.0727558635859051</v>
      </c>
      <c r="P66" s="236">
        <f ca="1">INDEX(Photobiology!$21:$421,1+$H66-380,P$14)</f>
        <v>0.0564455878059178</v>
      </c>
      <c r="Q66" s="236">
        <f ca="1">INDEX(Photobiology!$21:$421,1+$H66-380,Q$14)</f>
        <v>0.151148555131729</v>
      </c>
      <c r="R66" s="236">
        <f ca="1">INDEX(Photobiology!$21:$421,1+$H66-380,R$14)</f>
        <v>0.187096214263163</v>
      </c>
      <c r="S66" s="236">
        <f ca="1" t="shared" si="27"/>
        <v>1.88863688197519e+19</v>
      </c>
      <c r="T66" s="236">
        <f ca="1">INDEX(Photobiology!$21:$421,1+$H66-380,T$14)</f>
        <v>0.759806048439881</v>
      </c>
      <c r="U66" s="236">
        <f ca="1">INDEX(Photobiology!$21:$421,1+$H66-380,U$14)</f>
        <v>0.0929617594959024</v>
      </c>
      <c r="V66" s="236">
        <f ca="1">INDEX(Photobiology!$21:$421,1+$H66-380,V$14)</f>
        <v>0.0756073695539057</v>
      </c>
      <c r="W66" s="236">
        <f ca="1">INDEX(Photobiology!$21:$421,1+$H66-380,W$14)</f>
        <v>0.181283710716959</v>
      </c>
      <c r="X66" s="236">
        <f ca="1">INDEX(Photobiology!$21:$421,1+$H66-380,X$14)</f>
        <v>0.215172631485685</v>
      </c>
      <c r="Y66" s="236">
        <f ca="1" t="shared" si="14"/>
        <v>8.82499937631178</v>
      </c>
      <c r="Z66" s="236">
        <f ca="1" t="shared" si="28"/>
        <v>6.47669854324987</v>
      </c>
      <c r="AA66" s="236">
        <f ca="1" t="shared" si="15"/>
        <v>0.642070450768638</v>
      </c>
      <c r="AB66" s="236">
        <f ca="1" t="shared" si="16"/>
        <v>0.498132277182776</v>
      </c>
      <c r="AC66" s="236">
        <f ca="1" t="shared" si="17"/>
        <v>1.33388590476794</v>
      </c>
      <c r="AD66" s="236">
        <f ca="1" t="shared" si="18"/>
        <v>1.65112397418271</v>
      </c>
      <c r="AE66" s="236"/>
      <c r="AF66" s="236"/>
      <c r="AG66" s="236"/>
      <c r="AH66" s="236">
        <f t="shared" si="29"/>
        <v>425</v>
      </c>
      <c r="AI66" s="236">
        <f>IF($AH66&gt;$AH65,INDEX(Spectra!66:66,1,MATCH($AI$20,Spectra!$20:$20,0)),AI65)</f>
        <v>1</v>
      </c>
      <c r="AJ66" s="236">
        <f>((Physics!$C$9*Physics!$C$10)/(Physics!$C$11*Physics!$C$12*$AH66))^($AJ$17-$AJ$18)</f>
        <v>2.14009860107719e+18</v>
      </c>
      <c r="AK66" s="236">
        <f t="shared" si="30"/>
        <v>1</v>
      </c>
      <c r="AL66" s="236">
        <f ca="1">INDEX(Photobiology!$21:$421,1+$AH66-380,10)</f>
        <v>0.0073</v>
      </c>
      <c r="AM66" s="236">
        <f ca="1" t="shared" si="31"/>
        <v>13.3319879209511</v>
      </c>
      <c r="AN66" s="236">
        <f ca="1">INDEX(Photobiology!$21:$421,1+$AH66-380,AN$14)</f>
        <v>0.733903569515794</v>
      </c>
      <c r="AO66" s="236">
        <f ca="1">INDEX(Photobiology!$21:$421,1+$AH66-380,AO$14)</f>
        <v>0.0727558635859051</v>
      </c>
      <c r="AP66" s="236">
        <f ca="1">INDEX(Photobiology!$21:$421,1+$AH66-380,AP$14)</f>
        <v>0.0564455878059178</v>
      </c>
      <c r="AQ66" s="236">
        <f ca="1">INDEX(Photobiology!$21:$421,1+$AH66-380,AQ$14)</f>
        <v>0.151148555131729</v>
      </c>
      <c r="AR66" s="236">
        <f ca="1">INDEX(Photobiology!$21:$421,1+$AH66-380,AR$14)</f>
        <v>0.187096214263163</v>
      </c>
      <c r="AS66" s="236">
        <f ca="1" t="shared" si="32"/>
        <v>2.85317686992055e+19</v>
      </c>
      <c r="AT66" s="236">
        <f ca="1">INDEX(Photobiology!$21:$421,1+$AH66-380,AT$14)</f>
        <v>0.759806048439881</v>
      </c>
      <c r="AU66" s="236">
        <f ca="1">INDEX(Photobiology!$21:$421,1+$AH66-380,AU$14)</f>
        <v>0.0929617594959024</v>
      </c>
      <c r="AV66" s="236">
        <f ca="1">INDEX(Photobiology!$21:$421,1+$AH66-380,AV$14)</f>
        <v>0.0756073695539057</v>
      </c>
      <c r="AW66" s="236">
        <f ca="1">INDEX(Photobiology!$21:$421,1+$AH66-380,AW$14)</f>
        <v>0.181283710716959</v>
      </c>
      <c r="AX66" s="236">
        <f ca="1">INDEX(Photobiology!$21:$421,1+$AH66-380,AX$14)</f>
        <v>0.215172631485685</v>
      </c>
      <c r="AY66" s="236">
        <f ca="1" t="shared" si="19"/>
        <v>13.3319879209511</v>
      </c>
      <c r="AZ66" s="236">
        <f ca="1" t="shared" si="33"/>
        <v>9.78439352392749</v>
      </c>
      <c r="BA66" s="236">
        <f ca="1" t="shared" si="20"/>
        <v>0.969980294505656</v>
      </c>
      <c r="BB66" s="236">
        <f ca="1" t="shared" si="21"/>
        <v>0.752531894819483</v>
      </c>
      <c r="BC66" s="236">
        <f ca="1" t="shared" si="22"/>
        <v>2.01511071128543</v>
      </c>
      <c r="BD66" s="236">
        <f ca="1" t="shared" si="23"/>
        <v>2.49436446861218</v>
      </c>
    </row>
    <row r="67" s="234" customFormat="1" ht="0.2" customHeight="1" spans="7:56">
      <c r="G67" s="236"/>
      <c r="H67" s="236">
        <f t="shared" si="24"/>
        <v>426</v>
      </c>
      <c r="I67" s="236">
        <f>IF($H67&gt;$H66,INDEX(Spectra!67:67,1,MATCH($I$20,Spectra!$20:$20,0)),I66)</f>
        <v>9.49630919629774</v>
      </c>
      <c r="J67" s="236">
        <f>((Physics!$C$9*Physics!$C$10)/(Physics!$C$11*Physics!$C$12*$H67))^($J$17-$J$18)</f>
        <v>2.14513412719737e+18</v>
      </c>
      <c r="K67" s="236">
        <f t="shared" si="25"/>
        <v>1</v>
      </c>
      <c r="L67" s="236">
        <f ca="1">INDEX(Photobiology!$21:$421,1+$H67-380,10)</f>
        <v>0.008086507</v>
      </c>
      <c r="M67" s="236">
        <f ca="1" t="shared" si="26"/>
        <v>9.49630919629774</v>
      </c>
      <c r="N67" s="236">
        <f ca="1">INDEX(Photobiology!$21:$421,1+$H67-380,N$14)</f>
        <v>0.759559849901767</v>
      </c>
      <c r="O67" s="236">
        <f ca="1">INDEX(Photobiology!$21:$421,1+$H67-380,O$14)</f>
        <v>0.0762351045091342</v>
      </c>
      <c r="P67" s="236">
        <f ca="1">INDEX(Photobiology!$21:$421,1+$H67-380,P$14)</f>
        <v>0.0582683875355253</v>
      </c>
      <c r="Q67" s="236">
        <f ca="1">INDEX(Photobiology!$21:$421,1+$H67-380,Q$14)</f>
        <v>0.160284305580738</v>
      </c>
      <c r="R67" s="236">
        <f ca="1">INDEX(Photobiology!$21:$421,1+$H67-380,R$14)</f>
        <v>0.198964227477801</v>
      </c>
      <c r="S67" s="236">
        <f ca="1" t="shared" si="27"/>
        <v>2.03708569393965e+19</v>
      </c>
      <c r="T67" s="236">
        <f ca="1">INDEX(Photobiology!$21:$421,1+$H67-380,T$14)</f>
        <v>0.784521910696661</v>
      </c>
      <c r="U67" s="236">
        <f ca="1">INDEX(Photobiology!$21:$421,1+$H67-380,U$14)</f>
        <v>0.097178606238396</v>
      </c>
      <c r="V67" s="236">
        <f ca="1">INDEX(Photobiology!$21:$421,1+$H67-380,V$14)</f>
        <v>0.0778657479788819</v>
      </c>
      <c r="W67" s="236">
        <f ca="1">INDEX(Photobiology!$21:$421,1+$H67-380,W$14)</f>
        <v>0.19178962640816</v>
      </c>
      <c r="X67" s="236">
        <f ca="1">INDEX(Photobiology!$21:$421,1+$H67-380,X$14)</f>
        <v>0.22828446700602</v>
      </c>
      <c r="Y67" s="236">
        <f ca="1" t="shared" si="14"/>
        <v>9.49630919629774</v>
      </c>
      <c r="Z67" s="236">
        <f ca="1" t="shared" si="28"/>
        <v>7.21301518776068</v>
      </c>
      <c r="AA67" s="236">
        <f ca="1" t="shared" si="15"/>
        <v>0.723952124030811</v>
      </c>
      <c r="AB67" s="236">
        <f ca="1" t="shared" si="16"/>
        <v>0.55333462440705</v>
      </c>
      <c r="AC67" s="236">
        <f ca="1" t="shared" si="17"/>
        <v>1.52210932510856</v>
      </c>
      <c r="AD67" s="236">
        <f ca="1" t="shared" si="18"/>
        <v>1.88942582313172</v>
      </c>
      <c r="AE67" s="236"/>
      <c r="AF67" s="236"/>
      <c r="AG67" s="236"/>
      <c r="AH67" s="236">
        <f t="shared" si="29"/>
        <v>426</v>
      </c>
      <c r="AI67" s="236">
        <f>IF($AH67&gt;$AH66,INDEX(Spectra!67:67,1,MATCH($AI$20,Spectra!$20:$20,0)),AI66)</f>
        <v>1</v>
      </c>
      <c r="AJ67" s="236">
        <f>((Physics!$C$9*Physics!$C$10)/(Physics!$C$11*Physics!$C$12*$AH67))^($AJ$17-$AJ$18)</f>
        <v>2.14513412719737e+18</v>
      </c>
      <c r="AK67" s="236">
        <f t="shared" si="30"/>
        <v>1</v>
      </c>
      <c r="AL67" s="236">
        <f ca="1">INDEX(Photobiology!$21:$421,1+$AH67-380,10)</f>
        <v>0.008086507</v>
      </c>
      <c r="AM67" s="236">
        <f ca="1" t="shared" si="31"/>
        <v>13.3319879209511</v>
      </c>
      <c r="AN67" s="236">
        <f ca="1">INDEX(Photobiology!$21:$421,1+$AH67-380,AN$14)</f>
        <v>0.759559849901767</v>
      </c>
      <c r="AO67" s="236">
        <f ca="1">INDEX(Photobiology!$21:$421,1+$AH67-380,AO$14)</f>
        <v>0.0762351045091342</v>
      </c>
      <c r="AP67" s="236">
        <f ca="1">INDEX(Photobiology!$21:$421,1+$AH67-380,AP$14)</f>
        <v>0.0582683875355253</v>
      </c>
      <c r="AQ67" s="236">
        <f ca="1">INDEX(Photobiology!$21:$421,1+$AH67-380,AQ$14)</f>
        <v>0.160284305580738</v>
      </c>
      <c r="AR67" s="236">
        <f ca="1">INDEX(Photobiology!$21:$421,1+$AH67-380,AR$14)</f>
        <v>0.198964227477801</v>
      </c>
      <c r="AS67" s="236">
        <f ca="1" t="shared" si="32"/>
        <v>2.85989022726154e+19</v>
      </c>
      <c r="AT67" s="236">
        <f ca="1">INDEX(Photobiology!$21:$421,1+$AH67-380,AT$14)</f>
        <v>0.784521910696661</v>
      </c>
      <c r="AU67" s="236">
        <f ca="1">INDEX(Photobiology!$21:$421,1+$AH67-380,AU$14)</f>
        <v>0.097178606238396</v>
      </c>
      <c r="AV67" s="236">
        <f ca="1">INDEX(Photobiology!$21:$421,1+$AH67-380,AV$14)</f>
        <v>0.0778657479788819</v>
      </c>
      <c r="AW67" s="236">
        <f ca="1">INDEX(Photobiology!$21:$421,1+$AH67-380,AW$14)</f>
        <v>0.19178962640816</v>
      </c>
      <c r="AX67" s="236">
        <f ca="1">INDEX(Photobiology!$21:$421,1+$AH67-380,AX$14)</f>
        <v>0.22828446700602</v>
      </c>
      <c r="AY67" s="236">
        <f ca="1" t="shared" si="19"/>
        <v>13.3319879209511</v>
      </c>
      <c r="AZ67" s="236">
        <f ca="1" t="shared" si="33"/>
        <v>10.1264427441298</v>
      </c>
      <c r="BA67" s="236">
        <f ca="1" t="shared" si="20"/>
        <v>1.01636549246823</v>
      </c>
      <c r="BB67" s="236">
        <f ca="1" t="shared" si="21"/>
        <v>0.776833438796923</v>
      </c>
      <c r="BC67" s="236">
        <f ca="1" t="shared" si="22"/>
        <v>2.13690842592044</v>
      </c>
      <c r="BD67" s="236">
        <f ca="1" t="shared" si="23"/>
        <v>2.65258867743542</v>
      </c>
    </row>
    <row r="68" s="234" customFormat="1" ht="0.2" customHeight="1" spans="7:56">
      <c r="G68" s="236"/>
      <c r="H68" s="236">
        <f t="shared" si="24"/>
        <v>427</v>
      </c>
      <c r="I68" s="236">
        <f>IF($H68&gt;$H67,INDEX(Spectra!68:68,1,MATCH($I$20,Spectra!$20:$20,0)),I67)</f>
        <v>9.91570865773669</v>
      </c>
      <c r="J68" s="236">
        <f>((Physics!$C$9*Physics!$C$10)/(Physics!$C$11*Physics!$C$12*$H68))^($J$17-$J$18)</f>
        <v>2.15016965331755e+18</v>
      </c>
      <c r="K68" s="236">
        <f t="shared" si="25"/>
        <v>1</v>
      </c>
      <c r="L68" s="236">
        <f ca="1">INDEX(Photobiology!$21:$421,1+$H68-380,10)</f>
        <v>0.00890872</v>
      </c>
      <c r="M68" s="236">
        <f ca="1" t="shared" si="26"/>
        <v>9.91570865773669</v>
      </c>
      <c r="N68" s="236">
        <f ca="1">INDEX(Photobiology!$21:$421,1+$H68-380,N$14)</f>
        <v>0.785604567913136</v>
      </c>
      <c r="O68" s="236">
        <f ca="1">INDEX(Photobiology!$21:$421,1+$H68-380,O$14)</f>
        <v>0.0799513865754014</v>
      </c>
      <c r="P68" s="236">
        <f ca="1">INDEX(Photobiology!$21:$421,1+$H68-380,P$14)</f>
        <v>0.0601837160789202</v>
      </c>
      <c r="Q68" s="236">
        <f ca="1">INDEX(Photobiology!$21:$421,1+$H68-380,Q$14)</f>
        <v>0.169976937411667</v>
      </c>
      <c r="R68" s="236">
        <f ca="1">INDEX(Photobiology!$21:$421,1+$H68-380,R$14)</f>
        <v>0.211539756447306</v>
      </c>
      <c r="S68" s="236">
        <f ca="1" t="shared" si="27"/>
        <v>2.13204558470035e+19</v>
      </c>
      <c r="T68" s="236">
        <f ca="1">INDEX(Photobiology!$21:$421,1+$H68-380,T$14)</f>
        <v>0.809522271385901</v>
      </c>
      <c r="U68" s="236">
        <f ca="1">INDEX(Photobiology!$21:$421,1+$H68-380,U$14)</f>
        <v>0.10167715599217</v>
      </c>
      <c r="V68" s="236">
        <f ca="1">INDEX(Photobiology!$21:$421,1+$H68-380,V$14)</f>
        <v>0.0802369078991011</v>
      </c>
      <c r="W68" s="236">
        <f ca="1">INDEX(Photobiology!$21:$421,1+$H68-380,W$14)</f>
        <v>0.202911114967327</v>
      </c>
      <c r="X68" s="236">
        <f ca="1">INDEX(Photobiology!$21:$421,1+$H68-380,X$14)</f>
        <v>0.242144766030192</v>
      </c>
      <c r="Y68" s="236">
        <f ca="1" t="shared" si="14"/>
        <v>9.91570865773669</v>
      </c>
      <c r="Z68" s="236">
        <f ca="1" t="shared" si="28"/>
        <v>7.78982601561377</v>
      </c>
      <c r="AA68" s="236">
        <f ca="1" t="shared" si="15"/>
        <v>0.792774656063761</v>
      </c>
      <c r="AB68" s="236">
        <f ca="1" t="shared" si="16"/>
        <v>0.596764194578516</v>
      </c>
      <c r="AC68" s="236">
        <f ca="1" t="shared" si="17"/>
        <v>1.68544178990843</v>
      </c>
      <c r="AD68" s="236">
        <f ca="1" t="shared" si="18"/>
        <v>2.09756659446006</v>
      </c>
      <c r="AE68" s="236"/>
      <c r="AF68" s="236"/>
      <c r="AG68" s="236"/>
      <c r="AH68" s="236">
        <f t="shared" si="29"/>
        <v>427</v>
      </c>
      <c r="AI68" s="236">
        <f>IF($AH68&gt;$AH67,INDEX(Spectra!68:68,1,MATCH($AI$20,Spectra!$20:$20,0)),AI67)</f>
        <v>1</v>
      </c>
      <c r="AJ68" s="236">
        <f>((Physics!$C$9*Physics!$C$10)/(Physics!$C$11*Physics!$C$12*$AH68))^($AJ$17-$AJ$18)</f>
        <v>2.15016965331755e+18</v>
      </c>
      <c r="AK68" s="236">
        <f t="shared" si="30"/>
        <v>1</v>
      </c>
      <c r="AL68" s="236">
        <f ca="1">INDEX(Photobiology!$21:$421,1+$AH68-380,10)</f>
        <v>0.00890872</v>
      </c>
      <c r="AM68" s="236">
        <f ca="1" t="shared" si="31"/>
        <v>13.3319879209511</v>
      </c>
      <c r="AN68" s="236">
        <f ca="1">INDEX(Photobiology!$21:$421,1+$AH68-380,AN$14)</f>
        <v>0.785604567913136</v>
      </c>
      <c r="AO68" s="236">
        <f ca="1">INDEX(Photobiology!$21:$421,1+$AH68-380,AO$14)</f>
        <v>0.0799513865754014</v>
      </c>
      <c r="AP68" s="236">
        <f ca="1">INDEX(Photobiology!$21:$421,1+$AH68-380,AP$14)</f>
        <v>0.0601837160789202</v>
      </c>
      <c r="AQ68" s="236">
        <f ca="1">INDEX(Photobiology!$21:$421,1+$AH68-380,AQ$14)</f>
        <v>0.169976937411667</v>
      </c>
      <c r="AR68" s="236">
        <f ca="1">INDEX(Photobiology!$21:$421,1+$AH68-380,AR$14)</f>
        <v>0.211539756447306</v>
      </c>
      <c r="AS68" s="236">
        <f ca="1" t="shared" si="32"/>
        <v>2.86660358460253e+19</v>
      </c>
      <c r="AT68" s="236">
        <f ca="1">INDEX(Photobiology!$21:$421,1+$AH68-380,AT$14)</f>
        <v>0.809522271385901</v>
      </c>
      <c r="AU68" s="236">
        <f ca="1">INDEX(Photobiology!$21:$421,1+$AH68-380,AU$14)</f>
        <v>0.10167715599217</v>
      </c>
      <c r="AV68" s="236">
        <f ca="1">INDEX(Photobiology!$21:$421,1+$AH68-380,AV$14)</f>
        <v>0.0802369078991011</v>
      </c>
      <c r="AW68" s="236">
        <f ca="1">INDEX(Photobiology!$21:$421,1+$AH68-380,AW$14)</f>
        <v>0.202911114967327</v>
      </c>
      <c r="AX68" s="236">
        <f ca="1">INDEX(Photobiology!$21:$421,1+$AH68-380,AX$14)</f>
        <v>0.242144766030192</v>
      </c>
      <c r="AY68" s="236">
        <f ca="1" t="shared" si="19"/>
        <v>13.3319879209511</v>
      </c>
      <c r="AZ68" s="236">
        <f ca="1" t="shared" si="33"/>
        <v>10.473670610062</v>
      </c>
      <c r="BA68" s="236">
        <f ca="1" t="shared" si="20"/>
        <v>1.06591092008655</v>
      </c>
      <c r="BB68" s="236">
        <f ca="1" t="shared" si="21"/>
        <v>0.802368575802117</v>
      </c>
      <c r="BC68" s="236">
        <f ca="1" t="shared" si="22"/>
        <v>2.26613047641261</v>
      </c>
      <c r="BD68" s="236">
        <f ca="1" t="shared" si="23"/>
        <v>2.82024547775643</v>
      </c>
    </row>
    <row r="69" s="234" customFormat="1" ht="0.2" customHeight="1" spans="7:56">
      <c r="G69" s="236"/>
      <c r="H69" s="236">
        <f t="shared" si="24"/>
        <v>428</v>
      </c>
      <c r="I69" s="236">
        <f>IF($H69&gt;$H68,INDEX(Spectra!69:69,1,MATCH($I$20,Spectra!$20:$20,0)),I68)</f>
        <v>10.2532863454401</v>
      </c>
      <c r="J69" s="236">
        <f>((Physics!$C$9*Physics!$C$10)/(Physics!$C$11*Physics!$C$12*$H69))^($J$17-$J$18)</f>
        <v>2.15520517943773e+18</v>
      </c>
      <c r="K69" s="236">
        <f t="shared" si="25"/>
        <v>1</v>
      </c>
      <c r="L69" s="236">
        <f ca="1">INDEX(Photobiology!$21:$421,1+$H69-380,10)</f>
        <v>0.00976768</v>
      </c>
      <c r="M69" s="236">
        <f ca="1" t="shared" si="26"/>
        <v>10.2532863454401</v>
      </c>
      <c r="N69" s="236">
        <f ca="1">INDEX(Photobiology!$21:$421,1+$H69-380,N$14)</f>
        <v>0.812005554444085</v>
      </c>
      <c r="O69" s="236">
        <f ca="1">INDEX(Photobiology!$21:$421,1+$H69-380,O$14)</f>
        <v>0.0839222270033488</v>
      </c>
      <c r="P69" s="236">
        <f ca="1">INDEX(Photobiology!$21:$421,1+$H69-380,P$14)</f>
        <v>0.0621990855862408</v>
      </c>
      <c r="Q69" s="236">
        <f ca="1">INDEX(Photobiology!$21:$421,1+$H69-380,Q$14)</f>
        <v>0.180255282141255</v>
      </c>
      <c r="R69" s="236">
        <f ca="1">INDEX(Photobiology!$21:$421,1+$H69-380,R$14)</f>
        <v>0.224857822145168</v>
      </c>
      <c r="S69" s="236">
        <f ca="1" t="shared" si="27"/>
        <v>2.20979358379507e+19</v>
      </c>
      <c r="T69" s="236">
        <f ca="1">INDEX(Photobiology!$21:$421,1+$H69-380,T$14)</f>
        <v>0.834772065316349</v>
      </c>
      <c r="U69" s="236">
        <f ca="1">INDEX(Photobiology!$21:$421,1+$H69-380,U$14)</f>
        <v>0.106477659452996</v>
      </c>
      <c r="V69" s="236">
        <f ca="1">INDEX(Photobiology!$21:$421,1+$H69-380,V$14)</f>
        <v>0.0827300505858452</v>
      </c>
      <c r="W69" s="236">
        <f ca="1">INDEX(Photobiology!$21:$421,1+$H69-380,W$14)</f>
        <v>0.214678199033385</v>
      </c>
      <c r="X69" s="236">
        <f ca="1">INDEX(Photobiology!$21:$421,1+$H69-380,X$14)</f>
        <v>0.256788276370632</v>
      </c>
      <c r="Y69" s="236">
        <f ca="1" t="shared" si="14"/>
        <v>10.2532863454401</v>
      </c>
      <c r="Z69" s="236">
        <f ca="1" t="shared" si="28"/>
        <v>8.32572546380305</v>
      </c>
      <c r="AA69" s="236">
        <f ca="1" t="shared" si="15"/>
        <v>0.860478624212361</v>
      </c>
      <c r="AB69" s="236">
        <f ca="1" t="shared" si="16"/>
        <v>0.637745034940263</v>
      </c>
      <c r="AC69" s="236">
        <f ca="1" t="shared" si="17"/>
        <v>1.84820902307238</v>
      </c>
      <c r="AD69" s="236">
        <f ca="1" t="shared" si="18"/>
        <v>2.30553163746645</v>
      </c>
      <c r="AE69" s="236"/>
      <c r="AF69" s="236"/>
      <c r="AG69" s="236"/>
      <c r="AH69" s="236">
        <f t="shared" si="29"/>
        <v>428</v>
      </c>
      <c r="AI69" s="236">
        <f>IF($AH69&gt;$AH68,INDEX(Spectra!69:69,1,MATCH($AI$20,Spectra!$20:$20,0)),AI68)</f>
        <v>1</v>
      </c>
      <c r="AJ69" s="236">
        <f>((Physics!$C$9*Physics!$C$10)/(Physics!$C$11*Physics!$C$12*$AH69))^($AJ$17-$AJ$18)</f>
        <v>2.15520517943773e+18</v>
      </c>
      <c r="AK69" s="236">
        <f t="shared" si="30"/>
        <v>1</v>
      </c>
      <c r="AL69" s="236">
        <f ca="1">INDEX(Photobiology!$21:$421,1+$AH69-380,10)</f>
        <v>0.00976768</v>
      </c>
      <c r="AM69" s="236">
        <f ca="1" t="shared" si="31"/>
        <v>13.3319879209511</v>
      </c>
      <c r="AN69" s="236">
        <f ca="1">INDEX(Photobiology!$21:$421,1+$AH69-380,AN$14)</f>
        <v>0.812005554444085</v>
      </c>
      <c r="AO69" s="236">
        <f ca="1">INDEX(Photobiology!$21:$421,1+$AH69-380,AO$14)</f>
        <v>0.0839222270033488</v>
      </c>
      <c r="AP69" s="236">
        <f ca="1">INDEX(Photobiology!$21:$421,1+$AH69-380,AP$14)</f>
        <v>0.0621990855862408</v>
      </c>
      <c r="AQ69" s="236">
        <f ca="1">INDEX(Photobiology!$21:$421,1+$AH69-380,AQ$14)</f>
        <v>0.180255282141255</v>
      </c>
      <c r="AR69" s="236">
        <f ca="1">INDEX(Photobiology!$21:$421,1+$AH69-380,AR$14)</f>
        <v>0.224857822145168</v>
      </c>
      <c r="AS69" s="236">
        <f ca="1" t="shared" si="32"/>
        <v>2.87331694194352e+19</v>
      </c>
      <c r="AT69" s="236">
        <f ca="1">INDEX(Photobiology!$21:$421,1+$AH69-380,AT$14)</f>
        <v>0.834772065316349</v>
      </c>
      <c r="AU69" s="236">
        <f ca="1">INDEX(Photobiology!$21:$421,1+$AH69-380,AU$14)</f>
        <v>0.106477659452996</v>
      </c>
      <c r="AV69" s="236">
        <f ca="1">INDEX(Photobiology!$21:$421,1+$AH69-380,AV$14)</f>
        <v>0.0827300505858452</v>
      </c>
      <c r="AW69" s="236">
        <f ca="1">INDEX(Photobiology!$21:$421,1+$AH69-380,AW$14)</f>
        <v>0.214678199033385</v>
      </c>
      <c r="AX69" s="236">
        <f ca="1">INDEX(Photobiology!$21:$421,1+$AH69-380,AX$14)</f>
        <v>0.256788276370632</v>
      </c>
      <c r="AY69" s="236">
        <f ca="1" t="shared" si="19"/>
        <v>13.3319879209511</v>
      </c>
      <c r="AZ69" s="236">
        <f ca="1" t="shared" si="33"/>
        <v>10.8256482435938</v>
      </c>
      <c r="BA69" s="236">
        <f ca="1" t="shared" si="20"/>
        <v>1.11885011670797</v>
      </c>
      <c r="BB69" s="236">
        <f ca="1" t="shared" si="21"/>
        <v>0.829237457729969</v>
      </c>
      <c r="BC69" s="236">
        <f ca="1" t="shared" si="22"/>
        <v>2.40316124419485</v>
      </c>
      <c r="BD69" s="236">
        <f ca="1" t="shared" si="23"/>
        <v>2.99780176877076</v>
      </c>
    </row>
    <row r="70" s="234" customFormat="1" ht="0.2" customHeight="1" spans="7:56">
      <c r="G70" s="236"/>
      <c r="H70" s="236">
        <f t="shared" si="24"/>
        <v>429</v>
      </c>
      <c r="I70" s="236">
        <f>IF($H70&gt;$H69,INDEX(Spectra!70:70,1,MATCH($I$20,Spectra!$20:$20,0)),I69)</f>
        <v>10.6043981802274</v>
      </c>
      <c r="J70" s="236">
        <f>((Physics!$C$9*Physics!$C$10)/(Physics!$C$11*Physics!$C$12*$H70))^($J$17-$J$18)</f>
        <v>2.16024070555792e+18</v>
      </c>
      <c r="K70" s="236">
        <f t="shared" si="25"/>
        <v>1</v>
      </c>
      <c r="L70" s="236">
        <f ca="1">INDEX(Photobiology!$21:$421,1+$H70-380,10)</f>
        <v>0.01066443</v>
      </c>
      <c r="M70" s="236">
        <f ca="1" t="shared" si="26"/>
        <v>10.6043981802274</v>
      </c>
      <c r="N70" s="236">
        <f ca="1">INDEX(Photobiology!$21:$421,1+$H70-380,N$14)</f>
        <v>0.83872000141654</v>
      </c>
      <c r="O70" s="236">
        <f ca="1">INDEX(Photobiology!$21:$421,1+$H70-380,O$14)</f>
        <v>0.0881655660172673</v>
      </c>
      <c r="P70" s="236">
        <f ca="1">INDEX(Photobiology!$21:$421,1+$H70-380,P$14)</f>
        <v>0.0643225124944811</v>
      </c>
      <c r="Q70" s="236">
        <f ca="1">INDEX(Photobiology!$21:$421,1+$H70-380,Q$14)</f>
        <v>0.191148546509814</v>
      </c>
      <c r="R70" s="236">
        <f ca="1">INDEX(Photobiology!$21:$421,1+$H70-380,R$14)</f>
        <v>0.238953832271374</v>
      </c>
      <c r="S70" s="236">
        <f ca="1" t="shared" si="27"/>
        <v>2.29080526068716e+19</v>
      </c>
      <c r="T70" s="236">
        <f ca="1">INDEX(Photobiology!$21:$421,1+$H70-380,T$14)</f>
        <v>0.860225642478503</v>
      </c>
      <c r="U70" s="236">
        <f ca="1">INDEX(Photobiology!$21:$421,1+$H70-380,U$14)</f>
        <v>0.11160071394307</v>
      </c>
      <c r="V70" s="236">
        <f ca="1">INDEX(Photobiology!$21:$421,1+$H70-380,V$14)</f>
        <v>0.0853549606983692</v>
      </c>
      <c r="W70" s="236">
        <f ca="1">INDEX(Photobiology!$21:$421,1+$H70-380,W$14)</f>
        <v>0.227121067151332</v>
      </c>
      <c r="X70" s="236">
        <f ca="1">INDEX(Photobiology!$21:$421,1+$H70-380,X$14)</f>
        <v>0.272249862464143</v>
      </c>
      <c r="Y70" s="236">
        <f ca="1" t="shared" si="14"/>
        <v>10.6043981802274</v>
      </c>
      <c r="Z70" s="236">
        <f ca="1" t="shared" si="28"/>
        <v>8.89412085674188</v>
      </c>
      <c r="AA70" s="236">
        <f ca="1" t="shared" si="15"/>
        <v>0.934942767832228</v>
      </c>
      <c r="AB70" s="236">
        <f ca="1" t="shared" si="16"/>
        <v>0.68210153444413</v>
      </c>
      <c r="AC70" s="236">
        <f ca="1" t="shared" si="17"/>
        <v>2.02701529876178</v>
      </c>
      <c r="AD70" s="236">
        <f ca="1" t="shared" si="18"/>
        <v>2.53396158409692</v>
      </c>
      <c r="AE70" s="236"/>
      <c r="AF70" s="236"/>
      <c r="AG70" s="236"/>
      <c r="AH70" s="236">
        <f t="shared" si="29"/>
        <v>429</v>
      </c>
      <c r="AI70" s="236">
        <f>IF($AH70&gt;$AH69,INDEX(Spectra!70:70,1,MATCH($AI$20,Spectra!$20:$20,0)),AI69)</f>
        <v>1</v>
      </c>
      <c r="AJ70" s="236">
        <f>((Physics!$C$9*Physics!$C$10)/(Physics!$C$11*Physics!$C$12*$AH70))^($AJ$17-$AJ$18)</f>
        <v>2.16024070555792e+18</v>
      </c>
      <c r="AK70" s="236">
        <f t="shared" si="30"/>
        <v>1</v>
      </c>
      <c r="AL70" s="236">
        <f ca="1">INDEX(Photobiology!$21:$421,1+$AH70-380,10)</f>
        <v>0.01066443</v>
      </c>
      <c r="AM70" s="236">
        <f ca="1" t="shared" si="31"/>
        <v>13.3319879209511</v>
      </c>
      <c r="AN70" s="236">
        <f ca="1">INDEX(Photobiology!$21:$421,1+$AH70-380,AN$14)</f>
        <v>0.83872000141654</v>
      </c>
      <c r="AO70" s="236">
        <f ca="1">INDEX(Photobiology!$21:$421,1+$AH70-380,AO$14)</f>
        <v>0.0881655660172673</v>
      </c>
      <c r="AP70" s="236">
        <f ca="1">INDEX(Photobiology!$21:$421,1+$AH70-380,AP$14)</f>
        <v>0.0643225124944811</v>
      </c>
      <c r="AQ70" s="236">
        <f ca="1">INDEX(Photobiology!$21:$421,1+$AH70-380,AQ$14)</f>
        <v>0.191148546509814</v>
      </c>
      <c r="AR70" s="236">
        <f ca="1">INDEX(Photobiology!$21:$421,1+$AH70-380,AR$14)</f>
        <v>0.238953832271374</v>
      </c>
      <c r="AS70" s="236">
        <f ca="1" t="shared" si="32"/>
        <v>2.88003029928451e+19</v>
      </c>
      <c r="AT70" s="236">
        <f ca="1">INDEX(Photobiology!$21:$421,1+$AH70-380,AT$14)</f>
        <v>0.860225642478503</v>
      </c>
      <c r="AU70" s="236">
        <f ca="1">INDEX(Photobiology!$21:$421,1+$AH70-380,AU$14)</f>
        <v>0.11160071394307</v>
      </c>
      <c r="AV70" s="236">
        <f ca="1">INDEX(Photobiology!$21:$421,1+$AH70-380,AV$14)</f>
        <v>0.0853549606983692</v>
      </c>
      <c r="AW70" s="236">
        <f ca="1">INDEX(Photobiology!$21:$421,1+$AH70-380,AW$14)</f>
        <v>0.227121067151332</v>
      </c>
      <c r="AX70" s="236">
        <f ca="1">INDEX(Photobiology!$21:$421,1+$AH70-380,AX$14)</f>
        <v>0.272249862464143</v>
      </c>
      <c r="AY70" s="236">
        <f ca="1" t="shared" si="19"/>
        <v>13.3319879209511</v>
      </c>
      <c r="AZ70" s="236">
        <f ca="1" t="shared" si="33"/>
        <v>11.1818049279454</v>
      </c>
      <c r="BA70" s="236">
        <f ca="1" t="shared" si="20"/>
        <v>1.17542226118603</v>
      </c>
      <c r="BB70" s="236">
        <f ca="1" t="shared" si="21"/>
        <v>0.857546959621651</v>
      </c>
      <c r="BC70" s="236">
        <f ca="1" t="shared" si="22"/>
        <v>2.54839011317621</v>
      </c>
      <c r="BD70" s="236">
        <f ca="1" t="shared" si="23"/>
        <v>3.18572960550694</v>
      </c>
    </row>
    <row r="71" s="234" customFormat="1" ht="0.2" customHeight="1" spans="7:56">
      <c r="G71" s="236"/>
      <c r="H71" s="236">
        <f t="shared" si="24"/>
        <v>430</v>
      </c>
      <c r="I71" s="236">
        <f>IF($H71&gt;$H70,INDEX(Spectra!71:71,1,MATCH($I$20,Spectra!$20:$20,0)),I70)</f>
        <v>10.5964754269361</v>
      </c>
      <c r="J71" s="236">
        <f>((Physics!$C$9*Physics!$C$10)/(Physics!$C$11*Physics!$C$12*$H71))^($J$17-$J$18)</f>
        <v>2.1652762316781e+18</v>
      </c>
      <c r="K71" s="236">
        <f t="shared" si="25"/>
        <v>1</v>
      </c>
      <c r="L71" s="236">
        <f ca="1">INDEX(Photobiology!$21:$421,1+$H71-380,10)</f>
        <v>0.0116</v>
      </c>
      <c r="M71" s="236">
        <f ca="1" t="shared" si="26"/>
        <v>10.5964754269361</v>
      </c>
      <c r="N71" s="236">
        <f ca="1">INDEX(Photobiology!$21:$421,1+$H71-380,N$14)</f>
        <v>0.865705147801832</v>
      </c>
      <c r="O71" s="236">
        <f ca="1">INDEX(Photobiology!$21:$421,1+$H71-380,O$14)</f>
        <v>0.0927009105497853</v>
      </c>
      <c r="P71" s="236">
        <f ca="1">INDEX(Photobiology!$21:$421,1+$H71-380,P$14)</f>
        <v>0.0665627107226236</v>
      </c>
      <c r="Q71" s="236">
        <f ca="1">INDEX(Photobiology!$21:$421,1+$H71-380,Q$14)</f>
        <v>0.2026861157491</v>
      </c>
      <c r="R71" s="236">
        <f ca="1">INDEX(Photobiology!$21:$421,1+$H71-380,R$14)</f>
        <v>0.253865099694662</v>
      </c>
      <c r="S71" s="236">
        <f ca="1" t="shared" si="27"/>
        <v>2.29442963815058e+19</v>
      </c>
      <c r="T71" s="236">
        <f ca="1">INDEX(Photobiology!$21:$421,1+$H71-380,T$14)</f>
        <v>0.885837825657689</v>
      </c>
      <c r="U71" s="236">
        <f ca="1">INDEX(Photobiology!$21:$421,1+$H71-380,U$14)</f>
        <v>0.117068703722182</v>
      </c>
      <c r="V71" s="236">
        <f ca="1">INDEX(Photobiology!$21:$421,1+$H71-380,V$14)</f>
        <v>0.0881222552710162</v>
      </c>
      <c r="W71" s="236">
        <f ca="1">INDEX(Photobiology!$21:$421,1+$H71-380,W$14)</f>
        <v>0.240269838631287</v>
      </c>
      <c r="X71" s="236">
        <f ca="1">INDEX(Photobiology!$21:$421,1+$H71-380,X$14)</f>
        <v>0.288566230015777</v>
      </c>
      <c r="Y71" s="236">
        <f ca="1" t="shared" si="14"/>
        <v>10.5964754269361</v>
      </c>
      <c r="Z71" s="236">
        <f ca="1" t="shared" si="28"/>
        <v>9.1734233256542</v>
      </c>
      <c r="AA71" s="236">
        <f ca="1" t="shared" si="15"/>
        <v>0.982302920695401</v>
      </c>
      <c r="AB71" s="236">
        <f ca="1" t="shared" si="16"/>
        <v>0.705330128522537</v>
      </c>
      <c r="AC71" s="236">
        <f ca="1" t="shared" si="17"/>
        <v>2.14775844491646</v>
      </c>
      <c r="AD71" s="236">
        <f ca="1" t="shared" si="18"/>
        <v>2.69007529067117</v>
      </c>
      <c r="AE71" s="236"/>
      <c r="AF71" s="236"/>
      <c r="AG71" s="236"/>
      <c r="AH71" s="236">
        <f t="shared" si="29"/>
        <v>430</v>
      </c>
      <c r="AI71" s="236">
        <f>IF($AH71&gt;$AH70,INDEX(Spectra!71:71,1,MATCH($AI$20,Spectra!$20:$20,0)),AI70)</f>
        <v>1</v>
      </c>
      <c r="AJ71" s="236">
        <f>((Physics!$C$9*Physics!$C$10)/(Physics!$C$11*Physics!$C$12*$AH71))^($AJ$17-$AJ$18)</f>
        <v>2.1652762316781e+18</v>
      </c>
      <c r="AK71" s="236">
        <f t="shared" si="30"/>
        <v>1</v>
      </c>
      <c r="AL71" s="236">
        <f ca="1">INDEX(Photobiology!$21:$421,1+$AH71-380,10)</f>
        <v>0.0116</v>
      </c>
      <c r="AM71" s="236">
        <f ca="1" t="shared" si="31"/>
        <v>13.3319879209511</v>
      </c>
      <c r="AN71" s="236">
        <f ca="1">INDEX(Photobiology!$21:$421,1+$AH71-380,AN$14)</f>
        <v>0.865705147801832</v>
      </c>
      <c r="AO71" s="236">
        <f ca="1">INDEX(Photobiology!$21:$421,1+$AH71-380,AO$14)</f>
        <v>0.0927009105497853</v>
      </c>
      <c r="AP71" s="236">
        <f ca="1">INDEX(Photobiology!$21:$421,1+$AH71-380,AP$14)</f>
        <v>0.0665627107226236</v>
      </c>
      <c r="AQ71" s="236">
        <f ca="1">INDEX(Photobiology!$21:$421,1+$AH71-380,AQ$14)</f>
        <v>0.2026861157491</v>
      </c>
      <c r="AR71" s="236">
        <f ca="1">INDEX(Photobiology!$21:$421,1+$AH71-380,AR$14)</f>
        <v>0.253865099694662</v>
      </c>
      <c r="AS71" s="236">
        <f ca="1" t="shared" si="32"/>
        <v>2.8867436566255e+19</v>
      </c>
      <c r="AT71" s="236">
        <f ca="1">INDEX(Photobiology!$21:$421,1+$AH71-380,AT$14)</f>
        <v>0.885837825657689</v>
      </c>
      <c r="AU71" s="236">
        <f ca="1">INDEX(Photobiology!$21:$421,1+$AH71-380,AU$14)</f>
        <v>0.117068703722182</v>
      </c>
      <c r="AV71" s="236">
        <f ca="1">INDEX(Photobiology!$21:$421,1+$AH71-380,AV$14)</f>
        <v>0.0881222552710162</v>
      </c>
      <c r="AW71" s="236">
        <f ca="1">INDEX(Photobiology!$21:$421,1+$AH71-380,AW$14)</f>
        <v>0.240269838631287</v>
      </c>
      <c r="AX71" s="236">
        <f ca="1">INDEX(Photobiology!$21:$421,1+$AH71-380,AX$14)</f>
        <v>0.288566230015777</v>
      </c>
      <c r="AY71" s="236">
        <f ca="1" t="shared" si="19"/>
        <v>13.3319879209511</v>
      </c>
      <c r="AZ71" s="236">
        <f ca="1" t="shared" si="33"/>
        <v>11.5415705735992</v>
      </c>
      <c r="BA71" s="236">
        <f ca="1" t="shared" si="20"/>
        <v>1.23588741971091</v>
      </c>
      <c r="BB71" s="236">
        <f ca="1" t="shared" si="21"/>
        <v>0.887413255339783</v>
      </c>
      <c r="BC71" s="236">
        <f ca="1" t="shared" si="22"/>
        <v>2.70220884691151</v>
      </c>
      <c r="BD71" s="236">
        <f ca="1" t="shared" si="23"/>
        <v>3.38452644268029</v>
      </c>
    </row>
    <row r="72" s="234" customFormat="1" ht="0.2" customHeight="1" spans="7:56">
      <c r="G72" s="236"/>
      <c r="H72" s="236">
        <f t="shared" si="24"/>
        <v>431</v>
      </c>
      <c r="I72" s="236">
        <f>IF($H72&gt;$H71,INDEX(Spectra!72:72,1,MATCH($I$20,Spectra!$20:$20,0)),I71)</f>
        <v>10.5051034114509</v>
      </c>
      <c r="J72" s="236">
        <f>((Physics!$C$9*Physics!$C$10)/(Physics!$C$11*Physics!$C$12*$H72))^($J$17-$J$18)</f>
        <v>2.17031175779828e+18</v>
      </c>
      <c r="K72" s="236">
        <f t="shared" si="25"/>
        <v>1</v>
      </c>
      <c r="L72" s="236">
        <f ca="1">INDEX(Photobiology!$21:$421,1+$H72-380,10)</f>
        <v>0.01257317</v>
      </c>
      <c r="M72" s="236">
        <f ca="1" t="shared" si="26"/>
        <v>10.5051034114509</v>
      </c>
      <c r="N72" s="236">
        <f ca="1">INDEX(Photobiology!$21:$421,1+$H72-380,N$14)</f>
        <v>0.881472971256658</v>
      </c>
      <c r="O72" s="236">
        <f ca="1">INDEX(Photobiology!$21:$421,1+$H72-380,O$14)</f>
        <v>0.0962988276457227</v>
      </c>
      <c r="P72" s="236">
        <f ca="1">INDEX(Photobiology!$21:$421,1+$H72-380,P$14)</f>
        <v>0.0680460625433881</v>
      </c>
      <c r="Q72" s="236">
        <f ca="1">INDEX(Photobiology!$21:$421,1+$H72-380,Q$14)</f>
        <v>0.21214656293795</v>
      </c>
      <c r="R72" s="236">
        <f ca="1">INDEX(Photobiology!$21:$421,1+$H72-380,R$14)</f>
        <v>0.266176064752864</v>
      </c>
      <c r="S72" s="236">
        <f ca="1" t="shared" si="27"/>
        <v>2.27993494507587e+19</v>
      </c>
      <c r="T72" s="236">
        <f ca="1">INDEX(Photobiology!$21:$421,1+$H72-380,T$14)</f>
        <v>0.899879599426751</v>
      </c>
      <c r="U72" s="236">
        <f ca="1">INDEX(Photobiology!$21:$421,1+$H72-380,U$14)</f>
        <v>0.121330222757266</v>
      </c>
      <c r="V72" s="236">
        <f ca="1">INDEX(Photobiology!$21:$421,1+$H72-380,V$14)</f>
        <v>0.0898770457435957</v>
      </c>
      <c r="W72" s="236">
        <f ca="1">INDEX(Photobiology!$21:$421,1+$H72-380,W$14)</f>
        <v>0.250901028808347</v>
      </c>
      <c r="X72" s="236">
        <f ca="1">INDEX(Photobiology!$21:$421,1+$H72-380,X$14)</f>
        <v>0.301858000563243</v>
      </c>
      <c r="Y72" s="236">
        <f ca="1" t="shared" si="14"/>
        <v>10.5051034114509</v>
      </c>
      <c r="Z72" s="236">
        <f ca="1" t="shared" si="28"/>
        <v>9.25996471745008</v>
      </c>
      <c r="AA72" s="236">
        <f ca="1" t="shared" si="15"/>
        <v>1.0116291428198</v>
      </c>
      <c r="AB72" s="236">
        <f ca="1" t="shared" si="16"/>
        <v>0.714830923760348</v>
      </c>
      <c r="AC72" s="236">
        <f ca="1" t="shared" si="17"/>
        <v>2.22862158204704</v>
      </c>
      <c r="AD72" s="236">
        <f ca="1" t="shared" si="18"/>
        <v>2.79620708588189</v>
      </c>
      <c r="AE72" s="236"/>
      <c r="AF72" s="236"/>
      <c r="AG72" s="236"/>
      <c r="AH72" s="236">
        <f t="shared" si="29"/>
        <v>431</v>
      </c>
      <c r="AI72" s="236">
        <f>IF($AH72&gt;$AH71,INDEX(Spectra!72:72,1,MATCH($AI$20,Spectra!$20:$20,0)),AI71)</f>
        <v>1</v>
      </c>
      <c r="AJ72" s="236">
        <f>((Physics!$C$9*Physics!$C$10)/(Physics!$C$11*Physics!$C$12*$AH72))^($AJ$17-$AJ$18)</f>
        <v>2.17031175779828e+18</v>
      </c>
      <c r="AK72" s="236">
        <f t="shared" si="30"/>
        <v>1</v>
      </c>
      <c r="AL72" s="236">
        <f ca="1">INDEX(Photobiology!$21:$421,1+$AH72-380,10)</f>
        <v>0.01257317</v>
      </c>
      <c r="AM72" s="236">
        <f ca="1" t="shared" si="31"/>
        <v>13.3319879209511</v>
      </c>
      <c r="AN72" s="236">
        <f ca="1">INDEX(Photobiology!$21:$421,1+$AH72-380,AN$14)</f>
        <v>0.881472971256658</v>
      </c>
      <c r="AO72" s="236">
        <f ca="1">INDEX(Photobiology!$21:$421,1+$AH72-380,AO$14)</f>
        <v>0.0962988276457227</v>
      </c>
      <c r="AP72" s="236">
        <f ca="1">INDEX(Photobiology!$21:$421,1+$AH72-380,AP$14)</f>
        <v>0.0680460625433881</v>
      </c>
      <c r="AQ72" s="236">
        <f ca="1">INDEX(Photobiology!$21:$421,1+$AH72-380,AQ$14)</f>
        <v>0.21214656293795</v>
      </c>
      <c r="AR72" s="236">
        <f ca="1">INDEX(Photobiology!$21:$421,1+$AH72-380,AR$14)</f>
        <v>0.266176064752864</v>
      </c>
      <c r="AS72" s="236">
        <f ca="1" t="shared" si="32"/>
        <v>2.89345701396649e+19</v>
      </c>
      <c r="AT72" s="236">
        <f ca="1">INDEX(Photobiology!$21:$421,1+$AH72-380,AT$14)</f>
        <v>0.899879599426751</v>
      </c>
      <c r="AU72" s="236">
        <f ca="1">INDEX(Photobiology!$21:$421,1+$AH72-380,AU$14)</f>
        <v>0.121330222757266</v>
      </c>
      <c r="AV72" s="236">
        <f ca="1">INDEX(Photobiology!$21:$421,1+$AH72-380,AV$14)</f>
        <v>0.0898770457435957</v>
      </c>
      <c r="AW72" s="236">
        <f ca="1">INDEX(Photobiology!$21:$421,1+$AH72-380,AW$14)</f>
        <v>0.250901028808347</v>
      </c>
      <c r="AX72" s="236">
        <f ca="1">INDEX(Photobiology!$21:$421,1+$AH72-380,AX$14)</f>
        <v>0.301858000563243</v>
      </c>
      <c r="AY72" s="236">
        <f ca="1" t="shared" si="19"/>
        <v>13.3319879209511</v>
      </c>
      <c r="AZ72" s="236">
        <f ca="1" t="shared" si="33"/>
        <v>11.7517870054387</v>
      </c>
      <c r="BA72" s="236">
        <f ca="1" t="shared" si="20"/>
        <v>1.28385480697453</v>
      </c>
      <c r="BB72" s="236">
        <f ca="1" t="shared" si="21"/>
        <v>0.907189283896736</v>
      </c>
      <c r="BC72" s="236">
        <f ca="1" t="shared" si="22"/>
        <v>2.82833541456005</v>
      </c>
      <c r="BD72" s="236">
        <f ca="1" t="shared" si="23"/>
        <v>3.54865608013149</v>
      </c>
    </row>
    <row r="73" s="234" customFormat="1" ht="0.2" customHeight="1" spans="7:56">
      <c r="G73" s="236"/>
      <c r="H73" s="236">
        <f t="shared" si="24"/>
        <v>432</v>
      </c>
      <c r="I73" s="236">
        <f>IF($H73&gt;$H72,INDEX(Spectra!73:73,1,MATCH($I$20,Spectra!$20:$20,0)),I72)</f>
        <v>10.2508015996064</v>
      </c>
      <c r="J73" s="236">
        <f>((Physics!$C$9*Physics!$C$10)/(Physics!$C$11*Physics!$C$12*$H73))^($J$17-$J$18)</f>
        <v>2.17534728391846e+18</v>
      </c>
      <c r="K73" s="236">
        <f t="shared" si="25"/>
        <v>1</v>
      </c>
      <c r="L73" s="236">
        <f ca="1">INDEX(Photobiology!$21:$421,1+$H73-380,10)</f>
        <v>0.01358272</v>
      </c>
      <c r="M73" s="236">
        <f ca="1" t="shared" si="26"/>
        <v>10.2508015996064</v>
      </c>
      <c r="N73" s="236">
        <f ca="1">INDEX(Photobiology!$21:$421,1+$H73-380,N$14)</f>
        <v>0.896860712682363</v>
      </c>
      <c r="O73" s="236">
        <f ca="1">INDEX(Photobiology!$21:$421,1+$H73-380,O$14)</f>
        <v>0.100114965030325</v>
      </c>
      <c r="P73" s="236">
        <f ca="1">INDEX(Photobiology!$21:$421,1+$H73-380,P$14)</f>
        <v>0.069613104147129</v>
      </c>
      <c r="Q73" s="236">
        <f ca="1">INDEX(Photobiology!$21:$421,1+$H73-380,Q$14)</f>
        <v>0.222020972180234</v>
      </c>
      <c r="R73" s="236">
        <f ca="1">INDEX(Photobiology!$21:$421,1+$H73-380,R$14)</f>
        <v>0.278999869412754</v>
      </c>
      <c r="S73" s="236">
        <f ca="1" t="shared" si="27"/>
        <v>2.22990534176908e+19</v>
      </c>
      <c r="T73" s="236">
        <f ca="1">INDEX(Photobiology!$21:$421,1+$H73-380,T$14)</f>
        <v>0.913469244398703</v>
      </c>
      <c r="U73" s="236">
        <f ca="1">INDEX(Photobiology!$21:$421,1+$H73-380,U$14)</f>
        <v>0.125846319382041</v>
      </c>
      <c r="V73" s="236">
        <f ca="1">INDEX(Photobiology!$21:$421,1+$H73-380,V$14)</f>
        <v>0.0917339959942709</v>
      </c>
      <c r="W73" s="236">
        <f ca="1">INDEX(Photobiology!$21:$421,1+$H73-380,W$14)</f>
        <v>0.261971450944363</v>
      </c>
      <c r="X73" s="236">
        <f ca="1">INDEX(Photobiology!$21:$421,1+$H73-380,X$14)</f>
        <v>0.31566847661116</v>
      </c>
      <c r="Y73" s="236">
        <f ca="1" t="shared" si="14"/>
        <v>10.2508015996064</v>
      </c>
      <c r="Z73" s="236">
        <f ca="1" t="shared" si="28"/>
        <v>9.1935412281885</v>
      </c>
      <c r="AA73" s="236">
        <f ca="1" t="shared" si="15"/>
        <v>1.02625864367739</v>
      </c>
      <c r="AB73" s="236">
        <f ca="1" t="shared" si="16"/>
        <v>0.713590119344957</v>
      </c>
      <c r="AC73" s="236">
        <f ca="1" t="shared" si="17"/>
        <v>2.27589293677131</v>
      </c>
      <c r="AD73" s="236">
        <f ca="1" t="shared" si="18"/>
        <v>2.85997230766623</v>
      </c>
      <c r="AE73" s="236"/>
      <c r="AF73" s="236"/>
      <c r="AG73" s="236"/>
      <c r="AH73" s="236">
        <f t="shared" si="29"/>
        <v>432</v>
      </c>
      <c r="AI73" s="236">
        <f>IF($AH73&gt;$AH72,INDEX(Spectra!73:73,1,MATCH($AI$20,Spectra!$20:$20,0)),AI72)</f>
        <v>1</v>
      </c>
      <c r="AJ73" s="236">
        <f>((Physics!$C$9*Physics!$C$10)/(Physics!$C$11*Physics!$C$12*$AH73))^($AJ$17-$AJ$18)</f>
        <v>2.17534728391846e+18</v>
      </c>
      <c r="AK73" s="236">
        <f t="shared" si="30"/>
        <v>1</v>
      </c>
      <c r="AL73" s="236">
        <f ca="1">INDEX(Photobiology!$21:$421,1+$AH73-380,10)</f>
        <v>0.01358272</v>
      </c>
      <c r="AM73" s="236">
        <f ca="1" t="shared" si="31"/>
        <v>13.3319879209511</v>
      </c>
      <c r="AN73" s="236">
        <f ca="1">INDEX(Photobiology!$21:$421,1+$AH73-380,AN$14)</f>
        <v>0.896860712682363</v>
      </c>
      <c r="AO73" s="236">
        <f ca="1">INDEX(Photobiology!$21:$421,1+$AH73-380,AO$14)</f>
        <v>0.100114965030325</v>
      </c>
      <c r="AP73" s="236">
        <f ca="1">INDEX(Photobiology!$21:$421,1+$AH73-380,AP$14)</f>
        <v>0.069613104147129</v>
      </c>
      <c r="AQ73" s="236">
        <f ca="1">INDEX(Photobiology!$21:$421,1+$AH73-380,AQ$14)</f>
        <v>0.222020972180234</v>
      </c>
      <c r="AR73" s="236">
        <f ca="1">INDEX(Photobiology!$21:$421,1+$AH73-380,AR$14)</f>
        <v>0.278999869412754</v>
      </c>
      <c r="AS73" s="236">
        <f ca="1" t="shared" si="32"/>
        <v>2.90017037130748e+19</v>
      </c>
      <c r="AT73" s="236">
        <f ca="1">INDEX(Photobiology!$21:$421,1+$AH73-380,AT$14)</f>
        <v>0.913469244398703</v>
      </c>
      <c r="AU73" s="236">
        <f ca="1">INDEX(Photobiology!$21:$421,1+$AH73-380,AU$14)</f>
        <v>0.125846319382041</v>
      </c>
      <c r="AV73" s="236">
        <f ca="1">INDEX(Photobiology!$21:$421,1+$AH73-380,AV$14)</f>
        <v>0.0917339959942709</v>
      </c>
      <c r="AW73" s="236">
        <f ca="1">INDEX(Photobiology!$21:$421,1+$AH73-380,AW$14)</f>
        <v>0.261971450944363</v>
      </c>
      <c r="AX73" s="236">
        <f ca="1">INDEX(Photobiology!$21:$421,1+$AH73-380,AX$14)</f>
        <v>0.31566847661116</v>
      </c>
      <c r="AY73" s="236">
        <f ca="1" t="shared" si="19"/>
        <v>13.3319879209511</v>
      </c>
      <c r="AZ73" s="236">
        <f ca="1" t="shared" si="33"/>
        <v>11.9569361882569</v>
      </c>
      <c r="BA73" s="236">
        <f ca="1" t="shared" si="20"/>
        <v>1.33473150449074</v>
      </c>
      <c r="BB73" s="236">
        <f ca="1" t="shared" si="21"/>
        <v>0.928081063629438</v>
      </c>
      <c r="BC73" s="236">
        <f ca="1" t="shared" si="22"/>
        <v>2.95998091930471</v>
      </c>
      <c r="BD73" s="236">
        <f ca="1" t="shared" si="23"/>
        <v>3.71962288895778</v>
      </c>
    </row>
    <row r="74" s="234" customFormat="1" ht="0.2" customHeight="1" spans="7:56">
      <c r="G74" s="236"/>
      <c r="H74" s="236">
        <f t="shared" si="24"/>
        <v>433</v>
      </c>
      <c r="I74" s="236">
        <f>IF($H74&gt;$H73,INDEX(Spectra!74:74,1,MATCH($I$20,Spectra!$20:$20,0)),I73)</f>
        <v>9.84749074988137</v>
      </c>
      <c r="J74" s="236">
        <f>((Physics!$C$9*Physics!$C$10)/(Physics!$C$11*Physics!$C$12*$H74))^($J$17-$J$18)</f>
        <v>2.18038281003864e+18</v>
      </c>
      <c r="K74" s="236">
        <f t="shared" si="25"/>
        <v>1</v>
      </c>
      <c r="L74" s="236">
        <f ca="1">INDEX(Photobiology!$21:$421,1+$H74-380,10)</f>
        <v>0.01462968</v>
      </c>
      <c r="M74" s="236">
        <f ca="1" t="shared" si="26"/>
        <v>9.84749074988137</v>
      </c>
      <c r="N74" s="236">
        <f ca="1">INDEX(Photobiology!$21:$421,1+$H74-380,N$14)</f>
        <v>0.911817661422001</v>
      </c>
      <c r="O74" s="236">
        <f ca="1">INDEX(Photobiology!$21:$421,1+$H74-380,O$14)</f>
        <v>0.104160486577192</v>
      </c>
      <c r="P74" s="236">
        <f ca="1">INDEX(Photobiology!$21:$421,1+$H74-380,P$14)</f>
        <v>0.0712705319003872</v>
      </c>
      <c r="Q74" s="236">
        <f ca="1">INDEX(Photobiology!$21:$421,1+$H74-380,Q$14)</f>
        <v>0.232321284375553</v>
      </c>
      <c r="R74" s="236">
        <f ca="1">INDEX(Photobiology!$21:$421,1+$H74-380,R$14)</f>
        <v>0.292349933913593</v>
      </c>
      <c r="S74" s="236">
        <f ca="1" t="shared" si="27"/>
        <v>2.14712995530559e+19</v>
      </c>
      <c r="T74" s="236">
        <f ca="1">INDEX(Photobiology!$21:$421,1+$H74-380,T$14)</f>
        <v>0.926558362645913</v>
      </c>
      <c r="U74" s="236">
        <f ca="1">INDEX(Photobiology!$21:$421,1+$H74-380,U$14)</f>
        <v>0.130629230561035</v>
      </c>
      <c r="V74" s="236">
        <f ca="1">INDEX(Photobiology!$21:$421,1+$H74-380,V$14)</f>
        <v>0.0937012021039657</v>
      </c>
      <c r="W74" s="236">
        <f ca="1">INDEX(Photobiology!$21:$421,1+$H74-380,W$14)</f>
        <v>0.273492118868843</v>
      </c>
      <c r="X74" s="236">
        <f ca="1">INDEX(Photobiology!$21:$421,1+$H74-380,X$14)</f>
        <v>0.330009213334587</v>
      </c>
      <c r="Y74" s="236">
        <f ca="1" t="shared" si="14"/>
        <v>9.84749074988137</v>
      </c>
      <c r="Z74" s="236">
        <f ca="1" t="shared" si="28"/>
        <v>8.97911598643162</v>
      </c>
      <c r="AA74" s="236">
        <f ca="1" t="shared" si="15"/>
        <v>1.02571942807204</v>
      </c>
      <c r="AB74" s="236">
        <f ca="1" t="shared" si="16"/>
        <v>0.701835903628188</v>
      </c>
      <c r="AC74" s="236">
        <f ca="1" t="shared" si="17"/>
        <v>2.28778169888882</v>
      </c>
      <c r="AD74" s="236">
        <f ca="1" t="shared" si="18"/>
        <v>2.87891326994254</v>
      </c>
      <c r="AE74" s="236"/>
      <c r="AF74" s="236"/>
      <c r="AG74" s="236"/>
      <c r="AH74" s="236">
        <f t="shared" si="29"/>
        <v>433</v>
      </c>
      <c r="AI74" s="236">
        <f>IF($AH74&gt;$AH73,INDEX(Spectra!74:74,1,MATCH($AI$20,Spectra!$20:$20,0)),AI73)</f>
        <v>1</v>
      </c>
      <c r="AJ74" s="236">
        <f>((Physics!$C$9*Physics!$C$10)/(Physics!$C$11*Physics!$C$12*$AH74))^($AJ$17-$AJ$18)</f>
        <v>2.18038281003864e+18</v>
      </c>
      <c r="AK74" s="236">
        <f t="shared" si="30"/>
        <v>1</v>
      </c>
      <c r="AL74" s="236">
        <f ca="1">INDEX(Photobiology!$21:$421,1+$AH74-380,10)</f>
        <v>0.01462968</v>
      </c>
      <c r="AM74" s="236">
        <f ca="1" t="shared" si="31"/>
        <v>13.3319879209511</v>
      </c>
      <c r="AN74" s="236">
        <f ca="1">INDEX(Photobiology!$21:$421,1+$AH74-380,AN$14)</f>
        <v>0.911817661422001</v>
      </c>
      <c r="AO74" s="236">
        <f ca="1">INDEX(Photobiology!$21:$421,1+$AH74-380,AO$14)</f>
        <v>0.104160486577192</v>
      </c>
      <c r="AP74" s="236">
        <f ca="1">INDEX(Photobiology!$21:$421,1+$AH74-380,AP$14)</f>
        <v>0.0712705319003872</v>
      </c>
      <c r="AQ74" s="236">
        <f ca="1">INDEX(Photobiology!$21:$421,1+$AH74-380,AQ$14)</f>
        <v>0.232321284375553</v>
      </c>
      <c r="AR74" s="236">
        <f ca="1">INDEX(Photobiology!$21:$421,1+$AH74-380,AR$14)</f>
        <v>0.292349933913593</v>
      </c>
      <c r="AS74" s="236">
        <f ca="1" t="shared" si="32"/>
        <v>2.90688372864847e+19</v>
      </c>
      <c r="AT74" s="236">
        <f ca="1">INDEX(Photobiology!$21:$421,1+$AH74-380,AT$14)</f>
        <v>0.926558362645913</v>
      </c>
      <c r="AU74" s="236">
        <f ca="1">INDEX(Photobiology!$21:$421,1+$AH74-380,AU$14)</f>
        <v>0.130629230561035</v>
      </c>
      <c r="AV74" s="236">
        <f ca="1">INDEX(Photobiology!$21:$421,1+$AH74-380,AV$14)</f>
        <v>0.0937012021039657</v>
      </c>
      <c r="AW74" s="236">
        <f ca="1">INDEX(Photobiology!$21:$421,1+$AH74-380,AW$14)</f>
        <v>0.273492118868843</v>
      </c>
      <c r="AX74" s="236">
        <f ca="1">INDEX(Photobiology!$21:$421,1+$AH74-380,AX$14)</f>
        <v>0.330009213334587</v>
      </c>
      <c r="AY74" s="236">
        <f ca="1" t="shared" si="19"/>
        <v>13.3319879209511</v>
      </c>
      <c r="AZ74" s="236">
        <f ca="1" t="shared" si="33"/>
        <v>12.156342048188</v>
      </c>
      <c r="BA74" s="236">
        <f ca="1" t="shared" si="20"/>
        <v>1.38866634888752</v>
      </c>
      <c r="BB74" s="236">
        <f ca="1" t="shared" si="21"/>
        <v>0.950177870415725</v>
      </c>
      <c r="BC74" s="236">
        <f ca="1" t="shared" si="22"/>
        <v>3.09730455707473</v>
      </c>
      <c r="BD74" s="236">
        <f ca="1" t="shared" si="23"/>
        <v>3.89760578762689</v>
      </c>
    </row>
    <row r="75" s="234" customFormat="1" ht="0.2" customHeight="1" spans="7:56">
      <c r="G75" s="236"/>
      <c r="H75" s="236">
        <f t="shared" si="24"/>
        <v>434</v>
      </c>
      <c r="I75" s="236">
        <f>IF($H75&gt;$H74,INDEX(Spectra!75:75,1,MATCH($I$20,Spectra!$20:$20,0)),I74)</f>
        <v>9.43373627411354</v>
      </c>
      <c r="J75" s="236">
        <f>((Physics!$C$9*Physics!$C$10)/(Physics!$C$11*Physics!$C$12*$H75))^($J$17-$J$18)</f>
        <v>2.18541833615882e+18</v>
      </c>
      <c r="K75" s="236">
        <f t="shared" si="25"/>
        <v>1</v>
      </c>
      <c r="L75" s="236">
        <f ca="1">INDEX(Photobiology!$21:$421,1+$H75-380,10)</f>
        <v>0.01571509</v>
      </c>
      <c r="M75" s="236">
        <f ca="1" t="shared" si="26"/>
        <v>9.43373627411354</v>
      </c>
      <c r="N75" s="236">
        <f ca="1">INDEX(Photobiology!$21:$421,1+$H75-380,N$14)</f>
        <v>0.926294317903346</v>
      </c>
      <c r="O75" s="236">
        <f ca="1">INDEX(Photobiology!$21:$421,1+$H75-380,O$14)</f>
        <v>0.108447613658885</v>
      </c>
      <c r="P75" s="236">
        <f ca="1">INDEX(Photobiology!$21:$421,1+$H75-380,P$14)</f>
        <v>0.0730245685975222</v>
      </c>
      <c r="Q75" s="236">
        <f ca="1">INDEX(Photobiology!$21:$421,1+$H75-380,Q$14)</f>
        <v>0.243057485114717</v>
      </c>
      <c r="R75" s="236">
        <f ca="1">INDEX(Photobiology!$21:$421,1+$H75-380,R$14)</f>
        <v>0.306238648879508</v>
      </c>
      <c r="S75" s="236">
        <f ca="1" t="shared" si="27"/>
        <v>2.06166602319343e+19</v>
      </c>
      <c r="T75" s="236">
        <f ca="1">INDEX(Photobiology!$21:$421,1+$H75-380,T$14)</f>
        <v>0.939100230132425</v>
      </c>
      <c r="U75" s="236">
        <f ca="1">INDEX(Photobiology!$21:$421,1+$H75-380,U$14)</f>
        <v>0.135692403645205</v>
      </c>
      <c r="V75" s="236">
        <f ca="1">INDEX(Photobiology!$21:$421,1+$H75-380,V$14)</f>
        <v>0.0957860643524172</v>
      </c>
      <c r="W75" s="236">
        <f ca="1">INDEX(Photobiology!$21:$421,1+$H75-380,W$14)</f>
        <v>0.285471648386086</v>
      </c>
      <c r="X75" s="236">
        <f ca="1">INDEX(Photobiology!$21:$421,1+$H75-380,X$14)</f>
        <v>0.34489049984147</v>
      </c>
      <c r="Y75" s="236">
        <f ca="1" t="shared" si="14"/>
        <v>9.43373627411354</v>
      </c>
      <c r="Z75" s="236">
        <f ca="1" t="shared" si="28"/>
        <v>8.73841630731006</v>
      </c>
      <c r="AA75" s="236">
        <f ca="1" t="shared" si="15"/>
        <v>1.02306618681487</v>
      </c>
      <c r="AB75" s="236">
        <f ca="1" t="shared" si="16"/>
        <v>0.688894521679938</v>
      </c>
      <c r="AC75" s="236">
        <f ca="1" t="shared" si="17"/>
        <v>2.29294021402152</v>
      </c>
      <c r="AD75" s="236">
        <f ca="1" t="shared" si="18"/>
        <v>2.88897465047013</v>
      </c>
      <c r="AE75" s="236"/>
      <c r="AF75" s="236"/>
      <c r="AG75" s="236"/>
      <c r="AH75" s="236">
        <f t="shared" si="29"/>
        <v>434</v>
      </c>
      <c r="AI75" s="236">
        <f>IF($AH75&gt;$AH74,INDEX(Spectra!75:75,1,MATCH($AI$20,Spectra!$20:$20,0)),AI74)</f>
        <v>1</v>
      </c>
      <c r="AJ75" s="236">
        <f>((Physics!$C$9*Physics!$C$10)/(Physics!$C$11*Physics!$C$12*$AH75))^($AJ$17-$AJ$18)</f>
        <v>2.18541833615882e+18</v>
      </c>
      <c r="AK75" s="236">
        <f t="shared" si="30"/>
        <v>1</v>
      </c>
      <c r="AL75" s="236">
        <f ca="1">INDEX(Photobiology!$21:$421,1+$AH75-380,10)</f>
        <v>0.01571509</v>
      </c>
      <c r="AM75" s="236">
        <f ca="1" t="shared" si="31"/>
        <v>13.3319879209511</v>
      </c>
      <c r="AN75" s="236">
        <f ca="1">INDEX(Photobiology!$21:$421,1+$AH75-380,AN$14)</f>
        <v>0.926294317903346</v>
      </c>
      <c r="AO75" s="236">
        <f ca="1">INDEX(Photobiology!$21:$421,1+$AH75-380,AO$14)</f>
        <v>0.108447613658885</v>
      </c>
      <c r="AP75" s="236">
        <f ca="1">INDEX(Photobiology!$21:$421,1+$AH75-380,AP$14)</f>
        <v>0.0730245685975222</v>
      </c>
      <c r="AQ75" s="236">
        <f ca="1">INDEX(Photobiology!$21:$421,1+$AH75-380,AQ$14)</f>
        <v>0.243057485114717</v>
      </c>
      <c r="AR75" s="236">
        <f ca="1">INDEX(Photobiology!$21:$421,1+$AH75-380,AR$14)</f>
        <v>0.306238648879508</v>
      </c>
      <c r="AS75" s="236">
        <f ca="1" t="shared" si="32"/>
        <v>2.91359708598946e+19</v>
      </c>
      <c r="AT75" s="236">
        <f ca="1">INDEX(Photobiology!$21:$421,1+$AH75-380,AT$14)</f>
        <v>0.939100230132425</v>
      </c>
      <c r="AU75" s="236">
        <f ca="1">INDEX(Photobiology!$21:$421,1+$AH75-380,AU$14)</f>
        <v>0.135692403645205</v>
      </c>
      <c r="AV75" s="236">
        <f ca="1">INDEX(Photobiology!$21:$421,1+$AH75-380,AV$14)</f>
        <v>0.0957860643524172</v>
      </c>
      <c r="AW75" s="236">
        <f ca="1">INDEX(Photobiology!$21:$421,1+$AH75-380,AW$14)</f>
        <v>0.285471648386086</v>
      </c>
      <c r="AX75" s="236">
        <f ca="1">INDEX(Photobiology!$21:$421,1+$AH75-380,AX$14)</f>
        <v>0.34489049984147</v>
      </c>
      <c r="AY75" s="236">
        <f ca="1" t="shared" si="19"/>
        <v>13.3319879209511</v>
      </c>
      <c r="AZ75" s="236">
        <f ca="1" t="shared" si="33"/>
        <v>12.3493446575331</v>
      </c>
      <c r="BA75" s="236">
        <f ca="1" t="shared" si="20"/>
        <v>1.44582227535623</v>
      </c>
      <c r="BB75" s="236">
        <f ca="1" t="shared" si="21"/>
        <v>0.973562666474834</v>
      </c>
      <c r="BC75" s="236">
        <f ca="1" t="shared" si="22"/>
        <v>3.24043945564617</v>
      </c>
      <c r="BD75" s="236">
        <f ca="1" t="shared" si="23"/>
        <v>4.08276996779</v>
      </c>
    </row>
    <row r="76" s="234" customFormat="1" ht="0.2" customHeight="1" spans="7:56">
      <c r="G76" s="236"/>
      <c r="H76" s="236">
        <f t="shared" si="24"/>
        <v>435</v>
      </c>
      <c r="I76" s="236">
        <f>IF($H76&gt;$H75,INDEX(Spectra!76:76,1,MATCH($I$20,Spectra!$20:$20,0)),I75)</f>
        <v>8.90862428776355</v>
      </c>
      <c r="J76" s="236">
        <f>((Physics!$C$9*Physics!$C$10)/(Physics!$C$11*Physics!$C$12*$H76))^($J$17-$J$18)</f>
        <v>2.19045386227901e+18</v>
      </c>
      <c r="K76" s="236">
        <f t="shared" si="25"/>
        <v>1</v>
      </c>
      <c r="L76" s="236">
        <f ca="1">INDEX(Photobiology!$21:$421,1+$H76-380,10)</f>
        <v>0.01684</v>
      </c>
      <c r="M76" s="236">
        <f ca="1" t="shared" si="26"/>
        <v>8.90862428776355</v>
      </c>
      <c r="N76" s="236">
        <f ca="1">INDEX(Photobiology!$21:$421,1+$H76-380,N$14)</f>
        <v>0.940238434406581</v>
      </c>
      <c r="O76" s="236">
        <f ca="1">INDEX(Photobiology!$21:$421,1+$H76-380,O$14)</f>
        <v>0.112988957079879</v>
      </c>
      <c r="P76" s="236">
        <f ca="1">INDEX(Photobiology!$21:$421,1+$H76-380,P$14)</f>
        <v>0.0748826146322499</v>
      </c>
      <c r="Q76" s="236">
        <f ca="1">INDEX(Photobiology!$21:$421,1+$H76-380,Q$14)</f>
        <v>0.254241241150629</v>
      </c>
      <c r="R76" s="236">
        <f ca="1">INDEX(Photobiology!$21:$421,1+$H76-380,R$14)</f>
        <v>0.320679353961907</v>
      </c>
      <c r="S76" s="236">
        <f ca="1" t="shared" si="27"/>
        <v>1.95139304787243e+19</v>
      </c>
      <c r="T76" s="236">
        <f ca="1">INDEX(Photobiology!$21:$421,1+$H76-380,T$14)</f>
        <v>0.951045772733093</v>
      </c>
      <c r="U76" s="236">
        <f ca="1">INDEX(Photobiology!$21:$421,1+$H76-380,U$14)</f>
        <v>0.141049648478634</v>
      </c>
      <c r="V76" s="236">
        <f ca="1">INDEX(Photobiology!$21:$421,1+$H76-380,V$14)</f>
        <v>0.0979974560727335</v>
      </c>
      <c r="W76" s="236">
        <f ca="1">INDEX(Photobiology!$21:$421,1+$H76-380,W$14)</f>
        <v>0.297920546064708</v>
      </c>
      <c r="X76" s="236">
        <f ca="1">INDEX(Photobiology!$21:$421,1+$H76-380,X$14)</f>
        <v>0.360323596978808</v>
      </c>
      <c r="Y76" s="236">
        <f ca="1" t="shared" si="14"/>
        <v>8.90862428776355</v>
      </c>
      <c r="Z76" s="236">
        <f ca="1" t="shared" si="28"/>
        <v>8.37623095304324</v>
      </c>
      <c r="AA76" s="236">
        <f ca="1" t="shared" si="15"/>
        <v>1.00657616729088</v>
      </c>
      <c r="AB76" s="236">
        <f ca="1" t="shared" si="16"/>
        <v>0.6671010794441</v>
      </c>
      <c r="AC76" s="236">
        <f ca="1" t="shared" si="17"/>
        <v>2.26493969586564</v>
      </c>
      <c r="AD76" s="236">
        <f ca="1" t="shared" si="18"/>
        <v>2.85681188128937</v>
      </c>
      <c r="AE76" s="236"/>
      <c r="AF76" s="236"/>
      <c r="AG76" s="236"/>
      <c r="AH76" s="236">
        <f t="shared" si="29"/>
        <v>435</v>
      </c>
      <c r="AI76" s="236">
        <f>IF($AH76&gt;$AH75,INDEX(Spectra!76:76,1,MATCH($AI$20,Spectra!$20:$20,0)),AI75)</f>
        <v>1</v>
      </c>
      <c r="AJ76" s="236">
        <f>((Physics!$C$9*Physics!$C$10)/(Physics!$C$11*Physics!$C$12*$AH76))^($AJ$17-$AJ$18)</f>
        <v>2.19045386227901e+18</v>
      </c>
      <c r="AK76" s="236">
        <f t="shared" si="30"/>
        <v>1</v>
      </c>
      <c r="AL76" s="236">
        <f ca="1">INDEX(Photobiology!$21:$421,1+$AH76-380,10)</f>
        <v>0.01684</v>
      </c>
      <c r="AM76" s="236">
        <f ca="1" t="shared" si="31"/>
        <v>13.3319879209511</v>
      </c>
      <c r="AN76" s="236">
        <f ca="1">INDEX(Photobiology!$21:$421,1+$AH76-380,AN$14)</f>
        <v>0.940238434406581</v>
      </c>
      <c r="AO76" s="236">
        <f ca="1">INDEX(Photobiology!$21:$421,1+$AH76-380,AO$14)</f>
        <v>0.112988957079879</v>
      </c>
      <c r="AP76" s="236">
        <f ca="1">INDEX(Photobiology!$21:$421,1+$AH76-380,AP$14)</f>
        <v>0.0748826146322499</v>
      </c>
      <c r="AQ76" s="236">
        <f ca="1">INDEX(Photobiology!$21:$421,1+$AH76-380,AQ$14)</f>
        <v>0.254241241150629</v>
      </c>
      <c r="AR76" s="236">
        <f ca="1">INDEX(Photobiology!$21:$421,1+$AH76-380,AR$14)</f>
        <v>0.320679353961907</v>
      </c>
      <c r="AS76" s="236">
        <f ca="1" t="shared" si="32"/>
        <v>2.92031044333045e+19</v>
      </c>
      <c r="AT76" s="236">
        <f ca="1">INDEX(Photobiology!$21:$421,1+$AH76-380,AT$14)</f>
        <v>0.951045772733093</v>
      </c>
      <c r="AU76" s="236">
        <f ca="1">INDEX(Photobiology!$21:$421,1+$AH76-380,AU$14)</f>
        <v>0.141049648478634</v>
      </c>
      <c r="AV76" s="236">
        <f ca="1">INDEX(Photobiology!$21:$421,1+$AH76-380,AV$14)</f>
        <v>0.0979974560727335</v>
      </c>
      <c r="AW76" s="236">
        <f ca="1">INDEX(Photobiology!$21:$421,1+$AH76-380,AW$14)</f>
        <v>0.297920546064708</v>
      </c>
      <c r="AX76" s="236">
        <f ca="1">INDEX(Photobiology!$21:$421,1+$AH76-380,AX$14)</f>
        <v>0.360323596978808</v>
      </c>
      <c r="AY76" s="236">
        <f ca="1" t="shared" si="19"/>
        <v>13.3319879209511</v>
      </c>
      <c r="AZ76" s="236">
        <f ca="1" t="shared" si="33"/>
        <v>12.5352474503225</v>
      </c>
      <c r="BA76" s="236">
        <f ca="1" t="shared" si="20"/>
        <v>1.50636741098981</v>
      </c>
      <c r="BB76" s="236">
        <f ca="1" t="shared" si="21"/>
        <v>0.998334113766395</v>
      </c>
      <c r="BC76" s="236">
        <f ca="1" t="shared" si="22"/>
        <v>3.38954115602781</v>
      </c>
      <c r="BD76" s="236">
        <f ca="1" t="shared" si="23"/>
        <v>4.27529327351856</v>
      </c>
    </row>
    <row r="77" s="234" customFormat="1" ht="0.2" customHeight="1" spans="7:56">
      <c r="G77" s="236"/>
      <c r="H77" s="236">
        <f t="shared" si="24"/>
        <v>436</v>
      </c>
      <c r="I77" s="236">
        <f>IF($H77&gt;$H76,INDEX(Spectra!77:77,1,MATCH($I$20,Spectra!$20:$20,0)),I76)</f>
        <v>8.42579267101393</v>
      </c>
      <c r="J77" s="236">
        <f>((Physics!$C$9*Physics!$C$10)/(Physics!$C$11*Physics!$C$12*$H77))^($J$17-$J$18)</f>
        <v>2.19548938839919e+18</v>
      </c>
      <c r="K77" s="236">
        <f t="shared" si="25"/>
        <v>1</v>
      </c>
      <c r="L77" s="236">
        <f ca="1">INDEX(Photobiology!$21:$421,1+$H77-380,10)</f>
        <v>0.01800736</v>
      </c>
      <c r="M77" s="236">
        <f ca="1" t="shared" si="26"/>
        <v>8.42579267101393</v>
      </c>
      <c r="N77" s="236">
        <f ca="1">INDEX(Photobiology!$21:$421,1+$H77-380,N$14)</f>
        <v>0.953590684824725</v>
      </c>
      <c r="O77" s="236">
        <f ca="1">INDEX(Photobiology!$21:$421,1+$H77-380,O$14)</f>
        <v>0.117796666329618</v>
      </c>
      <c r="P77" s="236">
        <f ca="1">INDEX(Photobiology!$21:$421,1+$H77-380,P$14)</f>
        <v>0.0768519691946683</v>
      </c>
      <c r="Q77" s="236">
        <f ca="1">INDEX(Photobiology!$21:$421,1+$H77-380,Q$14)</f>
        <v>0.265882038609017</v>
      </c>
      <c r="R77" s="236">
        <f ca="1">INDEX(Photobiology!$21:$421,1+$H77-380,R$14)</f>
        <v>0.335684277034757</v>
      </c>
      <c r="S77" s="236">
        <f ca="1" t="shared" si="27"/>
        <v>1.84987383980628e+19</v>
      </c>
      <c r="T77" s="236">
        <f ca="1">INDEX(Photobiology!$21:$421,1+$H77-380,T$14)</f>
        <v>0.962339223217612</v>
      </c>
      <c r="U77" s="236">
        <f ca="1">INDEX(Photobiology!$21:$421,1+$H77-380,U$14)</f>
        <v>0.146714073648275</v>
      </c>
      <c r="V77" s="236">
        <f ca="1">INDEX(Photobiology!$21:$421,1+$H77-380,V$14)</f>
        <v>0.100344037051812</v>
      </c>
      <c r="W77" s="236">
        <f ca="1">INDEX(Photobiology!$21:$421,1+$H77-380,W$14)</f>
        <v>0.310846672678901</v>
      </c>
      <c r="X77" s="236">
        <f ca="1">INDEX(Photobiology!$21:$421,1+$H77-380,X$14)</f>
        <v>0.376318415926444</v>
      </c>
      <c r="Y77" s="236">
        <f ca="1" t="shared" si="14"/>
        <v>8.42579267101393</v>
      </c>
      <c r="Z77" s="236">
        <f ca="1" t="shared" si="28"/>
        <v>8.03475740334332</v>
      </c>
      <c r="AA77" s="236">
        <f ca="1" t="shared" si="15"/>
        <v>0.992530287829969</v>
      </c>
      <c r="AB77" s="236">
        <f ca="1" t="shared" si="16"/>
        <v>0.647538758793424</v>
      </c>
      <c r="AC77" s="236">
        <f ca="1" t="shared" si="17"/>
        <v>2.2402669322661</v>
      </c>
      <c r="AD77" s="236">
        <f ca="1" t="shared" si="18"/>
        <v>2.82840612121407</v>
      </c>
      <c r="AE77" s="236"/>
      <c r="AF77" s="236"/>
      <c r="AG77" s="236"/>
      <c r="AH77" s="236">
        <f t="shared" si="29"/>
        <v>436</v>
      </c>
      <c r="AI77" s="236">
        <f>IF($AH77&gt;$AH76,INDEX(Spectra!77:77,1,MATCH($AI$20,Spectra!$20:$20,0)),AI76)</f>
        <v>1</v>
      </c>
      <c r="AJ77" s="236">
        <f>((Physics!$C$9*Physics!$C$10)/(Physics!$C$11*Physics!$C$12*$AH77))^($AJ$17-$AJ$18)</f>
        <v>2.19548938839919e+18</v>
      </c>
      <c r="AK77" s="236">
        <f t="shared" si="30"/>
        <v>1</v>
      </c>
      <c r="AL77" s="236">
        <f ca="1">INDEX(Photobiology!$21:$421,1+$AH77-380,10)</f>
        <v>0.01800736</v>
      </c>
      <c r="AM77" s="236">
        <f ca="1" t="shared" si="31"/>
        <v>13.3319879209511</v>
      </c>
      <c r="AN77" s="236">
        <f ca="1">INDEX(Photobiology!$21:$421,1+$AH77-380,AN$14)</f>
        <v>0.953590684824725</v>
      </c>
      <c r="AO77" s="236">
        <f ca="1">INDEX(Photobiology!$21:$421,1+$AH77-380,AO$14)</f>
        <v>0.117796666329618</v>
      </c>
      <c r="AP77" s="236">
        <f ca="1">INDEX(Photobiology!$21:$421,1+$AH77-380,AP$14)</f>
        <v>0.0768519691946683</v>
      </c>
      <c r="AQ77" s="236">
        <f ca="1">INDEX(Photobiology!$21:$421,1+$AH77-380,AQ$14)</f>
        <v>0.265882038609017</v>
      </c>
      <c r="AR77" s="236">
        <f ca="1">INDEX(Photobiology!$21:$421,1+$AH77-380,AR$14)</f>
        <v>0.335684277034757</v>
      </c>
      <c r="AS77" s="236">
        <f ca="1" t="shared" si="32"/>
        <v>2.92702380067144e+19</v>
      </c>
      <c r="AT77" s="236">
        <f ca="1">INDEX(Photobiology!$21:$421,1+$AH77-380,AT$14)</f>
        <v>0.962339223217612</v>
      </c>
      <c r="AU77" s="236">
        <f ca="1">INDEX(Photobiology!$21:$421,1+$AH77-380,AU$14)</f>
        <v>0.146714073648275</v>
      </c>
      <c r="AV77" s="236">
        <f ca="1">INDEX(Photobiology!$21:$421,1+$AH77-380,AV$14)</f>
        <v>0.100344037051812</v>
      </c>
      <c r="AW77" s="236">
        <f ca="1">INDEX(Photobiology!$21:$421,1+$AH77-380,AW$14)</f>
        <v>0.310846672678901</v>
      </c>
      <c r="AX77" s="236">
        <f ca="1">INDEX(Photobiology!$21:$421,1+$AH77-380,AX$14)</f>
        <v>0.376318415926444</v>
      </c>
      <c r="AY77" s="236">
        <f ca="1" t="shared" si="19"/>
        <v>13.3319879209511</v>
      </c>
      <c r="AZ77" s="236">
        <f ca="1" t="shared" si="33"/>
        <v>12.7132594916148</v>
      </c>
      <c r="BA77" s="236">
        <f ca="1" t="shared" si="20"/>
        <v>1.57046373263478</v>
      </c>
      <c r="BB77" s="236">
        <f ca="1" t="shared" si="21"/>
        <v>1.02458952500463</v>
      </c>
      <c r="BC77" s="236">
        <f ca="1" t="shared" si="22"/>
        <v>3.54473612713328</v>
      </c>
      <c r="BD77" s="236">
        <f ca="1" t="shared" si="23"/>
        <v>4.4753387266806</v>
      </c>
    </row>
    <row r="78" s="234" customFormat="1" ht="0.2" customHeight="1" spans="7:56">
      <c r="G78" s="236"/>
      <c r="H78" s="236">
        <f t="shared" si="24"/>
        <v>437</v>
      </c>
      <c r="I78" s="236">
        <f>IF($H78&gt;$H77,INDEX(Spectra!78:78,1,MATCH($I$20,Spectra!$20:$20,0)),I77)</f>
        <v>7.97416568767227</v>
      </c>
      <c r="J78" s="236">
        <f>((Physics!$C$9*Physics!$C$10)/(Physics!$C$11*Physics!$C$12*$H78))^($J$17-$J$18)</f>
        <v>2.20052491451937e+18</v>
      </c>
      <c r="K78" s="236">
        <f t="shared" si="25"/>
        <v>1</v>
      </c>
      <c r="L78" s="236">
        <f ca="1">INDEX(Photobiology!$21:$421,1+$H78-380,10)</f>
        <v>0.01921448</v>
      </c>
      <c r="M78" s="236">
        <f ca="1" t="shared" si="26"/>
        <v>7.97416568767227</v>
      </c>
      <c r="N78" s="236">
        <f ca="1">INDEX(Photobiology!$21:$421,1+$H78-380,N$14)</f>
        <v>0.966300045524693</v>
      </c>
      <c r="O78" s="236">
        <f ca="1">INDEX(Photobiology!$21:$421,1+$H78-380,O$14)</f>
        <v>0.122884469799074</v>
      </c>
      <c r="P78" s="236">
        <f ca="1">INDEX(Photobiology!$21:$421,1+$H78-380,P$14)</f>
        <v>0.0789403413465978</v>
      </c>
      <c r="Q78" s="236">
        <f ca="1">INDEX(Photobiology!$21:$421,1+$H78-380,Q$14)</f>
        <v>0.277991809214787</v>
      </c>
      <c r="R78" s="236">
        <f ca="1">INDEX(Photobiology!$21:$421,1+$H78-380,R$14)</f>
        <v>0.351265097947246</v>
      </c>
      <c r="S78" s="236">
        <f ca="1" t="shared" si="27"/>
        <v>1.75473502682283e+19</v>
      </c>
      <c r="T78" s="236">
        <f ca="1">INDEX(Photobiology!$21:$421,1+$H78-380,T$14)</f>
        <v>0.972933684281155</v>
      </c>
      <c r="U78" s="236">
        <f ca="1">INDEX(Photobiology!$21:$421,1+$H78-380,U$14)</f>
        <v>0.152700629753427</v>
      </c>
      <c r="V78" s="236">
        <f ca="1">INDEX(Photobiology!$21:$421,1+$H78-380,V$14)</f>
        <v>0.102834921747228</v>
      </c>
      <c r="W78" s="236">
        <f ca="1">INDEX(Photobiology!$21:$421,1+$H78-380,W$14)</f>
        <v>0.324260669694553</v>
      </c>
      <c r="X78" s="236">
        <f ca="1">INDEX(Photobiology!$21:$421,1+$H78-380,X$14)</f>
        <v>0.392884164187449</v>
      </c>
      <c r="Y78" s="236">
        <f ca="1" t="shared" si="14"/>
        <v>7.97416568767227</v>
      </c>
      <c r="Z78" s="236">
        <f ca="1" t="shared" si="28"/>
        <v>7.70543666701916</v>
      </c>
      <c r="AA78" s="236">
        <f ca="1" t="shared" si="15"/>
        <v>0.979901122619575</v>
      </c>
      <c r="AB78" s="236">
        <f ca="1" t="shared" si="16"/>
        <v>0.629483361339177</v>
      </c>
      <c r="AC78" s="236">
        <f ca="1" t="shared" si="17"/>
        <v>2.21675274649449</v>
      </c>
      <c r="AD78" s="236">
        <f ca="1" t="shared" si="18"/>
        <v>2.80104609132777</v>
      </c>
      <c r="AE78" s="236"/>
      <c r="AF78" s="236"/>
      <c r="AG78" s="236"/>
      <c r="AH78" s="236">
        <f t="shared" si="29"/>
        <v>437</v>
      </c>
      <c r="AI78" s="236">
        <f>IF($AH78&gt;$AH77,INDEX(Spectra!78:78,1,MATCH($AI$20,Spectra!$20:$20,0)),AI77)</f>
        <v>1</v>
      </c>
      <c r="AJ78" s="236">
        <f>((Physics!$C$9*Physics!$C$10)/(Physics!$C$11*Physics!$C$12*$AH78))^($AJ$17-$AJ$18)</f>
        <v>2.20052491451937e+18</v>
      </c>
      <c r="AK78" s="236">
        <f t="shared" si="30"/>
        <v>1</v>
      </c>
      <c r="AL78" s="236">
        <f ca="1">INDEX(Photobiology!$21:$421,1+$AH78-380,10)</f>
        <v>0.01921448</v>
      </c>
      <c r="AM78" s="236">
        <f ca="1" t="shared" si="31"/>
        <v>13.3319879209511</v>
      </c>
      <c r="AN78" s="236">
        <f ca="1">INDEX(Photobiology!$21:$421,1+$AH78-380,AN$14)</f>
        <v>0.966300045524693</v>
      </c>
      <c r="AO78" s="236">
        <f ca="1">INDEX(Photobiology!$21:$421,1+$AH78-380,AO$14)</f>
        <v>0.122884469799074</v>
      </c>
      <c r="AP78" s="236">
        <f ca="1">INDEX(Photobiology!$21:$421,1+$AH78-380,AP$14)</f>
        <v>0.0789403413465978</v>
      </c>
      <c r="AQ78" s="236">
        <f ca="1">INDEX(Photobiology!$21:$421,1+$AH78-380,AQ$14)</f>
        <v>0.277991809214787</v>
      </c>
      <c r="AR78" s="236">
        <f ca="1">INDEX(Photobiology!$21:$421,1+$AH78-380,AR$14)</f>
        <v>0.351265097947246</v>
      </c>
      <c r="AS78" s="236">
        <f ca="1" t="shared" si="32"/>
        <v>2.93373715801243e+19</v>
      </c>
      <c r="AT78" s="236">
        <f ca="1">INDEX(Photobiology!$21:$421,1+$AH78-380,AT$14)</f>
        <v>0.972933684281155</v>
      </c>
      <c r="AU78" s="236">
        <f ca="1">INDEX(Photobiology!$21:$421,1+$AH78-380,AU$14)</f>
        <v>0.152700629753427</v>
      </c>
      <c r="AV78" s="236">
        <f ca="1">INDEX(Photobiology!$21:$421,1+$AH78-380,AV$14)</f>
        <v>0.102834921747228</v>
      </c>
      <c r="AW78" s="236">
        <f ca="1">INDEX(Photobiology!$21:$421,1+$AH78-380,AW$14)</f>
        <v>0.324260669694553</v>
      </c>
      <c r="AX78" s="236">
        <f ca="1">INDEX(Photobiology!$21:$421,1+$AH78-380,AX$14)</f>
        <v>0.392884164187449</v>
      </c>
      <c r="AY78" s="236">
        <f ca="1" t="shared" si="19"/>
        <v>13.3319879209511</v>
      </c>
      <c r="AZ78" s="236">
        <f ca="1" t="shared" si="33"/>
        <v>12.8827005349497</v>
      </c>
      <c r="BA78" s="236">
        <f ca="1" t="shared" si="20"/>
        <v>1.63829426703374</v>
      </c>
      <c r="BB78" s="236">
        <f ca="1" t="shared" si="21"/>
        <v>1.0524316773086</v>
      </c>
      <c r="BC78" s="236">
        <f ca="1" t="shared" si="22"/>
        <v>3.70618344257489</v>
      </c>
      <c r="BD78" s="236">
        <f ca="1" t="shared" si="23"/>
        <v>4.6830620428844</v>
      </c>
    </row>
    <row r="79" s="234" customFormat="1" ht="0.2" customHeight="1" spans="7:56">
      <c r="G79" s="236"/>
      <c r="H79" s="236">
        <f t="shared" si="24"/>
        <v>438</v>
      </c>
      <c r="I79" s="236">
        <f>IF($H79&gt;$H78,INDEX(Spectra!79:79,1,MATCH($I$20,Spectra!$20:$20,0)),I78)</f>
        <v>7.612117145095</v>
      </c>
      <c r="J79" s="236">
        <f>((Physics!$C$9*Physics!$C$10)/(Physics!$C$11*Physics!$C$12*$H79))^($J$17-$J$18)</f>
        <v>2.20556044063955e+18</v>
      </c>
      <c r="K79" s="236">
        <f t="shared" si="25"/>
        <v>1</v>
      </c>
      <c r="L79" s="236">
        <f ca="1">INDEX(Photobiology!$21:$421,1+$H79-380,10)</f>
        <v>0.02045392</v>
      </c>
      <c r="M79" s="236">
        <f ca="1" t="shared" si="26"/>
        <v>7.612117145095</v>
      </c>
      <c r="N79" s="236">
        <f ca="1">INDEX(Photobiology!$21:$421,1+$H79-380,N$14)</f>
        <v>0.97831114258561</v>
      </c>
      <c r="O79" s="236">
        <f ca="1">INDEX(Photobiology!$21:$421,1+$H79-380,O$14)</f>
        <v>0.128265246465354</v>
      </c>
      <c r="P79" s="236">
        <f ca="1">INDEX(Photobiology!$21:$421,1+$H79-380,P$14)</f>
        <v>0.0811558816238824</v>
      </c>
      <c r="Q79" s="236">
        <f ca="1">INDEX(Photobiology!$21:$421,1+$H79-380,Q$14)</f>
        <v>0.290580856811545</v>
      </c>
      <c r="R79" s="236">
        <f ca="1">INDEX(Photobiology!$21:$421,1+$H79-380,R$14)</f>
        <v>0.367435403873913</v>
      </c>
      <c r="S79" s="236">
        <f ca="1" t="shared" si="27"/>
        <v>1.67889844447356e+19</v>
      </c>
      <c r="T79" s="236">
        <f ca="1">INDEX(Photobiology!$21:$421,1+$H79-380,T$14)</f>
        <v>0.982778316752668</v>
      </c>
      <c r="U79" s="236">
        <f ca="1">INDEX(Photobiology!$21:$421,1+$H79-380,U$14)</f>
        <v>0.159023077756085</v>
      </c>
      <c r="V79" s="236">
        <f ca="1">INDEX(Photobiology!$21:$421,1+$H79-380,V$14)</f>
        <v>0.105479715170992</v>
      </c>
      <c r="W79" s="236">
        <f ca="1">INDEX(Photobiology!$21:$421,1+$H79-380,W$14)</f>
        <v>0.33817118690513</v>
      </c>
      <c r="X79" s="236">
        <f ca="1">INDEX(Photobiology!$21:$421,1+$H79-380,X$14)</f>
        <v>0.410032093619183</v>
      </c>
      <c r="Y79" s="236">
        <f ca="1" t="shared" si="14"/>
        <v>7.612117145095</v>
      </c>
      <c r="Z79" s="236">
        <f ca="1" t="shared" si="28"/>
        <v>7.4470190217134</v>
      </c>
      <c r="AA79" s="236">
        <f ca="1" t="shared" si="15"/>
        <v>0.976370081738757</v>
      </c>
      <c r="AB79" s="236">
        <f ca="1" t="shared" si="16"/>
        <v>0.617768077934455</v>
      </c>
      <c r="AC79" s="236">
        <f ca="1" t="shared" si="17"/>
        <v>2.21193552217156</v>
      </c>
      <c r="AD79" s="236">
        <f ca="1" t="shared" si="18"/>
        <v>2.79696133754352</v>
      </c>
      <c r="AE79" s="236"/>
      <c r="AF79" s="236"/>
      <c r="AG79" s="236"/>
      <c r="AH79" s="236">
        <f t="shared" si="29"/>
        <v>438</v>
      </c>
      <c r="AI79" s="236">
        <f>IF($AH79&gt;$AH78,INDEX(Spectra!79:79,1,MATCH($AI$20,Spectra!$20:$20,0)),AI78)</f>
        <v>1</v>
      </c>
      <c r="AJ79" s="236">
        <f>((Physics!$C$9*Physics!$C$10)/(Physics!$C$11*Physics!$C$12*$AH79))^($AJ$17-$AJ$18)</f>
        <v>2.20556044063955e+18</v>
      </c>
      <c r="AK79" s="236">
        <f t="shared" si="30"/>
        <v>1</v>
      </c>
      <c r="AL79" s="236">
        <f ca="1">INDEX(Photobiology!$21:$421,1+$AH79-380,10)</f>
        <v>0.02045392</v>
      </c>
      <c r="AM79" s="236">
        <f ca="1" t="shared" si="31"/>
        <v>13.3319879209511</v>
      </c>
      <c r="AN79" s="236">
        <f ca="1">INDEX(Photobiology!$21:$421,1+$AH79-380,AN$14)</f>
        <v>0.97831114258561</v>
      </c>
      <c r="AO79" s="236">
        <f ca="1">INDEX(Photobiology!$21:$421,1+$AH79-380,AO$14)</f>
        <v>0.128265246465354</v>
      </c>
      <c r="AP79" s="236">
        <f ca="1">INDEX(Photobiology!$21:$421,1+$AH79-380,AP$14)</f>
        <v>0.0811558816238824</v>
      </c>
      <c r="AQ79" s="236">
        <f ca="1">INDEX(Photobiology!$21:$421,1+$AH79-380,AQ$14)</f>
        <v>0.290580856811545</v>
      </c>
      <c r="AR79" s="236">
        <f ca="1">INDEX(Photobiology!$21:$421,1+$AH79-380,AR$14)</f>
        <v>0.367435403873913</v>
      </c>
      <c r="AS79" s="236">
        <f ca="1" t="shared" si="32"/>
        <v>2.94045051535342e+19</v>
      </c>
      <c r="AT79" s="236">
        <f ca="1">INDEX(Photobiology!$21:$421,1+$AH79-380,AT$14)</f>
        <v>0.982778316752668</v>
      </c>
      <c r="AU79" s="236">
        <f ca="1">INDEX(Photobiology!$21:$421,1+$AH79-380,AU$14)</f>
        <v>0.159023077756085</v>
      </c>
      <c r="AV79" s="236">
        <f ca="1">INDEX(Photobiology!$21:$421,1+$AH79-380,AV$14)</f>
        <v>0.105479715170992</v>
      </c>
      <c r="AW79" s="236">
        <f ca="1">INDEX(Photobiology!$21:$421,1+$AH79-380,AW$14)</f>
        <v>0.33817118690513</v>
      </c>
      <c r="AX79" s="236">
        <f ca="1">INDEX(Photobiology!$21:$421,1+$AH79-380,AX$14)</f>
        <v>0.410032093619183</v>
      </c>
      <c r="AY79" s="236">
        <f ca="1" t="shared" si="19"/>
        <v>13.3319879209511</v>
      </c>
      <c r="AZ79" s="236">
        <f ca="1" t="shared" si="33"/>
        <v>13.0428323358833</v>
      </c>
      <c r="BA79" s="236">
        <f ca="1" t="shared" si="20"/>
        <v>1.71003071655392</v>
      </c>
      <c r="BB79" s="236">
        <f ca="1" t="shared" si="21"/>
        <v>1.08196923352374</v>
      </c>
      <c r="BC79" s="236">
        <f ca="1" t="shared" si="22"/>
        <v>3.87402047307115</v>
      </c>
      <c r="BD79" s="236">
        <f ca="1" t="shared" si="23"/>
        <v>4.89864436617681</v>
      </c>
    </row>
    <row r="80" s="234" customFormat="1" ht="0.2" customHeight="1" spans="7:56">
      <c r="G80" s="236"/>
      <c r="H80" s="236">
        <f t="shared" si="24"/>
        <v>439</v>
      </c>
      <c r="I80" s="236">
        <f>IF($H80&gt;$H79,INDEX(Spectra!80:80,1,MATCH($I$20,Spectra!$20:$20,0)),I79)</f>
        <v>7.2911476882192</v>
      </c>
      <c r="J80" s="236">
        <f>((Physics!$C$9*Physics!$C$10)/(Physics!$C$11*Physics!$C$12*$H80))^($J$17-$J$18)</f>
        <v>2.21059596675973e+18</v>
      </c>
      <c r="K80" s="236">
        <f t="shared" si="25"/>
        <v>1</v>
      </c>
      <c r="L80" s="236">
        <f ca="1">INDEX(Photobiology!$21:$421,1+$H80-380,10)</f>
        <v>0.02171824</v>
      </c>
      <c r="M80" s="236">
        <f ca="1" t="shared" si="26"/>
        <v>7.2911476882192</v>
      </c>
      <c r="N80" s="236">
        <f ca="1">INDEX(Photobiology!$21:$421,1+$H80-380,N$14)</f>
        <v>0.989561977958133</v>
      </c>
      <c r="O80" s="236">
        <f ca="1">INDEX(Photobiology!$21:$421,1+$H80-380,O$14)</f>
        <v>0.133952862906874</v>
      </c>
      <c r="P80" s="236">
        <f ca="1">INDEX(Photobiology!$21:$421,1+$H80-380,P$14)</f>
        <v>0.0835072149949341</v>
      </c>
      <c r="Q80" s="236">
        <f ca="1">INDEX(Photobiology!$21:$421,1+$H80-380,Q$14)</f>
        <v>0.303658889882735</v>
      </c>
      <c r="R80" s="236">
        <f ca="1">INDEX(Photobiology!$21:$421,1+$H80-380,R$14)</f>
        <v>0.384204989011359</v>
      </c>
      <c r="S80" s="236">
        <f ca="1" t="shared" si="27"/>
        <v>1.61177816726269e+19</v>
      </c>
      <c r="T80" s="236">
        <f ca="1">INDEX(Photobiology!$21:$421,1+$H80-380,T$14)</f>
        <v>0.991816105470566</v>
      </c>
      <c r="U80" s="236">
        <f ca="1">INDEX(Photobiology!$21:$421,1+$H80-380,U$14)</f>
        <v>0.165696274871252</v>
      </c>
      <c r="V80" s="236">
        <f ca="1">INDEX(Photobiology!$21:$421,1+$H80-380,V$14)</f>
        <v>0.108288550041584</v>
      </c>
      <c r="W80" s="236">
        <f ca="1">INDEX(Photobiology!$21:$421,1+$H80-380,W$14)</f>
        <v>0.352586104002579</v>
      </c>
      <c r="X80" s="236">
        <f ca="1">INDEX(Photobiology!$21:$421,1+$H80-380,X$14)</f>
        <v>0.427769130501194</v>
      </c>
      <c r="Y80" s="236">
        <f ca="1" t="shared" si="14"/>
        <v>7.2911476882192</v>
      </c>
      <c r="Z80" s="236">
        <f ca="1" t="shared" si="28"/>
        <v>7.21504252793906</v>
      </c>
      <c r="AA80" s="236">
        <f ca="1" t="shared" si="15"/>
        <v>0.976670106713798</v>
      </c>
      <c r="AB80" s="236">
        <f ca="1" t="shared" si="16"/>
        <v>0.608863437559938</v>
      </c>
      <c r="AC80" s="236">
        <f ca="1" t="shared" si="17"/>
        <v>2.21402181297571</v>
      </c>
      <c r="AD80" s="236">
        <f ca="1" t="shared" si="18"/>
        <v>2.80129531743245</v>
      </c>
      <c r="AE80" s="236"/>
      <c r="AF80" s="236"/>
      <c r="AG80" s="236"/>
      <c r="AH80" s="236">
        <f t="shared" si="29"/>
        <v>439</v>
      </c>
      <c r="AI80" s="236">
        <f>IF($AH80&gt;$AH79,INDEX(Spectra!80:80,1,MATCH($AI$20,Spectra!$20:$20,0)),AI79)</f>
        <v>1</v>
      </c>
      <c r="AJ80" s="236">
        <f>((Physics!$C$9*Physics!$C$10)/(Physics!$C$11*Physics!$C$12*$AH80))^($AJ$17-$AJ$18)</f>
        <v>2.21059596675973e+18</v>
      </c>
      <c r="AK80" s="236">
        <f t="shared" si="30"/>
        <v>1</v>
      </c>
      <c r="AL80" s="236">
        <f ca="1">INDEX(Photobiology!$21:$421,1+$AH80-380,10)</f>
        <v>0.02171824</v>
      </c>
      <c r="AM80" s="236">
        <f ca="1" t="shared" si="31"/>
        <v>13.3319879209511</v>
      </c>
      <c r="AN80" s="236">
        <f ca="1">INDEX(Photobiology!$21:$421,1+$AH80-380,AN$14)</f>
        <v>0.989561977958133</v>
      </c>
      <c r="AO80" s="236">
        <f ca="1">INDEX(Photobiology!$21:$421,1+$AH80-380,AO$14)</f>
        <v>0.133952862906874</v>
      </c>
      <c r="AP80" s="236">
        <f ca="1">INDEX(Photobiology!$21:$421,1+$AH80-380,AP$14)</f>
        <v>0.0835072149949341</v>
      </c>
      <c r="AQ80" s="236">
        <f ca="1">INDEX(Photobiology!$21:$421,1+$AH80-380,AQ$14)</f>
        <v>0.303658889882735</v>
      </c>
      <c r="AR80" s="236">
        <f ca="1">INDEX(Photobiology!$21:$421,1+$AH80-380,AR$14)</f>
        <v>0.384204989011359</v>
      </c>
      <c r="AS80" s="236">
        <f ca="1" t="shared" si="32"/>
        <v>2.94716387269441e+19</v>
      </c>
      <c r="AT80" s="236">
        <f ca="1">INDEX(Photobiology!$21:$421,1+$AH80-380,AT$14)</f>
        <v>0.991816105470566</v>
      </c>
      <c r="AU80" s="236">
        <f ca="1">INDEX(Photobiology!$21:$421,1+$AH80-380,AU$14)</f>
        <v>0.165696274871252</v>
      </c>
      <c r="AV80" s="236">
        <f ca="1">INDEX(Photobiology!$21:$421,1+$AH80-380,AV$14)</f>
        <v>0.108288550041584</v>
      </c>
      <c r="AW80" s="236">
        <f ca="1">INDEX(Photobiology!$21:$421,1+$AH80-380,AW$14)</f>
        <v>0.352586104002579</v>
      </c>
      <c r="AX80" s="236">
        <f ca="1">INDEX(Photobiology!$21:$421,1+$AH80-380,AX$14)</f>
        <v>0.427769130501194</v>
      </c>
      <c r="AY80" s="236">
        <f ca="1" t="shared" si="19"/>
        <v>13.3319879209511</v>
      </c>
      <c r="AZ80" s="236">
        <f ca="1" t="shared" si="33"/>
        <v>13.1928283371703</v>
      </c>
      <c r="BA80" s="236">
        <f ca="1" t="shared" si="20"/>
        <v>1.78585795025127</v>
      </c>
      <c r="BB80" s="236">
        <f ca="1" t="shared" si="21"/>
        <v>1.11331718162473</v>
      </c>
      <c r="BC80" s="236">
        <f ca="1" t="shared" si="22"/>
        <v>4.04837665200606</v>
      </c>
      <c r="BD80" s="236">
        <f ca="1" t="shared" si="23"/>
        <v>5.1222162726686</v>
      </c>
    </row>
    <row r="81" s="234" customFormat="1" ht="0.2" customHeight="1" spans="7:56">
      <c r="G81" s="236"/>
      <c r="H81" s="236">
        <f t="shared" si="24"/>
        <v>440</v>
      </c>
      <c r="I81" s="236">
        <f>IF($H81&gt;$H80,INDEX(Spectra!81:81,1,MATCH($I$20,Spectra!$20:$20,0)),I80)</f>
        <v>7.12327982895169</v>
      </c>
      <c r="J81" s="236">
        <f>((Physics!$C$9*Physics!$C$10)/(Physics!$C$11*Physics!$C$12*$H81))^($J$17-$J$18)</f>
        <v>2.21563149287991e+18</v>
      </c>
      <c r="K81" s="236">
        <f t="shared" si="25"/>
        <v>1</v>
      </c>
      <c r="L81" s="236">
        <f ca="1">INDEX(Photobiology!$21:$421,1+$H81-380,10)</f>
        <v>0.023</v>
      </c>
      <c r="M81" s="236">
        <f ca="1" t="shared" si="26"/>
        <v>7.12327982895169</v>
      </c>
      <c r="N81" s="236">
        <f ca="1">INDEX(Photobiology!$21:$421,1+$H81-380,N$14)</f>
        <v>1</v>
      </c>
      <c r="O81" s="236">
        <f ca="1">INDEX(Photobiology!$21:$421,1+$H81-380,O$14)</f>
        <v>0.13996163268933</v>
      </c>
      <c r="P81" s="236">
        <f ca="1">INDEX(Photobiology!$21:$421,1+$H81-380,P$14)</f>
        <v>0.0860032770855448</v>
      </c>
      <c r="Q81" s="236">
        <f ca="1">INDEX(Photobiology!$21:$421,1+$H81-380,Q$14)</f>
        <v>0.317237851538647</v>
      </c>
      <c r="R81" s="236">
        <f ca="1">INDEX(Photobiology!$21:$421,1+$H81-380,R$14)</f>
        <v>0.401587327735438</v>
      </c>
      <c r="S81" s="236">
        <f ca="1" t="shared" si="27"/>
        <v>1.57825631216216e+19</v>
      </c>
      <c r="T81" s="236">
        <f ca="1">INDEX(Photobiology!$21:$421,1+$H81-380,T$14)</f>
        <v>1</v>
      </c>
      <c r="U81" s="236">
        <f ca="1">INDEX(Photobiology!$21:$421,1+$H81-380,U$14)</f>
        <v>0.172735494903589</v>
      </c>
      <c r="V81" s="236">
        <f ca="1">INDEX(Photobiology!$21:$421,1+$H81-380,V$14)</f>
        <v>0.111271868893376</v>
      </c>
      <c r="W81" s="236">
        <f ca="1">INDEX(Photobiology!$21:$421,1+$H81-380,W$14)</f>
        <v>0.367515817830665</v>
      </c>
      <c r="X81" s="236">
        <f ca="1">INDEX(Photobiology!$21:$421,1+$H81-380,X$14)</f>
        <v>0.44610622630095</v>
      </c>
      <c r="Y81" s="236">
        <f ca="1" t="shared" si="14"/>
        <v>7.12327982895169</v>
      </c>
      <c r="Z81" s="236">
        <f ca="1" t="shared" si="28"/>
        <v>7.12327982895169</v>
      </c>
      <c r="AA81" s="236">
        <f ca="1" t="shared" si="15"/>
        <v>0.99698587496305</v>
      </c>
      <c r="AB81" s="236">
        <f ca="1" t="shared" si="16"/>
        <v>0.612625408887204</v>
      </c>
      <c r="AC81" s="236">
        <f ca="1" t="shared" si="17"/>
        <v>2.25977398884521</v>
      </c>
      <c r="AD81" s="236">
        <f ca="1" t="shared" si="18"/>
        <v>2.86061891122046</v>
      </c>
      <c r="AE81" s="236"/>
      <c r="AF81" s="236"/>
      <c r="AG81" s="236"/>
      <c r="AH81" s="236">
        <f t="shared" si="29"/>
        <v>440</v>
      </c>
      <c r="AI81" s="236">
        <f>IF($AH81&gt;$AH80,INDEX(Spectra!81:81,1,MATCH($AI$20,Spectra!$20:$20,0)),AI80)</f>
        <v>1</v>
      </c>
      <c r="AJ81" s="236">
        <f>((Physics!$C$9*Physics!$C$10)/(Physics!$C$11*Physics!$C$12*$AH81))^($AJ$17-$AJ$18)</f>
        <v>2.21563149287991e+18</v>
      </c>
      <c r="AK81" s="236">
        <f t="shared" si="30"/>
        <v>1</v>
      </c>
      <c r="AL81" s="236">
        <f ca="1">INDEX(Photobiology!$21:$421,1+$AH81-380,10)</f>
        <v>0.023</v>
      </c>
      <c r="AM81" s="236">
        <f ca="1" t="shared" si="31"/>
        <v>13.3319879209511</v>
      </c>
      <c r="AN81" s="236">
        <f ca="1">INDEX(Photobiology!$21:$421,1+$AH81-380,AN$14)</f>
        <v>1</v>
      </c>
      <c r="AO81" s="236">
        <f ca="1">INDEX(Photobiology!$21:$421,1+$AH81-380,AO$14)</f>
        <v>0.13996163268933</v>
      </c>
      <c r="AP81" s="236">
        <f ca="1">INDEX(Photobiology!$21:$421,1+$AH81-380,AP$14)</f>
        <v>0.0860032770855448</v>
      </c>
      <c r="AQ81" s="236">
        <f ca="1">INDEX(Photobiology!$21:$421,1+$AH81-380,AQ$14)</f>
        <v>0.317237851538647</v>
      </c>
      <c r="AR81" s="236">
        <f ca="1">INDEX(Photobiology!$21:$421,1+$AH81-380,AR$14)</f>
        <v>0.401587327735438</v>
      </c>
      <c r="AS81" s="236">
        <f ca="1" t="shared" si="32"/>
        <v>2.9538772300354e+19</v>
      </c>
      <c r="AT81" s="236">
        <f ca="1">INDEX(Photobiology!$21:$421,1+$AH81-380,AT$14)</f>
        <v>1</v>
      </c>
      <c r="AU81" s="236">
        <f ca="1">INDEX(Photobiology!$21:$421,1+$AH81-380,AU$14)</f>
        <v>0.172735494903589</v>
      </c>
      <c r="AV81" s="236">
        <f ca="1">INDEX(Photobiology!$21:$421,1+$AH81-380,AV$14)</f>
        <v>0.111271868893376</v>
      </c>
      <c r="AW81" s="236">
        <f ca="1">INDEX(Photobiology!$21:$421,1+$AH81-380,AW$14)</f>
        <v>0.367515817830665</v>
      </c>
      <c r="AX81" s="236">
        <f ca="1">INDEX(Photobiology!$21:$421,1+$AH81-380,AX$14)</f>
        <v>0.44610622630095</v>
      </c>
      <c r="AY81" s="236">
        <f ca="1" t="shared" si="19"/>
        <v>13.3319879209511</v>
      </c>
      <c r="AZ81" s="236">
        <f ca="1" t="shared" si="33"/>
        <v>13.3319879209511</v>
      </c>
      <c r="BA81" s="236">
        <f ca="1" t="shared" si="20"/>
        <v>1.86596679641075</v>
      </c>
      <c r="BB81" s="236">
        <f ca="1" t="shared" si="21"/>
        <v>1.1465946512667</v>
      </c>
      <c r="BC81" s="236">
        <f ca="1" t="shared" si="22"/>
        <v>4.22941120478173</v>
      </c>
      <c r="BD81" s="236">
        <f ca="1" t="shared" si="23"/>
        <v>5.35395740257591</v>
      </c>
    </row>
    <row r="82" s="234" customFormat="1" ht="0.2" customHeight="1" spans="7:56">
      <c r="G82" s="236"/>
      <c r="H82" s="236">
        <f t="shared" si="24"/>
        <v>441</v>
      </c>
      <c r="I82" s="236">
        <f>IF($H82&gt;$H81,INDEX(Spectra!82:82,1,MATCH($I$20,Spectra!$20:$20,0)),I81)</f>
        <v>7.00625788429717</v>
      </c>
      <c r="J82" s="236">
        <f>((Physics!$C$9*Physics!$C$10)/(Physics!$C$11*Physics!$C$12*$H82))^($J$17-$J$18)</f>
        <v>2.2206670190001e+18</v>
      </c>
      <c r="K82" s="236">
        <f t="shared" si="25"/>
        <v>1</v>
      </c>
      <c r="L82" s="236">
        <f ca="1">INDEX(Photobiology!$21:$421,1+$H82-380,10)</f>
        <v>0.02429461</v>
      </c>
      <c r="M82" s="236">
        <f ca="1" t="shared" si="26"/>
        <v>7.00625788429717</v>
      </c>
      <c r="N82" s="236">
        <f ca="1">INDEX(Photobiology!$21:$421,1+$H82-380,N$14)</f>
        <v>0.999620145622605</v>
      </c>
      <c r="O82" s="236">
        <f ca="1">INDEX(Photobiology!$21:$421,1+$H82-380,O$14)</f>
        <v>0.144864175848772</v>
      </c>
      <c r="P82" s="236">
        <f ca="1">INDEX(Photobiology!$21:$421,1+$H82-380,P$14)</f>
        <v>0.0877800855964412</v>
      </c>
      <c r="Q82" s="236">
        <f ca="1">INDEX(Photobiology!$21:$421,1+$H82-380,Q$14)</f>
        <v>0.328062809626026</v>
      </c>
      <c r="R82" s="236">
        <f ca="1">INDEX(Photobiology!$21:$421,1+$H82-380,R$14)</f>
        <v>0.415458835999444</v>
      </c>
      <c r="S82" s="236">
        <f ca="1" t="shared" si="27"/>
        <v>1.55585658102681e+19</v>
      </c>
      <c r="T82" s="236">
        <f ca="1">INDEX(Photobiology!$21:$421,1+$H82-380,T$14)</f>
        <v>0.997353433274254</v>
      </c>
      <c r="U82" s="236">
        <f ca="1">INDEX(Photobiology!$21:$421,1+$H82-380,U$14)</f>
        <v>0.178380622696141</v>
      </c>
      <c r="V82" s="236">
        <f ca="1">INDEX(Photobiology!$21:$421,1+$H82-380,V$14)</f>
        <v>0.11331319089243</v>
      </c>
      <c r="W82" s="236">
        <f ca="1">INDEX(Photobiology!$21:$421,1+$H82-380,W$14)</f>
        <v>0.379194581461232</v>
      </c>
      <c r="X82" s="236">
        <f ca="1">INDEX(Photobiology!$21:$421,1+$H82-380,X$14)</f>
        <v>0.460468972530006</v>
      </c>
      <c r="Y82" s="236">
        <f ca="1" t="shared" si="14"/>
        <v>7.00625788429717</v>
      </c>
      <c r="Z82" s="236">
        <f ca="1" t="shared" si="28"/>
        <v>7.00359652657066</v>
      </c>
      <c r="AA82" s="236">
        <f ca="1" t="shared" si="15"/>
        <v>1.01495577419267</v>
      </c>
      <c r="AB82" s="236">
        <f ca="1" t="shared" si="16"/>
        <v>0.615009916794347</v>
      </c>
      <c r="AC82" s="236">
        <f ca="1" t="shared" si="17"/>
        <v>2.29849264648703</v>
      </c>
      <c r="AD82" s="236">
        <f ca="1" t="shared" si="18"/>
        <v>2.91081174532203</v>
      </c>
      <c r="AE82" s="236"/>
      <c r="AF82" s="236"/>
      <c r="AG82" s="236"/>
      <c r="AH82" s="236">
        <f t="shared" si="29"/>
        <v>441</v>
      </c>
      <c r="AI82" s="236">
        <f>IF($AH82&gt;$AH81,INDEX(Spectra!82:82,1,MATCH($AI$20,Spectra!$20:$20,0)),AI81)</f>
        <v>1</v>
      </c>
      <c r="AJ82" s="236">
        <f>((Physics!$C$9*Physics!$C$10)/(Physics!$C$11*Physics!$C$12*$AH82))^($AJ$17-$AJ$18)</f>
        <v>2.2206670190001e+18</v>
      </c>
      <c r="AK82" s="236">
        <f t="shared" si="30"/>
        <v>1</v>
      </c>
      <c r="AL82" s="236">
        <f ca="1">INDEX(Photobiology!$21:$421,1+$AH82-380,10)</f>
        <v>0.02429461</v>
      </c>
      <c r="AM82" s="236">
        <f ca="1" t="shared" si="31"/>
        <v>13.3319879209511</v>
      </c>
      <c r="AN82" s="236">
        <f ca="1">INDEX(Photobiology!$21:$421,1+$AH82-380,AN$14)</f>
        <v>0.999620145622605</v>
      </c>
      <c r="AO82" s="236">
        <f ca="1">INDEX(Photobiology!$21:$421,1+$AH82-380,AO$14)</f>
        <v>0.144864175848772</v>
      </c>
      <c r="AP82" s="236">
        <f ca="1">INDEX(Photobiology!$21:$421,1+$AH82-380,AP$14)</f>
        <v>0.0877800855964412</v>
      </c>
      <c r="AQ82" s="236">
        <f ca="1">INDEX(Photobiology!$21:$421,1+$AH82-380,AQ$14)</f>
        <v>0.328062809626026</v>
      </c>
      <c r="AR82" s="236">
        <f ca="1">INDEX(Photobiology!$21:$421,1+$AH82-380,AR$14)</f>
        <v>0.415458835999444</v>
      </c>
      <c r="AS82" s="236">
        <f ca="1" t="shared" si="32"/>
        <v>2.96059058737639e+19</v>
      </c>
      <c r="AT82" s="236">
        <f ca="1">INDEX(Photobiology!$21:$421,1+$AH82-380,AT$14)</f>
        <v>0.997353433274254</v>
      </c>
      <c r="AU82" s="236">
        <f ca="1">INDEX(Photobiology!$21:$421,1+$AH82-380,AU$14)</f>
        <v>0.178380622696141</v>
      </c>
      <c r="AV82" s="236">
        <f ca="1">INDEX(Photobiology!$21:$421,1+$AH82-380,AV$14)</f>
        <v>0.11331319089243</v>
      </c>
      <c r="AW82" s="236">
        <f ca="1">INDEX(Photobiology!$21:$421,1+$AH82-380,AW$14)</f>
        <v>0.379194581461232</v>
      </c>
      <c r="AX82" s="236">
        <f ca="1">INDEX(Photobiology!$21:$421,1+$AH82-380,AX$14)</f>
        <v>0.460468972530006</v>
      </c>
      <c r="AY82" s="236">
        <f ca="1" t="shared" si="19"/>
        <v>13.3319879209511</v>
      </c>
      <c r="AZ82" s="236">
        <f ca="1" t="shared" si="33"/>
        <v>13.32692370698</v>
      </c>
      <c r="BA82" s="236">
        <f ca="1" t="shared" si="20"/>
        <v>1.93132744259437</v>
      </c>
      <c r="BB82" s="236">
        <f ca="1" t="shared" si="21"/>
        <v>1.17028304087181</v>
      </c>
      <c r="BC82" s="236">
        <f ca="1" t="shared" si="22"/>
        <v>4.37372941524747</v>
      </c>
      <c r="BD82" s="236">
        <f ca="1" t="shared" si="23"/>
        <v>5.53889218319701</v>
      </c>
    </row>
    <row r="83" s="234" customFormat="1" ht="0.2" customHeight="1" spans="7:56">
      <c r="G83" s="236"/>
      <c r="H83" s="236">
        <f t="shared" si="24"/>
        <v>442</v>
      </c>
      <c r="I83" s="236">
        <f>IF($H83&gt;$H82,INDEX(Spectra!83:83,1,MATCH($I$20,Spectra!$20:$20,0)),I82)</f>
        <v>7.02540678445851</v>
      </c>
      <c r="J83" s="236">
        <f>((Physics!$C$9*Physics!$C$10)/(Physics!$C$11*Physics!$C$12*$H83))^($J$17-$J$18)</f>
        <v>2.22570254512028e+18</v>
      </c>
      <c r="K83" s="236">
        <f t="shared" si="25"/>
        <v>1</v>
      </c>
      <c r="L83" s="236">
        <f ca="1">INDEX(Photobiology!$21:$421,1+$H83-380,10)</f>
        <v>0.02561024</v>
      </c>
      <c r="M83" s="236">
        <f ca="1" t="shared" si="26"/>
        <v>7.02540678445851</v>
      </c>
      <c r="N83" s="236">
        <f ca="1">INDEX(Photobiology!$21:$421,1+$H83-380,N$14)</f>
        <v>0.998237774364937</v>
      </c>
      <c r="O83" s="236">
        <f ca="1">INDEX(Photobiology!$21:$421,1+$H83-380,O$14)</f>
        <v>0.15000025591332</v>
      </c>
      <c r="P83" s="236">
        <f ca="1">INDEX(Photobiology!$21:$421,1+$H83-380,P$14)</f>
        <v>0.0896745074643962</v>
      </c>
      <c r="Q83" s="236">
        <f ca="1">INDEX(Photobiology!$21:$421,1+$H83-380,Q$14)</f>
        <v>0.339154044104591</v>
      </c>
      <c r="R83" s="236">
        <f ca="1">INDEX(Photobiology!$21:$421,1+$H83-380,R$14)</f>
        <v>0.429639299675834</v>
      </c>
      <c r="S83" s="236">
        <f ca="1" t="shared" si="27"/>
        <v>1.56364657606746e+19</v>
      </c>
      <c r="T83" s="236">
        <f ca="1">INDEX(Photobiology!$21:$421,1+$H83-380,T$14)</f>
        <v>0.993720861358761</v>
      </c>
      <c r="U83" s="236">
        <f ca="1">INDEX(Photobiology!$21:$421,1+$H83-380,U$14)</f>
        <v>0.184287125400624</v>
      </c>
      <c r="V83" s="236">
        <f ca="1">INDEX(Photobiology!$21:$421,1+$H83-380,V$14)</f>
        <v>0.115496756886568</v>
      </c>
      <c r="W83" s="236">
        <f ca="1">INDEX(Photobiology!$21:$421,1+$H83-380,W$14)</f>
        <v>0.39112758182708</v>
      </c>
      <c r="X83" s="236">
        <f ca="1">INDEX(Photobiology!$21:$421,1+$H83-380,X$14)</f>
        <v>0.475108381375801</v>
      </c>
      <c r="Y83" s="236">
        <f ca="1" t="shared" si="14"/>
        <v>7.02540678445851</v>
      </c>
      <c r="Z83" s="236">
        <f ca="1" t="shared" si="28"/>
        <v>7.01302643252619</v>
      </c>
      <c r="AA83" s="236">
        <f ca="1" t="shared" si="15"/>
        <v>1.05381281556395</v>
      </c>
      <c r="AB83" s="236">
        <f ca="1" t="shared" si="16"/>
        <v>0.629999893133344</v>
      </c>
      <c r="AC83" s="236">
        <f ca="1" t="shared" si="17"/>
        <v>2.38269512242893</v>
      </c>
      <c r="AD83" s="236">
        <f ca="1" t="shared" si="18"/>
        <v>3.01839085081261</v>
      </c>
      <c r="AE83" s="236"/>
      <c r="AF83" s="236"/>
      <c r="AG83" s="236"/>
      <c r="AH83" s="236">
        <f t="shared" si="29"/>
        <v>442</v>
      </c>
      <c r="AI83" s="236">
        <f>IF($AH83&gt;$AH82,INDEX(Spectra!83:83,1,MATCH($AI$20,Spectra!$20:$20,0)),AI82)</f>
        <v>1</v>
      </c>
      <c r="AJ83" s="236">
        <f>((Physics!$C$9*Physics!$C$10)/(Physics!$C$11*Physics!$C$12*$AH83))^($AJ$17-$AJ$18)</f>
        <v>2.22570254512028e+18</v>
      </c>
      <c r="AK83" s="236">
        <f t="shared" si="30"/>
        <v>1</v>
      </c>
      <c r="AL83" s="236">
        <f ca="1">INDEX(Photobiology!$21:$421,1+$AH83-380,10)</f>
        <v>0.02561024</v>
      </c>
      <c r="AM83" s="236">
        <f ca="1" t="shared" si="31"/>
        <v>13.3319879209511</v>
      </c>
      <c r="AN83" s="236">
        <f ca="1">INDEX(Photobiology!$21:$421,1+$AH83-380,AN$14)</f>
        <v>0.998237774364937</v>
      </c>
      <c r="AO83" s="236">
        <f ca="1">INDEX(Photobiology!$21:$421,1+$AH83-380,AO$14)</f>
        <v>0.15000025591332</v>
      </c>
      <c r="AP83" s="236">
        <f ca="1">INDEX(Photobiology!$21:$421,1+$AH83-380,AP$14)</f>
        <v>0.0896745074643962</v>
      </c>
      <c r="AQ83" s="236">
        <f ca="1">INDEX(Photobiology!$21:$421,1+$AH83-380,AQ$14)</f>
        <v>0.339154044104591</v>
      </c>
      <c r="AR83" s="236">
        <f ca="1">INDEX(Photobiology!$21:$421,1+$AH83-380,AR$14)</f>
        <v>0.429639299675834</v>
      </c>
      <c r="AS83" s="236">
        <f ca="1" t="shared" si="32"/>
        <v>2.96730394471737e+19</v>
      </c>
      <c r="AT83" s="236">
        <f ca="1">INDEX(Photobiology!$21:$421,1+$AH83-380,AT$14)</f>
        <v>0.993720861358761</v>
      </c>
      <c r="AU83" s="236">
        <f ca="1">INDEX(Photobiology!$21:$421,1+$AH83-380,AU$14)</f>
        <v>0.184287125400624</v>
      </c>
      <c r="AV83" s="236">
        <f ca="1">INDEX(Photobiology!$21:$421,1+$AH83-380,AV$14)</f>
        <v>0.115496756886568</v>
      </c>
      <c r="AW83" s="236">
        <f ca="1">INDEX(Photobiology!$21:$421,1+$AH83-380,AW$14)</f>
        <v>0.39112758182708</v>
      </c>
      <c r="AX83" s="236">
        <f ca="1">INDEX(Photobiology!$21:$421,1+$AH83-380,AX$14)</f>
        <v>0.475108381375801</v>
      </c>
      <c r="AY83" s="236">
        <f ca="1" t="shared" si="19"/>
        <v>13.3319879209511</v>
      </c>
      <c r="AZ83" s="236">
        <f ca="1" t="shared" si="33"/>
        <v>13.3084939500705</v>
      </c>
      <c r="BA83" s="236">
        <f ca="1" t="shared" si="20"/>
        <v>1.99980159997596</v>
      </c>
      <c r="BB83" s="236">
        <f ca="1" t="shared" si="21"/>
        <v>1.19553945033257</v>
      </c>
      <c r="BC83" s="236">
        <f ca="1" t="shared" si="22"/>
        <v>4.52159761934414</v>
      </c>
      <c r="BD83" s="236">
        <f ca="1" t="shared" si="23"/>
        <v>5.72794595364413</v>
      </c>
    </row>
    <row r="84" s="234" customFormat="1" ht="0.2" customHeight="1" spans="7:56">
      <c r="G84" s="236"/>
      <c r="H84" s="236">
        <f t="shared" si="24"/>
        <v>443</v>
      </c>
      <c r="I84" s="236">
        <f>IF($H84&gt;$H83,INDEX(Spectra!84:84,1,MATCH($I$20,Spectra!$20:$20,0)),I83)</f>
        <v>7.1498909587072</v>
      </c>
      <c r="J84" s="236">
        <f>((Physics!$C$9*Physics!$C$10)/(Physics!$C$11*Physics!$C$12*$H84))^($J$17-$J$18)</f>
        <v>2.23073807124046e+18</v>
      </c>
      <c r="K84" s="236">
        <f t="shared" si="25"/>
        <v>1</v>
      </c>
      <c r="L84" s="236">
        <f ca="1">INDEX(Photobiology!$21:$421,1+$H84-380,10)</f>
        <v>0.02695857</v>
      </c>
      <c r="M84" s="236">
        <f ca="1" t="shared" si="26"/>
        <v>7.1498909587072</v>
      </c>
      <c r="N84" s="236">
        <f ca="1">INDEX(Photobiology!$21:$421,1+$H84-380,N$14)</f>
        <v>0.995831821711054</v>
      </c>
      <c r="O84" s="236">
        <f ca="1">INDEX(Photobiology!$21:$421,1+$H84-380,O$14)</f>
        <v>0.155375307087276</v>
      </c>
      <c r="P84" s="236">
        <f ca="1">INDEX(Photobiology!$21:$421,1+$H84-380,P$14)</f>
        <v>0.0916919058934925</v>
      </c>
      <c r="Q84" s="236">
        <f ca="1">INDEX(Photobiology!$21:$421,1+$H84-380,Q$14)</f>
        <v>0.350511280967077</v>
      </c>
      <c r="R84" s="236">
        <f ca="1">INDEX(Photobiology!$21:$421,1+$H84-380,R$14)</f>
        <v>0.444125797147844</v>
      </c>
      <c r="S84" s="236">
        <f ca="1" t="shared" si="27"/>
        <v>1.59495339668061e+19</v>
      </c>
      <c r="T84" s="236">
        <f ca="1">INDEX(Photobiology!$21:$421,1+$H84-380,T$14)</f>
        <v>0.989088039622717</v>
      </c>
      <c r="U84" s="236">
        <f ca="1">INDEX(Photobiology!$21:$421,1+$H84-380,U$14)</f>
        <v>0.190459894260888</v>
      </c>
      <c r="V84" s="236">
        <f ca="1">INDEX(Photobiology!$21:$421,1+$H84-380,V$14)</f>
        <v>0.117828495572575</v>
      </c>
      <c r="W84" s="236">
        <f ca="1">INDEX(Photobiology!$21:$421,1+$H84-380,W$14)</f>
        <v>0.403312781950646</v>
      </c>
      <c r="X84" s="236">
        <f ca="1">INDEX(Photobiology!$21:$421,1+$H84-380,X$14)</f>
        <v>0.490019355755755</v>
      </c>
      <c r="Y84" s="236">
        <f ca="1" t="shared" si="14"/>
        <v>7.1498909587072</v>
      </c>
      <c r="Z84" s="236">
        <f ca="1" t="shared" si="28"/>
        <v>7.12008893844478</v>
      </c>
      <c r="AA84" s="236">
        <f ca="1" t="shared" si="15"/>
        <v>1.11091650334967</v>
      </c>
      <c r="AB84" s="236">
        <f ca="1" t="shared" si="16"/>
        <v>0.655587128934514</v>
      </c>
      <c r="AC84" s="236">
        <f ca="1" t="shared" si="17"/>
        <v>2.50611743871138</v>
      </c>
      <c r="AD84" s="236">
        <f ca="1" t="shared" si="18"/>
        <v>3.175451021556</v>
      </c>
      <c r="AE84" s="236"/>
      <c r="AF84" s="236"/>
      <c r="AG84" s="236"/>
      <c r="AH84" s="236">
        <f t="shared" si="29"/>
        <v>443</v>
      </c>
      <c r="AI84" s="236">
        <f>IF($AH84&gt;$AH83,INDEX(Spectra!84:84,1,MATCH($AI$20,Spectra!$20:$20,0)),AI83)</f>
        <v>1</v>
      </c>
      <c r="AJ84" s="236">
        <f>((Physics!$C$9*Physics!$C$10)/(Physics!$C$11*Physics!$C$12*$AH84))^($AJ$17-$AJ$18)</f>
        <v>2.23073807124046e+18</v>
      </c>
      <c r="AK84" s="236">
        <f t="shared" si="30"/>
        <v>1</v>
      </c>
      <c r="AL84" s="236">
        <f ca="1">INDEX(Photobiology!$21:$421,1+$AH84-380,10)</f>
        <v>0.02695857</v>
      </c>
      <c r="AM84" s="236">
        <f ca="1" t="shared" si="31"/>
        <v>13.3319879209511</v>
      </c>
      <c r="AN84" s="236">
        <f ca="1">INDEX(Photobiology!$21:$421,1+$AH84-380,AN$14)</f>
        <v>0.995831821711054</v>
      </c>
      <c r="AO84" s="236">
        <f ca="1">INDEX(Photobiology!$21:$421,1+$AH84-380,AO$14)</f>
        <v>0.155375307087276</v>
      </c>
      <c r="AP84" s="236">
        <f ca="1">INDEX(Photobiology!$21:$421,1+$AH84-380,AP$14)</f>
        <v>0.0916919058934925</v>
      </c>
      <c r="AQ84" s="236">
        <f ca="1">INDEX(Photobiology!$21:$421,1+$AH84-380,AQ$14)</f>
        <v>0.350511280967077</v>
      </c>
      <c r="AR84" s="236">
        <f ca="1">INDEX(Photobiology!$21:$421,1+$AH84-380,AR$14)</f>
        <v>0.444125797147844</v>
      </c>
      <c r="AS84" s="236">
        <f ca="1" t="shared" si="32"/>
        <v>2.97401730205836e+19</v>
      </c>
      <c r="AT84" s="236">
        <f ca="1">INDEX(Photobiology!$21:$421,1+$AH84-380,AT$14)</f>
        <v>0.989088039622717</v>
      </c>
      <c r="AU84" s="236">
        <f ca="1">INDEX(Photobiology!$21:$421,1+$AH84-380,AU$14)</f>
        <v>0.190459894260888</v>
      </c>
      <c r="AV84" s="236">
        <f ca="1">INDEX(Photobiology!$21:$421,1+$AH84-380,AV$14)</f>
        <v>0.117828495572575</v>
      </c>
      <c r="AW84" s="236">
        <f ca="1">INDEX(Photobiology!$21:$421,1+$AH84-380,AW$14)</f>
        <v>0.403312781950646</v>
      </c>
      <c r="AX84" s="236">
        <f ca="1">INDEX(Photobiology!$21:$421,1+$AH84-380,AX$14)</f>
        <v>0.490019355755755</v>
      </c>
      <c r="AY84" s="236">
        <f ca="1" t="shared" si="19"/>
        <v>13.3319879209511</v>
      </c>
      <c r="AZ84" s="236">
        <f ca="1" t="shared" si="33"/>
        <v>13.2764178183505</v>
      </c>
      <c r="BA84" s="236">
        <f ca="1" t="shared" si="20"/>
        <v>2.07146171730164</v>
      </c>
      <c r="BB84" s="236">
        <f ca="1" t="shared" si="21"/>
        <v>1.22243538182103</v>
      </c>
      <c r="BC84" s="236">
        <f ca="1" t="shared" si="22"/>
        <v>4.67301216401018</v>
      </c>
      <c r="BD84" s="236">
        <f ca="1" t="shared" si="23"/>
        <v>5.92107976295785</v>
      </c>
    </row>
    <row r="85" s="234" customFormat="1" ht="0.2" customHeight="1" spans="7:56">
      <c r="G85" s="236"/>
      <c r="H85" s="236">
        <f t="shared" si="24"/>
        <v>444</v>
      </c>
      <c r="I85" s="236">
        <f>IF($H85&gt;$H84,INDEX(Spectra!85:85,1,MATCH($I$20,Spectra!$20:$20,0)),I84)</f>
        <v>7.35529333476443</v>
      </c>
      <c r="J85" s="236">
        <f>((Physics!$C$9*Physics!$C$10)/(Physics!$C$11*Physics!$C$12*$H85))^($J$17-$J$18)</f>
        <v>2.23577359736064e+18</v>
      </c>
      <c r="K85" s="236">
        <f t="shared" si="25"/>
        <v>1</v>
      </c>
      <c r="L85" s="236">
        <f ca="1">INDEX(Photobiology!$21:$421,1+$H85-380,10)</f>
        <v>0.02835125</v>
      </c>
      <c r="M85" s="236">
        <f ca="1" t="shared" si="26"/>
        <v>7.35529333476443</v>
      </c>
      <c r="N85" s="236">
        <f ca="1">INDEX(Photobiology!$21:$421,1+$H85-380,N$14)</f>
        <v>0.992375422838918</v>
      </c>
      <c r="O85" s="236">
        <f ca="1">INDEX(Photobiology!$21:$421,1+$H85-380,O$14)</f>
        <v>0.160995968129287</v>
      </c>
      <c r="P85" s="236">
        <f ca="1">INDEX(Photobiology!$21:$421,1+$H85-380,P$14)</f>
        <v>0.0938387037542945</v>
      </c>
      <c r="Q85" s="236">
        <f ca="1">INDEX(Photobiology!$21:$421,1+$H85-380,Q$14)</f>
        <v>0.362132080722844</v>
      </c>
      <c r="R85" s="236">
        <f ca="1">INDEX(Photobiology!$21:$421,1+$H85-380,R$14)</f>
        <v>0.458914732461243</v>
      </c>
      <c r="S85" s="236">
        <f ca="1" t="shared" si="27"/>
        <v>1.6444770638709e+19</v>
      </c>
      <c r="T85" s="236">
        <f ca="1">INDEX(Photobiology!$21:$421,1+$H85-380,T$14)</f>
        <v>0.983435103714243</v>
      </c>
      <c r="U85" s="236">
        <f ca="1">INDEX(Photobiology!$21:$421,1+$H85-380,U$14)</f>
        <v>0.196905249679208</v>
      </c>
      <c r="V85" s="236">
        <f ca="1">INDEX(Photobiology!$21:$421,1+$H85-380,V$14)</f>
        <v>0.120315640890851</v>
      </c>
      <c r="W85" s="236">
        <f ca="1">INDEX(Photobiology!$21:$421,1+$H85-380,W$14)</f>
        <v>0.415745677122675</v>
      </c>
      <c r="X85" s="236">
        <f ca="1">INDEX(Photobiology!$21:$421,1+$H85-380,X$14)</f>
        <v>0.505196102162813</v>
      </c>
      <c r="Y85" s="236">
        <f ca="1" t="shared" ref="Y85:Y148" si="34">IF(TRUE,M85,S85)</f>
        <v>7.35529333476443</v>
      </c>
      <c r="Z85" s="236">
        <f ca="1" t="shared" si="28"/>
        <v>7.29921233319113</v>
      </c>
      <c r="AA85" s="236">
        <f ca="1" t="shared" ref="AA85:AA148" si="35">$Y85*O85</f>
        <v>1.18417257130529</v>
      </c>
      <c r="AB85" s="236">
        <f ca="1" t="shared" ref="AB85:AB148" si="36">$Y85*P85</f>
        <v>0.690211192266896</v>
      </c>
      <c r="AC85" s="236">
        <f ca="1" t="shared" ref="AC85:AC148" si="37">$Y85*Q85</f>
        <v>2.66358767964511</v>
      </c>
      <c r="AD85" s="236">
        <f ca="1" t="shared" ref="AD85:AD148" si="38">$Y85*R85</f>
        <v>3.37545247289738</v>
      </c>
      <c r="AE85" s="236"/>
      <c r="AF85" s="236"/>
      <c r="AG85" s="236"/>
      <c r="AH85" s="236">
        <f t="shared" si="29"/>
        <v>444</v>
      </c>
      <c r="AI85" s="236">
        <f>IF($AH85&gt;$AH84,INDEX(Spectra!85:85,1,MATCH($AI$20,Spectra!$20:$20,0)),AI84)</f>
        <v>1</v>
      </c>
      <c r="AJ85" s="236">
        <f>((Physics!$C$9*Physics!$C$10)/(Physics!$C$11*Physics!$C$12*$AH85))^($AJ$17-$AJ$18)</f>
        <v>2.23577359736064e+18</v>
      </c>
      <c r="AK85" s="236">
        <f t="shared" si="30"/>
        <v>1</v>
      </c>
      <c r="AL85" s="236">
        <f ca="1">INDEX(Photobiology!$21:$421,1+$AH85-380,10)</f>
        <v>0.02835125</v>
      </c>
      <c r="AM85" s="236">
        <f ca="1" t="shared" si="31"/>
        <v>13.3319879209511</v>
      </c>
      <c r="AN85" s="236">
        <f ca="1">INDEX(Photobiology!$21:$421,1+$AH85-380,AN$14)</f>
        <v>0.992375422838918</v>
      </c>
      <c r="AO85" s="236">
        <f ca="1">INDEX(Photobiology!$21:$421,1+$AH85-380,AO$14)</f>
        <v>0.160995968129287</v>
      </c>
      <c r="AP85" s="236">
        <f ca="1">INDEX(Photobiology!$21:$421,1+$AH85-380,AP$14)</f>
        <v>0.0938387037542945</v>
      </c>
      <c r="AQ85" s="236">
        <f ca="1">INDEX(Photobiology!$21:$421,1+$AH85-380,AQ$14)</f>
        <v>0.362132080722844</v>
      </c>
      <c r="AR85" s="236">
        <f ca="1">INDEX(Photobiology!$21:$421,1+$AH85-380,AR$14)</f>
        <v>0.458914732461243</v>
      </c>
      <c r="AS85" s="236">
        <f ca="1" t="shared" si="32"/>
        <v>2.98073065939935e+19</v>
      </c>
      <c r="AT85" s="236">
        <f ca="1">INDEX(Photobiology!$21:$421,1+$AH85-380,AT$14)</f>
        <v>0.983435103714243</v>
      </c>
      <c r="AU85" s="236">
        <f ca="1">INDEX(Photobiology!$21:$421,1+$AH85-380,AU$14)</f>
        <v>0.196905249679208</v>
      </c>
      <c r="AV85" s="236">
        <f ca="1">INDEX(Photobiology!$21:$421,1+$AH85-380,AV$14)</f>
        <v>0.120315640890851</v>
      </c>
      <c r="AW85" s="236">
        <f ca="1">INDEX(Photobiology!$21:$421,1+$AH85-380,AW$14)</f>
        <v>0.415745677122675</v>
      </c>
      <c r="AX85" s="236">
        <f ca="1">INDEX(Photobiology!$21:$421,1+$AH85-380,AX$14)</f>
        <v>0.505196102162813</v>
      </c>
      <c r="AY85" s="236">
        <f ca="1" t="shared" ref="AY85:AY148" si="39">IF(TRUE,AM85,AS85)</f>
        <v>13.3319879209511</v>
      </c>
      <c r="AZ85" s="236">
        <f ca="1" t="shared" si="33"/>
        <v>13.2303371503372</v>
      </c>
      <c r="BA85" s="236">
        <f ca="1" t="shared" ref="BA85:BA148" si="40">$AY85*AO85</f>
        <v>2.14639630242149</v>
      </c>
      <c r="BB85" s="236">
        <f ca="1" t="shared" ref="BB85:BB148" si="41">$AY85*AP85</f>
        <v>1.25105646496997</v>
      </c>
      <c r="BC85" s="236">
        <f ca="1" t="shared" ref="BC85:BC148" si="42">$AY85*AQ85</f>
        <v>4.82794052598586</v>
      </c>
      <c r="BD85" s="236">
        <f ca="1" t="shared" ref="BD85:BD148" si="43">$AY85*AR85</f>
        <v>6.11824566991982</v>
      </c>
    </row>
    <row r="86" s="234" customFormat="1" ht="0.2" customHeight="1" spans="7:56">
      <c r="G86" s="236"/>
      <c r="H86" s="236">
        <f t="shared" ref="H86:H149" si="44">MIN(780,H85+$J$14)</f>
        <v>445</v>
      </c>
      <c r="I86" s="236">
        <f>IF($H86&gt;$H85,INDEX(Spectra!86:86,1,MATCH($I$20,Spectra!$20:$20,0)),I85)</f>
        <v>7.67773705792438</v>
      </c>
      <c r="J86" s="236">
        <f>((Physics!$C$9*Physics!$C$10)/(Physics!$C$11*Physics!$C$12*$H86))^($J$17-$J$18)</f>
        <v>2.24080912348082e+18</v>
      </c>
      <c r="K86" s="236">
        <f t="shared" ref="K86:K149" si="45">(H86&lt;&gt;H85)*1</f>
        <v>1</v>
      </c>
      <c r="L86" s="236">
        <f ca="1">INDEX(Photobiology!$21:$421,1+$H86-380,10)</f>
        <v>0.0298</v>
      </c>
      <c r="M86" s="236">
        <f ca="1" t="shared" ref="M86:M149" si="46">$I86*$J$15*IF($J$18,1,$J86)</f>
        <v>7.67773705792438</v>
      </c>
      <c r="N86" s="236">
        <f ca="1">INDEX(Photobiology!$21:$421,1+$H86-380,N$14)</f>
        <v>0.987849990481095</v>
      </c>
      <c r="O86" s="236">
        <f ca="1">INDEX(Photobiology!$21:$421,1+$H86-380,O$14)</f>
        <v>0.166868360893891</v>
      </c>
      <c r="P86" s="236">
        <f ca="1">INDEX(Photobiology!$21:$421,1+$H86-380,P$14)</f>
        <v>0.0961209379485344</v>
      </c>
      <c r="Q86" s="236">
        <f ca="1">INDEX(Photobiology!$21:$421,1+$H86-380,Q$14)</f>
        <v>0.374014121507539</v>
      </c>
      <c r="R86" s="236">
        <f ca="1">INDEX(Photobiology!$21:$421,1+$H86-380,R$14)</f>
        <v>0.474002901373129</v>
      </c>
      <c r="S86" s="236">
        <f ca="1" t="shared" ref="S86:S149" si="47">$I86*$J$15*IF($J$17,1,$J86)</f>
        <v>1.72043432470837e+19</v>
      </c>
      <c r="T86" s="236">
        <f ca="1">INDEX(Photobiology!$21:$421,1+$H86-380,T$14)</f>
        <v>0.976750552385802</v>
      </c>
      <c r="U86" s="236">
        <f ca="1">INDEX(Photobiology!$21:$421,1+$H86-380,U$14)</f>
        <v>0.203628824469144</v>
      </c>
      <c r="V86" s="236">
        <f ca="1">INDEX(Photobiology!$21:$421,1+$H86-380,V$14)</f>
        <v>0.122964867998317</v>
      </c>
      <c r="W86" s="236">
        <f ca="1">INDEX(Photobiology!$21:$421,1+$H86-380,W$14)</f>
        <v>0.428421937863059</v>
      </c>
      <c r="X86" s="236">
        <f ca="1">INDEX(Photobiology!$21:$421,1+$H86-380,X$14)</f>
        <v>0.520633309412626</v>
      </c>
      <c r="Y86" s="236">
        <f ca="1" t="shared" si="34"/>
        <v>7.67773705792438</v>
      </c>
      <c r="Z86" s="236">
        <f ca="1" t="shared" ref="Z86:Z149" si="48">$Y86*N86</f>
        <v>7.58445247958695</v>
      </c>
      <c r="AA86" s="236">
        <f ca="1" t="shared" si="35"/>
        <v>1.28117139823013</v>
      </c>
      <c r="AB86" s="236">
        <f ca="1" t="shared" si="36"/>
        <v>0.737991287329912</v>
      </c>
      <c r="AC86" s="236">
        <f ca="1" t="shared" si="37"/>
        <v>2.87158208088546</v>
      </c>
      <c r="AD86" s="236">
        <f ca="1" t="shared" si="38"/>
        <v>3.63926964143615</v>
      </c>
      <c r="AE86" s="236"/>
      <c r="AF86" s="236"/>
      <c r="AG86" s="236"/>
      <c r="AH86" s="236">
        <f t="shared" ref="AH86:AH149" si="49">MIN(780,AH85+$AJ$14)</f>
        <v>445</v>
      </c>
      <c r="AI86" s="236">
        <f>IF($AH86&gt;$AH85,INDEX(Spectra!86:86,1,MATCH($AI$20,Spectra!$20:$20,0)),AI85)</f>
        <v>1</v>
      </c>
      <c r="AJ86" s="236">
        <f>((Physics!$C$9*Physics!$C$10)/(Physics!$C$11*Physics!$C$12*$AH86))^($AJ$17-$AJ$18)</f>
        <v>2.24080912348082e+18</v>
      </c>
      <c r="AK86" s="236">
        <f t="shared" ref="AK86:AK149" si="50">(AH86&lt;&gt;AH85)*1</f>
        <v>1</v>
      </c>
      <c r="AL86" s="236">
        <f ca="1">INDEX(Photobiology!$21:$421,1+$AH86-380,10)</f>
        <v>0.0298</v>
      </c>
      <c r="AM86" s="236">
        <f ca="1" t="shared" ref="AM86:AM149" si="51">$AI86*$AJ$15*IF($AJ$18,1,$AJ86)</f>
        <v>13.3319879209511</v>
      </c>
      <c r="AN86" s="236">
        <f ca="1">INDEX(Photobiology!$21:$421,1+$AH86-380,AN$14)</f>
        <v>0.987849990481095</v>
      </c>
      <c r="AO86" s="236">
        <f ca="1">INDEX(Photobiology!$21:$421,1+$AH86-380,AO$14)</f>
        <v>0.166868360893891</v>
      </c>
      <c r="AP86" s="236">
        <f ca="1">INDEX(Photobiology!$21:$421,1+$AH86-380,AP$14)</f>
        <v>0.0961209379485344</v>
      </c>
      <c r="AQ86" s="236">
        <f ca="1">INDEX(Photobiology!$21:$421,1+$AH86-380,AQ$14)</f>
        <v>0.374014121507539</v>
      </c>
      <c r="AR86" s="236">
        <f ca="1">INDEX(Photobiology!$21:$421,1+$AH86-380,AR$14)</f>
        <v>0.474002901373129</v>
      </c>
      <c r="AS86" s="236">
        <f ca="1" t="shared" ref="AS86:AS149" si="52">$AI86*$AJ$15*IF($AJ$17,1,$AJ86)</f>
        <v>2.98744401674034e+19</v>
      </c>
      <c r="AT86" s="236">
        <f ca="1">INDEX(Photobiology!$21:$421,1+$AH86-380,AT$14)</f>
        <v>0.976750552385802</v>
      </c>
      <c r="AU86" s="236">
        <f ca="1">INDEX(Photobiology!$21:$421,1+$AH86-380,AU$14)</f>
        <v>0.203628824469144</v>
      </c>
      <c r="AV86" s="236">
        <f ca="1">INDEX(Photobiology!$21:$421,1+$AH86-380,AV$14)</f>
        <v>0.122964867998317</v>
      </c>
      <c r="AW86" s="236">
        <f ca="1">INDEX(Photobiology!$21:$421,1+$AH86-380,AW$14)</f>
        <v>0.428421937863059</v>
      </c>
      <c r="AX86" s="236">
        <f ca="1">INDEX(Photobiology!$21:$421,1+$AH86-380,AX$14)</f>
        <v>0.520633309412626</v>
      </c>
      <c r="AY86" s="236">
        <f ca="1" t="shared" si="39"/>
        <v>13.3319879209511</v>
      </c>
      <c r="AZ86" s="236">
        <f ca="1" t="shared" ref="AZ86:AZ149" si="53">$AY86*AN86</f>
        <v>13.1700041408057</v>
      </c>
      <c r="BA86" s="236">
        <f ca="1" t="shared" si="40"/>
        <v>2.22468697182627</v>
      </c>
      <c r="BB86" s="236">
        <f ca="1" t="shared" si="41"/>
        <v>1.28148318368035</v>
      </c>
      <c r="BC86" s="236">
        <f ca="1" t="shared" si="42"/>
        <v>4.98635175020366</v>
      </c>
      <c r="BD86" s="236">
        <f ca="1" t="shared" si="43"/>
        <v>6.31940095560235</v>
      </c>
    </row>
    <row r="87" s="234" customFormat="1" ht="0.2" customHeight="1" spans="7:56">
      <c r="G87" s="236"/>
      <c r="H87" s="236">
        <f t="shared" si="44"/>
        <v>446</v>
      </c>
      <c r="I87" s="236">
        <f>IF($H87&gt;$H86,INDEX(Spectra!87:87,1,MATCH($I$20,Spectra!$20:$20,0)),I86)</f>
        <v>8.13130189901888</v>
      </c>
      <c r="J87" s="236">
        <f>((Physics!$C$9*Physics!$C$10)/(Physics!$C$11*Physics!$C$12*$H87))^($J$17-$J$18)</f>
        <v>2.245844649601e+18</v>
      </c>
      <c r="K87" s="236">
        <f t="shared" si="45"/>
        <v>1</v>
      </c>
      <c r="L87" s="236">
        <f ca="1">INDEX(Photobiology!$21:$421,1+$H87-380,10)</f>
        <v>0.03131083</v>
      </c>
      <c r="M87" s="236">
        <f ca="1" t="shared" si="46"/>
        <v>8.13130189901888</v>
      </c>
      <c r="N87" s="236">
        <f ca="1">INDEX(Photobiology!$21:$421,1+$H87-380,N$14)</f>
        <v>0.982236345031927</v>
      </c>
      <c r="O87" s="236">
        <f ca="1">INDEX(Photobiology!$21:$421,1+$H87-380,O$14)</f>
        <v>0.172997568852687</v>
      </c>
      <c r="P87" s="236">
        <f ca="1">INDEX(Photobiology!$21:$421,1+$H87-380,P$14)</f>
        <v>0.0985448652537619</v>
      </c>
      <c r="Q87" s="236">
        <f ca="1">INDEX(Photobiology!$21:$421,1+$H87-380,Q$14)</f>
        <v>0.3861570783791</v>
      </c>
      <c r="R87" s="236">
        <f ca="1">INDEX(Photobiology!$21:$421,1+$H87-380,R$14)</f>
        <v>0.489382009591569</v>
      </c>
      <c r="S87" s="236">
        <f ca="1" t="shared" si="47"/>
        <v>1.8261640864202e+19</v>
      </c>
      <c r="T87" s="236">
        <f ca="1">INDEX(Photobiology!$21:$421,1+$H87-380,T$14)</f>
        <v>0.969022403170511</v>
      </c>
      <c r="U87" s="236">
        <f ca="1">INDEX(Photobiology!$21:$421,1+$H87-380,U$14)</f>
        <v>0.210634936632114</v>
      </c>
      <c r="V87" s="236">
        <f ca="1">INDEX(Photobiology!$21:$421,1+$H87-380,V$14)</f>
        <v>0.125783072835417</v>
      </c>
      <c r="W87" s="236">
        <f ca="1">INDEX(Photobiology!$21:$421,1+$H87-380,W$14)</f>
        <v>0.441339555806856</v>
      </c>
      <c r="X87" s="236">
        <f ca="1">INDEX(Photobiology!$21:$421,1+$H87-380,X$14)</f>
        <v>0.536320135703579</v>
      </c>
      <c r="Y87" s="236">
        <f ca="1" t="shared" si="34"/>
        <v>8.13130189901888</v>
      </c>
      <c r="Z87" s="236">
        <f ca="1" t="shared" si="48"/>
        <v>7.98686025764347</v>
      </c>
      <c r="AA87" s="236">
        <f ca="1" t="shared" si="35"/>
        <v>1.4066954601375</v>
      </c>
      <c r="AB87" s="236">
        <f ca="1" t="shared" si="36"/>
        <v>0.801298049976474</v>
      </c>
      <c r="AC87" s="236">
        <f ca="1" t="shared" si="37"/>
        <v>3.13995978474356</v>
      </c>
      <c r="AD87" s="236">
        <f ca="1" t="shared" si="38"/>
        <v>3.9793128639376</v>
      </c>
      <c r="AE87" s="236"/>
      <c r="AF87" s="236"/>
      <c r="AG87" s="236"/>
      <c r="AH87" s="236">
        <f t="shared" si="49"/>
        <v>446</v>
      </c>
      <c r="AI87" s="236">
        <f>IF($AH87&gt;$AH86,INDEX(Spectra!87:87,1,MATCH($AI$20,Spectra!$20:$20,0)),AI86)</f>
        <v>1</v>
      </c>
      <c r="AJ87" s="236">
        <f>((Physics!$C$9*Physics!$C$10)/(Physics!$C$11*Physics!$C$12*$AH87))^($AJ$17-$AJ$18)</f>
        <v>2.245844649601e+18</v>
      </c>
      <c r="AK87" s="236">
        <f t="shared" si="50"/>
        <v>1</v>
      </c>
      <c r="AL87" s="236">
        <f ca="1">INDEX(Photobiology!$21:$421,1+$AH87-380,10)</f>
        <v>0.03131083</v>
      </c>
      <c r="AM87" s="236">
        <f ca="1" t="shared" si="51"/>
        <v>13.3319879209511</v>
      </c>
      <c r="AN87" s="236">
        <f ca="1">INDEX(Photobiology!$21:$421,1+$AH87-380,AN$14)</f>
        <v>0.982236345031927</v>
      </c>
      <c r="AO87" s="236">
        <f ca="1">INDEX(Photobiology!$21:$421,1+$AH87-380,AO$14)</f>
        <v>0.172997568852687</v>
      </c>
      <c r="AP87" s="236">
        <f ca="1">INDEX(Photobiology!$21:$421,1+$AH87-380,AP$14)</f>
        <v>0.0985448652537619</v>
      </c>
      <c r="AQ87" s="236">
        <f ca="1">INDEX(Photobiology!$21:$421,1+$AH87-380,AQ$14)</f>
        <v>0.3861570783791</v>
      </c>
      <c r="AR87" s="236">
        <f ca="1">INDEX(Photobiology!$21:$421,1+$AH87-380,AR$14)</f>
        <v>0.489382009591569</v>
      </c>
      <c r="AS87" s="236">
        <f ca="1" t="shared" si="52"/>
        <v>2.99415737408133e+19</v>
      </c>
      <c r="AT87" s="236">
        <f ca="1">INDEX(Photobiology!$21:$421,1+$AH87-380,AT$14)</f>
        <v>0.969022403170511</v>
      </c>
      <c r="AU87" s="236">
        <f ca="1">INDEX(Photobiology!$21:$421,1+$AH87-380,AU$14)</f>
        <v>0.210634936632114</v>
      </c>
      <c r="AV87" s="236">
        <f ca="1">INDEX(Photobiology!$21:$421,1+$AH87-380,AV$14)</f>
        <v>0.125783072835417</v>
      </c>
      <c r="AW87" s="236">
        <f ca="1">INDEX(Photobiology!$21:$421,1+$AH87-380,AW$14)</f>
        <v>0.441339555806856</v>
      </c>
      <c r="AX87" s="236">
        <f ca="1">INDEX(Photobiology!$21:$421,1+$AH87-380,AX$14)</f>
        <v>0.536320135703579</v>
      </c>
      <c r="AY87" s="236">
        <f ca="1" t="shared" si="39"/>
        <v>13.3319879209511</v>
      </c>
      <c r="AZ87" s="236">
        <f ca="1" t="shared" si="53"/>
        <v>13.0951630874848</v>
      </c>
      <c r="BA87" s="236">
        <f ca="1" t="shared" si="40"/>
        <v>2.30640149829794</v>
      </c>
      <c r="BB87" s="236">
        <f ca="1" t="shared" si="41"/>
        <v>1.31379895323491</v>
      </c>
      <c r="BC87" s="236">
        <f ca="1" t="shared" si="42"/>
        <v>5.14824150453994</v>
      </c>
      <c r="BD87" s="236">
        <f ca="1" t="shared" si="43"/>
        <v>6.52443504060559</v>
      </c>
    </row>
    <row r="88" s="234" customFormat="1" ht="0.2" customHeight="1" spans="7:56">
      <c r="G88" s="236"/>
      <c r="H88" s="236">
        <f t="shared" si="44"/>
        <v>447</v>
      </c>
      <c r="I88" s="236">
        <f>IF($H88&gt;$H87,INDEX(Spectra!88:88,1,MATCH($I$20,Spectra!$20:$20,0)),I87)</f>
        <v>8.70486342894998</v>
      </c>
      <c r="J88" s="236">
        <f>((Physics!$C$9*Physics!$C$10)/(Physics!$C$11*Physics!$C$12*$H88))^($J$17-$J$18)</f>
        <v>2.25088017572119e+18</v>
      </c>
      <c r="K88" s="236">
        <f t="shared" si="45"/>
        <v>1</v>
      </c>
      <c r="L88" s="236">
        <f ca="1">INDEX(Photobiology!$21:$421,1+$H88-380,10)</f>
        <v>0.03288368</v>
      </c>
      <c r="M88" s="236">
        <f ca="1" t="shared" si="46"/>
        <v>8.70486342894998</v>
      </c>
      <c r="N88" s="236">
        <f ca="1">INDEX(Photobiology!$21:$421,1+$H88-380,N$14)</f>
        <v>0.975519600896942</v>
      </c>
      <c r="O88" s="236">
        <f ca="1">INDEX(Photobiology!$21:$421,1+$H88-380,O$14)</f>
        <v>0.179389905050476</v>
      </c>
      <c r="P88" s="236">
        <f ca="1">INDEX(Photobiology!$21:$421,1+$H88-380,P$14)</f>
        <v>0.10111695897075</v>
      </c>
      <c r="Q88" s="236">
        <f ca="1">INDEX(Photobiology!$21:$421,1+$H88-380,Q$14)</f>
        <v>0.398556595102999</v>
      </c>
      <c r="R88" s="236">
        <f ca="1">INDEX(Photobiology!$21:$421,1+$H88-380,R$14)</f>
        <v>0.505050726309829</v>
      </c>
      <c r="S88" s="236">
        <f ca="1" t="shared" si="47"/>
        <v>1.95936045245839e+19</v>
      </c>
      <c r="T88" s="236">
        <f ca="1">INDEX(Photobiology!$21:$421,1+$H88-380,T$14)</f>
        <v>0.960243007594305</v>
      </c>
      <c r="U88" s="236">
        <f ca="1">INDEX(Photobiology!$21:$421,1+$H88-380,U$14)</f>
        <v>0.217929359259802</v>
      </c>
      <c r="V88" s="236">
        <f ca="1">INDEX(Photobiology!$21:$421,1+$H88-380,V$14)</f>
        <v>0.128777365386812</v>
      </c>
      <c r="W88" s="236">
        <f ca="1">INDEX(Photobiology!$21:$421,1+$H88-380,W$14)</f>
        <v>0.454491943497642</v>
      </c>
      <c r="X88" s="236">
        <f ca="1">INDEX(Photobiology!$21:$421,1+$H88-380,X$14)</f>
        <v>0.552253450554361</v>
      </c>
      <c r="Y88" s="236">
        <f ca="1" t="shared" si="34"/>
        <v>8.70486342894998</v>
      </c>
      <c r="Z88" s="236">
        <f ca="1" t="shared" si="48"/>
        <v>8.49176489807167</v>
      </c>
      <c r="AA88" s="236">
        <f ca="1" t="shared" si="35"/>
        <v>1.5615646239967</v>
      </c>
      <c r="AB88" s="236">
        <f ca="1" t="shared" si="36"/>
        <v>0.880209318191117</v>
      </c>
      <c r="AC88" s="236">
        <f ca="1" t="shared" si="37"/>
        <v>3.46938072907892</v>
      </c>
      <c r="AD88" s="236">
        <f ca="1" t="shared" si="38"/>
        <v>4.39639759721906</v>
      </c>
      <c r="AE88" s="236"/>
      <c r="AF88" s="236"/>
      <c r="AG88" s="236"/>
      <c r="AH88" s="236">
        <f t="shared" si="49"/>
        <v>447</v>
      </c>
      <c r="AI88" s="236">
        <f>IF($AH88&gt;$AH87,INDEX(Spectra!88:88,1,MATCH($AI$20,Spectra!$20:$20,0)),AI87)</f>
        <v>1</v>
      </c>
      <c r="AJ88" s="236">
        <f>((Physics!$C$9*Physics!$C$10)/(Physics!$C$11*Physics!$C$12*$AH88))^($AJ$17-$AJ$18)</f>
        <v>2.25088017572119e+18</v>
      </c>
      <c r="AK88" s="236">
        <f t="shared" si="50"/>
        <v>1</v>
      </c>
      <c r="AL88" s="236">
        <f ca="1">INDEX(Photobiology!$21:$421,1+$AH88-380,10)</f>
        <v>0.03288368</v>
      </c>
      <c r="AM88" s="236">
        <f ca="1" t="shared" si="51"/>
        <v>13.3319879209511</v>
      </c>
      <c r="AN88" s="236">
        <f ca="1">INDEX(Photobiology!$21:$421,1+$AH88-380,AN$14)</f>
        <v>0.975519600896942</v>
      </c>
      <c r="AO88" s="236">
        <f ca="1">INDEX(Photobiology!$21:$421,1+$AH88-380,AO$14)</f>
        <v>0.179389905050476</v>
      </c>
      <c r="AP88" s="236">
        <f ca="1">INDEX(Photobiology!$21:$421,1+$AH88-380,AP$14)</f>
        <v>0.10111695897075</v>
      </c>
      <c r="AQ88" s="236">
        <f ca="1">INDEX(Photobiology!$21:$421,1+$AH88-380,AQ$14)</f>
        <v>0.398556595102999</v>
      </c>
      <c r="AR88" s="236">
        <f ca="1">INDEX(Photobiology!$21:$421,1+$AH88-380,AR$14)</f>
        <v>0.505050726309829</v>
      </c>
      <c r="AS88" s="236">
        <f ca="1" t="shared" si="52"/>
        <v>3.00087073142232e+19</v>
      </c>
      <c r="AT88" s="236">
        <f ca="1">INDEX(Photobiology!$21:$421,1+$AH88-380,AT$14)</f>
        <v>0.960243007594305</v>
      </c>
      <c r="AU88" s="236">
        <f ca="1">INDEX(Photobiology!$21:$421,1+$AH88-380,AU$14)</f>
        <v>0.217929359259802</v>
      </c>
      <c r="AV88" s="236">
        <f ca="1">INDEX(Photobiology!$21:$421,1+$AH88-380,AV$14)</f>
        <v>0.128777365386812</v>
      </c>
      <c r="AW88" s="236">
        <f ca="1">INDEX(Photobiology!$21:$421,1+$AH88-380,AW$14)</f>
        <v>0.454491943497642</v>
      </c>
      <c r="AX88" s="236">
        <f ca="1">INDEX(Photobiology!$21:$421,1+$AH88-380,AX$14)</f>
        <v>0.552253450554361</v>
      </c>
      <c r="AY88" s="236">
        <f ca="1" t="shared" si="39"/>
        <v>13.3319879209511</v>
      </c>
      <c r="AZ88" s="236">
        <f ca="1" t="shared" si="53"/>
        <v>13.0056155358091</v>
      </c>
      <c r="BA88" s="236">
        <f ca="1" t="shared" si="40"/>
        <v>2.39162404727352</v>
      </c>
      <c r="BB88" s="236">
        <f ca="1" t="shared" si="41"/>
        <v>1.34809007560135</v>
      </c>
      <c r="BC88" s="236">
        <f ca="1" t="shared" si="42"/>
        <v>5.3135517117286</v>
      </c>
      <c r="BD88" s="236">
        <f ca="1" t="shared" si="43"/>
        <v>6.73333018263024</v>
      </c>
    </row>
    <row r="89" s="234" customFormat="1" ht="0.2" customHeight="1" spans="7:56">
      <c r="G89" s="236"/>
      <c r="H89" s="236">
        <f t="shared" si="44"/>
        <v>448</v>
      </c>
      <c r="I89" s="236">
        <f>IF($H89&gt;$H88,INDEX(Spectra!89:89,1,MATCH($I$20,Spectra!$20:$20,0)),I88)</f>
        <v>9.42116753250387</v>
      </c>
      <c r="J89" s="236">
        <f>((Physics!$C$9*Physics!$C$10)/(Physics!$C$11*Physics!$C$12*$H89))^($J$17-$J$18)</f>
        <v>2.25591570184137e+18</v>
      </c>
      <c r="K89" s="236">
        <f t="shared" si="45"/>
        <v>1</v>
      </c>
      <c r="L89" s="236">
        <f ca="1">INDEX(Photobiology!$21:$421,1+$H89-380,10)</f>
        <v>0.03452112</v>
      </c>
      <c r="M89" s="236">
        <f ca="1" t="shared" si="46"/>
        <v>9.42116753250387</v>
      </c>
      <c r="N89" s="236">
        <f ca="1">INDEX(Photobiology!$21:$421,1+$H89-380,N$14)</f>
        <v>0.967691664184751</v>
      </c>
      <c r="O89" s="236">
        <f ca="1">INDEX(Photobiology!$21:$421,1+$H89-380,O$14)</f>
        <v>0.186050996298488</v>
      </c>
      <c r="P89" s="236">
        <f ca="1">INDEX(Photobiology!$21:$421,1+$H89-380,P$14)</f>
        <v>0.103843184996653</v>
      </c>
      <c r="Q89" s="236">
        <f ca="1">INDEX(Photobiology!$21:$421,1+$H89-380,Q$14)</f>
        <v>0.411212208528969</v>
      </c>
      <c r="R89" s="236">
        <f ca="1">INDEX(Photobiology!$21:$421,1+$H89-380,R$14)</f>
        <v>0.520999132296738</v>
      </c>
      <c r="S89" s="236">
        <f ca="1" t="shared" si="47"/>
        <v>2.12533597662536e+19</v>
      </c>
      <c r="T89" s="236">
        <f ca="1">INDEX(Photobiology!$21:$421,1+$H89-380,T$14)</f>
        <v>0.950411455895738</v>
      </c>
      <c r="U89" s="236">
        <f ca="1">INDEX(Photobiology!$21:$421,1+$H89-380,U$14)</f>
        <v>0.225516982097863</v>
      </c>
      <c r="V89" s="236">
        <f ca="1">INDEX(Photobiology!$21:$421,1+$H89-380,V$14)</f>
        <v>0.131954147394389</v>
      </c>
      <c r="W89" s="236">
        <f ca="1">INDEX(Photobiology!$21:$421,1+$H89-380,W$14)</f>
        <v>0.467877001844482</v>
      </c>
      <c r="X89" s="236">
        <f ca="1">INDEX(Photobiology!$21:$421,1+$H89-380,X$14)</f>
        <v>0.568420781286483</v>
      </c>
      <c r="Y89" s="236">
        <f ca="1" t="shared" si="34"/>
        <v>9.42116753250387</v>
      </c>
      <c r="Z89" s="236">
        <f ca="1" t="shared" si="48"/>
        <v>9.11678528809202</v>
      </c>
      <c r="AA89" s="236">
        <f ca="1" t="shared" si="35"/>
        <v>1.75281760571731</v>
      </c>
      <c r="AB89" s="236">
        <f ca="1" t="shared" si="36"/>
        <v>0.97832404296226</v>
      </c>
      <c r="AC89" s="236">
        <f ca="1" t="shared" si="37"/>
        <v>3.87409910796233</v>
      </c>
      <c r="AD89" s="236">
        <f ca="1" t="shared" si="38"/>
        <v>4.90842010965672</v>
      </c>
      <c r="AE89" s="236"/>
      <c r="AF89" s="236"/>
      <c r="AG89" s="236"/>
      <c r="AH89" s="236">
        <f t="shared" si="49"/>
        <v>448</v>
      </c>
      <c r="AI89" s="236">
        <f>IF($AH89&gt;$AH88,INDEX(Spectra!89:89,1,MATCH($AI$20,Spectra!$20:$20,0)),AI88)</f>
        <v>1</v>
      </c>
      <c r="AJ89" s="236">
        <f>((Physics!$C$9*Physics!$C$10)/(Physics!$C$11*Physics!$C$12*$AH89))^($AJ$17-$AJ$18)</f>
        <v>2.25591570184137e+18</v>
      </c>
      <c r="AK89" s="236">
        <f t="shared" si="50"/>
        <v>1</v>
      </c>
      <c r="AL89" s="236">
        <f ca="1">INDEX(Photobiology!$21:$421,1+$AH89-380,10)</f>
        <v>0.03452112</v>
      </c>
      <c r="AM89" s="236">
        <f ca="1" t="shared" si="51"/>
        <v>13.3319879209511</v>
      </c>
      <c r="AN89" s="236">
        <f ca="1">INDEX(Photobiology!$21:$421,1+$AH89-380,AN$14)</f>
        <v>0.967691664184751</v>
      </c>
      <c r="AO89" s="236">
        <f ca="1">INDEX(Photobiology!$21:$421,1+$AH89-380,AO$14)</f>
        <v>0.186050996298488</v>
      </c>
      <c r="AP89" s="236">
        <f ca="1">INDEX(Photobiology!$21:$421,1+$AH89-380,AP$14)</f>
        <v>0.103843184996653</v>
      </c>
      <c r="AQ89" s="236">
        <f ca="1">INDEX(Photobiology!$21:$421,1+$AH89-380,AQ$14)</f>
        <v>0.411212208528969</v>
      </c>
      <c r="AR89" s="236">
        <f ca="1">INDEX(Photobiology!$21:$421,1+$AH89-380,AR$14)</f>
        <v>0.520999132296738</v>
      </c>
      <c r="AS89" s="236">
        <f ca="1" t="shared" si="52"/>
        <v>3.00758408876331e+19</v>
      </c>
      <c r="AT89" s="236">
        <f ca="1">INDEX(Photobiology!$21:$421,1+$AH89-380,AT$14)</f>
        <v>0.950411455895738</v>
      </c>
      <c r="AU89" s="236">
        <f ca="1">INDEX(Photobiology!$21:$421,1+$AH89-380,AU$14)</f>
        <v>0.225516982097863</v>
      </c>
      <c r="AV89" s="236">
        <f ca="1">INDEX(Photobiology!$21:$421,1+$AH89-380,AV$14)</f>
        <v>0.131954147394389</v>
      </c>
      <c r="AW89" s="236">
        <f ca="1">INDEX(Photobiology!$21:$421,1+$AH89-380,AW$14)</f>
        <v>0.467877001844482</v>
      </c>
      <c r="AX89" s="236">
        <f ca="1">INDEX(Photobiology!$21:$421,1+$AH89-380,AX$14)</f>
        <v>0.568420781286483</v>
      </c>
      <c r="AY89" s="236">
        <f ca="1" t="shared" si="39"/>
        <v>13.3319879209511</v>
      </c>
      <c r="AZ89" s="236">
        <f ca="1" t="shared" si="53"/>
        <v>12.9012535781162</v>
      </c>
      <c r="BA89" s="236">
        <f ca="1" t="shared" si="40"/>
        <v>2.48042963533237</v>
      </c>
      <c r="BB89" s="236">
        <f ca="1" t="shared" si="41"/>
        <v>1.38443608804847</v>
      </c>
      <c r="BC89" s="236">
        <f ca="1" t="shared" si="42"/>
        <v>5.48227619705586</v>
      </c>
      <c r="BD89" s="236">
        <f ca="1" t="shared" si="43"/>
        <v>6.94595413860614</v>
      </c>
    </row>
    <row r="90" s="234" customFormat="1" ht="0.2" customHeight="1" spans="7:56">
      <c r="G90" s="236"/>
      <c r="H90" s="236">
        <f t="shared" si="44"/>
        <v>449</v>
      </c>
      <c r="I90" s="236">
        <f>IF($H90&gt;$H89,INDEX(Spectra!90:90,1,MATCH($I$20,Spectra!$20:$20,0)),I89)</f>
        <v>10.2126237206891</v>
      </c>
      <c r="J90" s="236">
        <f>((Physics!$C$9*Physics!$C$10)/(Physics!$C$11*Physics!$C$12*$H90))^($J$17-$J$18)</f>
        <v>2.26095122796155e+18</v>
      </c>
      <c r="K90" s="236">
        <f t="shared" si="45"/>
        <v>1</v>
      </c>
      <c r="L90" s="236">
        <f ca="1">INDEX(Photobiology!$21:$421,1+$H90-380,10)</f>
        <v>0.03622571</v>
      </c>
      <c r="M90" s="236">
        <f ca="1" t="shared" si="46"/>
        <v>10.2126237206891</v>
      </c>
      <c r="N90" s="236">
        <f ca="1">INDEX(Photobiology!$21:$421,1+$H90-380,N$14)</f>
        <v>0.958746960229702</v>
      </c>
      <c r="O90" s="236">
        <f ca="1">INDEX(Photobiology!$21:$421,1+$H90-380,O$14)</f>
        <v>0.19298564244581</v>
      </c>
      <c r="P90" s="236">
        <f ca="1">INDEX(Photobiology!$21:$421,1+$H90-380,P$14)</f>
        <v>0.106730857829068</v>
      </c>
      <c r="Q90" s="236">
        <f ca="1">INDEX(Photobiology!$21:$421,1+$H90-380,Q$14)</f>
        <v>0.424121218046112</v>
      </c>
      <c r="R90" s="236">
        <f ca="1">INDEX(Photobiology!$21:$421,1+$H90-380,R$14)</f>
        <v>0.537223497595729</v>
      </c>
      <c r="S90" s="236">
        <f ca="1" t="shared" si="47"/>
        <v>2.30902441420013e+19</v>
      </c>
      <c r="T90" s="236">
        <f ca="1">INDEX(Photobiology!$21:$421,1+$H90-380,T$14)</f>
        <v>0.939529315147147</v>
      </c>
      <c r="U90" s="236">
        <f ca="1">INDEX(Photobiology!$21:$421,1+$H90-380,U$14)</f>
        <v>0.233401651182093</v>
      </c>
      <c r="V90" s="236">
        <f ca="1">INDEX(Photobiology!$21:$421,1+$H90-380,V$14)</f>
        <v>0.13532147342681</v>
      </c>
      <c r="W90" s="236">
        <f ca="1">INDEX(Photobiology!$21:$421,1+$H90-380,W$14)</f>
        <v>0.481490110345124</v>
      </c>
      <c r="X90" s="236">
        <f ca="1">INDEX(Photobiology!$21:$421,1+$H90-380,X$14)</f>
        <v>0.58481650392341</v>
      </c>
      <c r="Y90" s="236">
        <f ca="1" t="shared" si="34"/>
        <v>10.2126237206891</v>
      </c>
      <c r="Z90" s="236">
        <f ca="1" t="shared" si="48"/>
        <v>9.79132194818042</v>
      </c>
      <c r="AA90" s="236">
        <f ca="1" t="shared" si="35"/>
        <v>1.9708897497945</v>
      </c>
      <c r="AB90" s="236">
        <f ca="1" t="shared" si="36"/>
        <v>1.09000209039464</v>
      </c>
      <c r="AC90" s="236">
        <f ca="1" t="shared" si="37"/>
        <v>4.33139041186528</v>
      </c>
      <c r="AD90" s="236">
        <f ca="1" t="shared" si="38"/>
        <v>5.48646143485771</v>
      </c>
      <c r="AE90" s="236"/>
      <c r="AF90" s="236"/>
      <c r="AG90" s="236"/>
      <c r="AH90" s="236">
        <f t="shared" si="49"/>
        <v>449</v>
      </c>
      <c r="AI90" s="236">
        <f>IF($AH90&gt;$AH89,INDEX(Spectra!90:90,1,MATCH($AI$20,Spectra!$20:$20,0)),AI89)</f>
        <v>1</v>
      </c>
      <c r="AJ90" s="236">
        <f>((Physics!$C$9*Physics!$C$10)/(Physics!$C$11*Physics!$C$12*$AH90))^($AJ$17-$AJ$18)</f>
        <v>2.26095122796155e+18</v>
      </c>
      <c r="AK90" s="236">
        <f t="shared" si="50"/>
        <v>1</v>
      </c>
      <c r="AL90" s="236">
        <f ca="1">INDEX(Photobiology!$21:$421,1+$AH90-380,10)</f>
        <v>0.03622571</v>
      </c>
      <c r="AM90" s="236">
        <f ca="1" t="shared" si="51"/>
        <v>13.3319879209511</v>
      </c>
      <c r="AN90" s="236">
        <f ca="1">INDEX(Photobiology!$21:$421,1+$AH90-380,AN$14)</f>
        <v>0.958746960229702</v>
      </c>
      <c r="AO90" s="236">
        <f ca="1">INDEX(Photobiology!$21:$421,1+$AH90-380,AO$14)</f>
        <v>0.19298564244581</v>
      </c>
      <c r="AP90" s="236">
        <f ca="1">INDEX(Photobiology!$21:$421,1+$AH90-380,AP$14)</f>
        <v>0.106730857829068</v>
      </c>
      <c r="AQ90" s="236">
        <f ca="1">INDEX(Photobiology!$21:$421,1+$AH90-380,AQ$14)</f>
        <v>0.424121218046112</v>
      </c>
      <c r="AR90" s="236">
        <f ca="1">INDEX(Photobiology!$21:$421,1+$AH90-380,AR$14)</f>
        <v>0.537223497595729</v>
      </c>
      <c r="AS90" s="236">
        <f ca="1" t="shared" si="52"/>
        <v>3.0142974461043e+19</v>
      </c>
      <c r="AT90" s="236">
        <f ca="1">INDEX(Photobiology!$21:$421,1+$AH90-380,AT$14)</f>
        <v>0.939529315147147</v>
      </c>
      <c r="AU90" s="236">
        <f ca="1">INDEX(Photobiology!$21:$421,1+$AH90-380,AU$14)</f>
        <v>0.233401651182093</v>
      </c>
      <c r="AV90" s="236">
        <f ca="1">INDEX(Photobiology!$21:$421,1+$AH90-380,AV$14)</f>
        <v>0.13532147342681</v>
      </c>
      <c r="AW90" s="236">
        <f ca="1">INDEX(Photobiology!$21:$421,1+$AH90-380,AW$14)</f>
        <v>0.481490110345124</v>
      </c>
      <c r="AX90" s="236">
        <f ca="1">INDEX(Photobiology!$21:$421,1+$AH90-380,AX$14)</f>
        <v>0.58481650392341</v>
      </c>
      <c r="AY90" s="236">
        <f ca="1" t="shared" si="39"/>
        <v>13.3319879209511</v>
      </c>
      <c r="AZ90" s="236">
        <f ca="1" t="shared" si="53"/>
        <v>12.782002893031</v>
      </c>
      <c r="BA90" s="236">
        <f ca="1" t="shared" si="40"/>
        <v>2.57288225400453</v>
      </c>
      <c r="BB90" s="236">
        <f ca="1" t="shared" si="41"/>
        <v>1.42293450736989</v>
      </c>
      <c r="BC90" s="236">
        <f ca="1" t="shared" si="42"/>
        <v>5.65437895600985</v>
      </c>
      <c r="BD90" s="236">
        <f ca="1" t="shared" si="43"/>
        <v>7.16225718079738</v>
      </c>
    </row>
    <row r="91" s="234" customFormat="1" ht="0.2" customHeight="1" spans="7:56">
      <c r="G91" s="236"/>
      <c r="H91" s="236">
        <f t="shared" si="44"/>
        <v>450</v>
      </c>
      <c r="I91" s="236">
        <f>IF($H91&gt;$H90,INDEX(Spectra!91:91,1,MATCH($I$20,Spectra!$20:$20,0)),I90)</f>
        <v>11.0966015431153</v>
      </c>
      <c r="J91" s="236">
        <f>((Physics!$C$9*Physics!$C$10)/(Physics!$C$11*Physics!$C$12*$H91))^($J$17-$J$18)</f>
        <v>2.26598675408173e+18</v>
      </c>
      <c r="K91" s="236">
        <f t="shared" si="45"/>
        <v>1</v>
      </c>
      <c r="L91" s="236">
        <f ca="1">INDEX(Photobiology!$21:$421,1+$H91-380,10)</f>
        <v>0.038</v>
      </c>
      <c r="M91" s="236">
        <f ca="1" t="shared" si="46"/>
        <v>11.0966015431153</v>
      </c>
      <c r="N91" s="236">
        <f ca="1">INDEX(Photobiology!$21:$421,1+$H91-380,N$14)</f>
        <v>0.94867837279951</v>
      </c>
      <c r="O91" s="236">
        <f ca="1">INDEX(Photobiology!$21:$421,1+$H91-380,O$14)</f>
        <v>0.200199505305657</v>
      </c>
      <c r="P91" s="236">
        <f ca="1">INDEX(Photobiology!$21:$421,1+$H91-380,P$14)</f>
        <v>0.109786009591061</v>
      </c>
      <c r="Q91" s="236">
        <f ca="1">INDEX(Photobiology!$21:$421,1+$H91-380,Q$14)</f>
        <v>0.437279381428568</v>
      </c>
      <c r="R91" s="236">
        <f ca="1">INDEX(Photobiology!$21:$421,1+$H91-380,R$14)</f>
        <v>0.553714632042702</v>
      </c>
      <c r="S91" s="236">
        <f ca="1" t="shared" si="47"/>
        <v>2.51447521120222e+19</v>
      </c>
      <c r="T91" s="236">
        <f ca="1">INDEX(Photobiology!$21:$421,1+$H91-380,T$14)</f>
        <v>0.927596631181743</v>
      </c>
      <c r="U91" s="236">
        <f ca="1">INDEX(Photobiology!$21:$421,1+$H91-380,U$14)</f>
        <v>0.241588218525605</v>
      </c>
      <c r="V91" s="236">
        <f ca="1">INDEX(Photobiology!$21:$421,1+$H91-380,V$14)</f>
        <v>0.138885704178011</v>
      </c>
      <c r="W91" s="236">
        <f ca="1">INDEX(Photobiology!$21:$421,1+$H91-380,W$14)</f>
        <v>0.495324943315648</v>
      </c>
      <c r="X91" s="236">
        <f ca="1">INDEX(Photobiology!$21:$421,1+$H91-380,X$14)</f>
        <v>0.601429113757101</v>
      </c>
      <c r="Y91" s="236">
        <f ca="1" t="shared" si="34"/>
        <v>11.0966015431153</v>
      </c>
      <c r="Z91" s="236">
        <f ca="1" t="shared" si="48"/>
        <v>10.5271058955272</v>
      </c>
      <c r="AA91" s="236">
        <f ca="1" t="shared" si="35"/>
        <v>2.22153413950567</v>
      </c>
      <c r="AB91" s="236">
        <f ca="1" t="shared" si="36"/>
        <v>1.21825160344064</v>
      </c>
      <c r="AC91" s="236">
        <f ca="1" t="shared" si="37"/>
        <v>4.85231505873275</v>
      </c>
      <c r="AD91" s="236">
        <f ca="1" t="shared" si="38"/>
        <v>6.14435064037057</v>
      </c>
      <c r="AE91" s="236"/>
      <c r="AF91" s="236"/>
      <c r="AG91" s="236"/>
      <c r="AH91" s="236">
        <f t="shared" si="49"/>
        <v>450</v>
      </c>
      <c r="AI91" s="236">
        <f>IF($AH91&gt;$AH90,INDEX(Spectra!91:91,1,MATCH($AI$20,Spectra!$20:$20,0)),AI90)</f>
        <v>1</v>
      </c>
      <c r="AJ91" s="236">
        <f>((Physics!$C$9*Physics!$C$10)/(Physics!$C$11*Physics!$C$12*$AH91))^($AJ$17-$AJ$18)</f>
        <v>2.26598675408173e+18</v>
      </c>
      <c r="AK91" s="236">
        <f t="shared" si="50"/>
        <v>1</v>
      </c>
      <c r="AL91" s="236">
        <f ca="1">INDEX(Photobiology!$21:$421,1+$AH91-380,10)</f>
        <v>0.038</v>
      </c>
      <c r="AM91" s="236">
        <f ca="1" t="shared" si="51"/>
        <v>13.3319879209511</v>
      </c>
      <c r="AN91" s="236">
        <f ca="1">INDEX(Photobiology!$21:$421,1+$AH91-380,AN$14)</f>
        <v>0.94867837279951</v>
      </c>
      <c r="AO91" s="236">
        <f ca="1">INDEX(Photobiology!$21:$421,1+$AH91-380,AO$14)</f>
        <v>0.200199505305657</v>
      </c>
      <c r="AP91" s="236">
        <f ca="1">INDEX(Photobiology!$21:$421,1+$AH91-380,AP$14)</f>
        <v>0.109786009591061</v>
      </c>
      <c r="AQ91" s="236">
        <f ca="1">INDEX(Photobiology!$21:$421,1+$AH91-380,AQ$14)</f>
        <v>0.437279381428568</v>
      </c>
      <c r="AR91" s="236">
        <f ca="1">INDEX(Photobiology!$21:$421,1+$AH91-380,AR$14)</f>
        <v>0.553714632042702</v>
      </c>
      <c r="AS91" s="236">
        <f ca="1" t="shared" si="52"/>
        <v>3.02101080344529e+19</v>
      </c>
      <c r="AT91" s="236">
        <f ca="1">INDEX(Photobiology!$21:$421,1+$AH91-380,AT$14)</f>
        <v>0.927596631181743</v>
      </c>
      <c r="AU91" s="236">
        <f ca="1">INDEX(Photobiology!$21:$421,1+$AH91-380,AU$14)</f>
        <v>0.241588218525605</v>
      </c>
      <c r="AV91" s="236">
        <f ca="1">INDEX(Photobiology!$21:$421,1+$AH91-380,AV$14)</f>
        <v>0.138885704178011</v>
      </c>
      <c r="AW91" s="236">
        <f ca="1">INDEX(Photobiology!$21:$421,1+$AH91-380,AW$14)</f>
        <v>0.495324943315648</v>
      </c>
      <c r="AX91" s="236">
        <f ca="1">INDEX(Photobiology!$21:$421,1+$AH91-380,AX$14)</f>
        <v>0.601429113757101</v>
      </c>
      <c r="AY91" s="236">
        <f ca="1" t="shared" si="39"/>
        <v>13.3319879209511</v>
      </c>
      <c r="AZ91" s="236">
        <f ca="1" t="shared" si="53"/>
        <v>12.6477686070307</v>
      </c>
      <c r="BA91" s="236">
        <f ca="1" t="shared" si="40"/>
        <v>2.66905738651541</v>
      </c>
      <c r="BB91" s="236">
        <f ca="1" t="shared" si="41"/>
        <v>1.46366575375745</v>
      </c>
      <c r="BC91" s="236">
        <f ca="1" t="shared" si="42"/>
        <v>5.82980343128666</v>
      </c>
      <c r="BD91" s="236">
        <f ca="1" t="shared" si="43"/>
        <v>7.38211678604721</v>
      </c>
    </row>
    <row r="92" s="234" customFormat="1" ht="0.2" customHeight="1" spans="7:56">
      <c r="G92" s="236"/>
      <c r="H92" s="236">
        <f t="shared" si="44"/>
        <v>451</v>
      </c>
      <c r="I92" s="236">
        <f>IF($H92&gt;$H91,INDEX(Spectra!92:92,1,MATCH($I$20,Spectra!$20:$20,0)),I91)</f>
        <v>11.9611840701564</v>
      </c>
      <c r="J92" s="236">
        <f>((Physics!$C$9*Physics!$C$10)/(Physics!$C$11*Physics!$C$12*$H92))^($J$17-$J$18)</f>
        <v>2.27102228020191e+18</v>
      </c>
      <c r="K92" s="236">
        <f t="shared" si="45"/>
        <v>1</v>
      </c>
      <c r="L92" s="236">
        <f ca="1">INDEX(Photobiology!$21:$421,1+$H92-380,10)</f>
        <v>0.03984667</v>
      </c>
      <c r="M92" s="236">
        <f ca="1" t="shared" si="46"/>
        <v>11.9611840701564</v>
      </c>
      <c r="N92" s="236">
        <f ca="1">INDEX(Photobiology!$21:$421,1+$H92-380,N$14)</f>
        <v>0.934475673066431</v>
      </c>
      <c r="O92" s="236">
        <f ca="1">INDEX(Photobiology!$21:$421,1+$H92-380,O$14)</f>
        <v>0.207028912103989</v>
      </c>
      <c r="P92" s="236">
        <f ca="1">INDEX(Photobiology!$21:$421,1+$H92-380,P$14)</f>
        <v>0.112651764862078</v>
      </c>
      <c r="Q92" s="236">
        <f ca="1">INDEX(Photobiology!$21:$421,1+$H92-380,Q$14)</f>
        <v>0.449235429392352</v>
      </c>
      <c r="R92" s="236">
        <f ca="1">INDEX(Photobiology!$21:$421,1+$H92-380,R$14)</f>
        <v>0.568630302931986</v>
      </c>
      <c r="S92" s="236">
        <f ca="1" t="shared" si="47"/>
        <v>2.71641155209214e+19</v>
      </c>
      <c r="T92" s="236">
        <f ca="1">INDEX(Photobiology!$21:$421,1+$H92-380,T$14)</f>
        <v>0.911683583479445</v>
      </c>
      <c r="U92" s="236">
        <f ca="1">INDEX(Photobiology!$21:$421,1+$H92-380,U$14)</f>
        <v>0.249275573002229</v>
      </c>
      <c r="V92" s="236">
        <f ca="1">INDEX(Photobiology!$21:$421,1+$H92-380,V$14)</f>
        <v>0.142195062680902</v>
      </c>
      <c r="W92" s="236">
        <f ca="1">INDEX(Photobiology!$21:$421,1+$H92-380,W$14)</f>
        <v>0.507739756504625</v>
      </c>
      <c r="X92" s="236">
        <f ca="1">INDEX(Photobiology!$21:$421,1+$H92-380,X$14)</f>
        <v>0.616260623978385</v>
      </c>
      <c r="Y92" s="236">
        <f ca="1" t="shared" si="34"/>
        <v>11.9611840701564</v>
      </c>
      <c r="Z92" s="236">
        <f ca="1" t="shared" si="48"/>
        <v>11.1774355346309</v>
      </c>
      <c r="AA92" s="236">
        <f ca="1" t="shared" si="35"/>
        <v>2.47631092552004</v>
      </c>
      <c r="AB92" s="236">
        <f ca="1" t="shared" si="36"/>
        <v>1.34744849534329</v>
      </c>
      <c r="AC92" s="236">
        <f ca="1" t="shared" si="37"/>
        <v>5.37338766179767</v>
      </c>
      <c r="AD92" s="236">
        <f ca="1" t="shared" si="38"/>
        <v>6.80149172123828</v>
      </c>
      <c r="AE92" s="236"/>
      <c r="AF92" s="236"/>
      <c r="AG92" s="236"/>
      <c r="AH92" s="236">
        <f t="shared" si="49"/>
        <v>451</v>
      </c>
      <c r="AI92" s="236">
        <f>IF($AH92&gt;$AH91,INDEX(Spectra!92:92,1,MATCH($AI$20,Spectra!$20:$20,0)),AI91)</f>
        <v>1</v>
      </c>
      <c r="AJ92" s="236">
        <f>((Physics!$C$9*Physics!$C$10)/(Physics!$C$11*Physics!$C$12*$AH92))^($AJ$17-$AJ$18)</f>
        <v>2.27102228020191e+18</v>
      </c>
      <c r="AK92" s="236">
        <f t="shared" si="50"/>
        <v>1</v>
      </c>
      <c r="AL92" s="236">
        <f ca="1">INDEX(Photobiology!$21:$421,1+$AH92-380,10)</f>
        <v>0.03984667</v>
      </c>
      <c r="AM92" s="236">
        <f ca="1" t="shared" si="51"/>
        <v>13.3319879209511</v>
      </c>
      <c r="AN92" s="236">
        <f ca="1">INDEX(Photobiology!$21:$421,1+$AH92-380,AN$14)</f>
        <v>0.934475673066431</v>
      </c>
      <c r="AO92" s="236">
        <f ca="1">INDEX(Photobiology!$21:$421,1+$AH92-380,AO$14)</f>
        <v>0.207028912103989</v>
      </c>
      <c r="AP92" s="236">
        <f ca="1">INDEX(Photobiology!$21:$421,1+$AH92-380,AP$14)</f>
        <v>0.112651764862078</v>
      </c>
      <c r="AQ92" s="236">
        <f ca="1">INDEX(Photobiology!$21:$421,1+$AH92-380,AQ$14)</f>
        <v>0.449235429392352</v>
      </c>
      <c r="AR92" s="236">
        <f ca="1">INDEX(Photobiology!$21:$421,1+$AH92-380,AR$14)</f>
        <v>0.568630302931986</v>
      </c>
      <c r="AS92" s="236">
        <f ca="1" t="shared" si="52"/>
        <v>3.02772416078628e+19</v>
      </c>
      <c r="AT92" s="236">
        <f ca="1">INDEX(Photobiology!$21:$421,1+$AH92-380,AT$14)</f>
        <v>0.911683583479445</v>
      </c>
      <c r="AU92" s="236">
        <f ca="1">INDEX(Photobiology!$21:$421,1+$AH92-380,AU$14)</f>
        <v>0.249275573002229</v>
      </c>
      <c r="AV92" s="236">
        <f ca="1">INDEX(Photobiology!$21:$421,1+$AH92-380,AV$14)</f>
        <v>0.142195062680902</v>
      </c>
      <c r="AW92" s="236">
        <f ca="1">INDEX(Photobiology!$21:$421,1+$AH92-380,AW$14)</f>
        <v>0.507739756504625</v>
      </c>
      <c r="AX92" s="236">
        <f ca="1">INDEX(Photobiology!$21:$421,1+$AH92-380,AX$14)</f>
        <v>0.616260623978385</v>
      </c>
      <c r="AY92" s="236">
        <f ca="1" t="shared" si="39"/>
        <v>13.3319879209511</v>
      </c>
      <c r="AZ92" s="236">
        <f ca="1" t="shared" si="53"/>
        <v>12.4584183857443</v>
      </c>
      <c r="BA92" s="236">
        <f ca="1" t="shared" si="40"/>
        <v>2.76010695545804</v>
      </c>
      <c r="BB92" s="236">
        <f ca="1" t="shared" si="41"/>
        <v>1.50187196841505</v>
      </c>
      <c r="BC92" s="236">
        <f ca="1" t="shared" si="42"/>
        <v>5.98920131832214</v>
      </c>
      <c r="BD92" s="236">
        <f ca="1" t="shared" si="43"/>
        <v>7.58097233017603</v>
      </c>
    </row>
    <row r="93" s="234" customFormat="1" ht="0.2" customHeight="1" spans="7:56">
      <c r="G93" s="236"/>
      <c r="H93" s="236">
        <f t="shared" si="44"/>
        <v>452</v>
      </c>
      <c r="I93" s="236">
        <f>IF($H93&gt;$H92,INDEX(Spectra!93:93,1,MATCH($I$20,Spectra!$20:$20,0)),I92)</f>
        <v>12.7544089273933</v>
      </c>
      <c r="J93" s="236">
        <f>((Physics!$C$9*Physics!$C$10)/(Physics!$C$11*Physics!$C$12*$H93))^($J$17-$J$18)</f>
        <v>2.27605780632209e+18</v>
      </c>
      <c r="K93" s="236">
        <f t="shared" si="45"/>
        <v>1</v>
      </c>
      <c r="L93" s="236">
        <f ca="1">INDEX(Photobiology!$21:$421,1+$H93-380,10)</f>
        <v>0.041768</v>
      </c>
      <c r="M93" s="236">
        <f ca="1" t="shared" si="46"/>
        <v>12.7544089273933</v>
      </c>
      <c r="N93" s="236">
        <f ca="1">INDEX(Photobiology!$21:$421,1+$H93-380,N$14)</f>
        <v>0.919250765083209</v>
      </c>
      <c r="O93" s="236">
        <f ca="1">INDEX(Photobiology!$21:$421,1+$H93-380,O$14)</f>
        <v>0.214099178052983</v>
      </c>
      <c r="P93" s="236">
        <f ca="1">INDEX(Photobiology!$21:$421,1+$H93-380,P$14)</f>
        <v>0.115678060906492</v>
      </c>
      <c r="Q93" s="236">
        <f ca="1">INDEX(Photobiology!$21:$421,1+$H93-380,Q$14)</f>
        <v>0.461352629250204</v>
      </c>
      <c r="R93" s="236">
        <f ca="1">INDEX(Photobiology!$21:$421,1+$H93-380,R$14)</f>
        <v>0.583693692136437</v>
      </c>
      <c r="S93" s="236">
        <f ca="1" t="shared" si="47"/>
        <v>2.90297720042177e+19</v>
      </c>
      <c r="T93" s="236">
        <f ca="1">INDEX(Photobiology!$21:$421,1+$H93-380,T$14)</f>
        <v>0.894845877514628</v>
      </c>
      <c r="U93" s="236">
        <f ca="1">INDEX(Photobiology!$21:$421,1+$H93-380,U$14)</f>
        <v>0.257218280288394</v>
      </c>
      <c r="V93" s="236">
        <f ca="1">INDEX(Photobiology!$21:$421,1+$H93-380,V$14)</f>
        <v>0.145691972801135</v>
      </c>
      <c r="W93" s="236">
        <f ca="1">INDEX(Photobiology!$21:$421,1+$H93-380,W$14)</f>
        <v>0.520281372777526</v>
      </c>
      <c r="X93" s="236">
        <f ca="1">INDEX(Photobiology!$21:$421,1+$H93-380,X$14)</f>
        <v>0.631186245544136</v>
      </c>
      <c r="Y93" s="236">
        <f ca="1" t="shared" si="34"/>
        <v>12.7544089273933</v>
      </c>
      <c r="Z93" s="236">
        <f ca="1" t="shared" si="48"/>
        <v>11.7245001646904</v>
      </c>
      <c r="AA93" s="236">
        <f ca="1" t="shared" si="35"/>
        <v>2.73070846790653</v>
      </c>
      <c r="AB93" s="236">
        <f ca="1" t="shared" si="36"/>
        <v>1.47540529272931</v>
      </c>
      <c r="AC93" s="236">
        <f ca="1" t="shared" si="37"/>
        <v>5.88428009318517</v>
      </c>
      <c r="AD93" s="236">
        <f ca="1" t="shared" si="38"/>
        <v>7.44466803784813</v>
      </c>
      <c r="AE93" s="236"/>
      <c r="AF93" s="236"/>
      <c r="AG93" s="236"/>
      <c r="AH93" s="236">
        <f t="shared" si="49"/>
        <v>452</v>
      </c>
      <c r="AI93" s="236">
        <f>IF($AH93&gt;$AH92,INDEX(Spectra!93:93,1,MATCH($AI$20,Spectra!$20:$20,0)),AI92)</f>
        <v>1</v>
      </c>
      <c r="AJ93" s="236">
        <f>((Physics!$C$9*Physics!$C$10)/(Physics!$C$11*Physics!$C$12*$AH93))^($AJ$17-$AJ$18)</f>
        <v>2.27605780632209e+18</v>
      </c>
      <c r="AK93" s="236">
        <f t="shared" si="50"/>
        <v>1</v>
      </c>
      <c r="AL93" s="236">
        <f ca="1">INDEX(Photobiology!$21:$421,1+$AH93-380,10)</f>
        <v>0.041768</v>
      </c>
      <c r="AM93" s="236">
        <f ca="1" t="shared" si="51"/>
        <v>13.3319879209511</v>
      </c>
      <c r="AN93" s="236">
        <f ca="1">INDEX(Photobiology!$21:$421,1+$AH93-380,AN$14)</f>
        <v>0.919250765083209</v>
      </c>
      <c r="AO93" s="236">
        <f ca="1">INDEX(Photobiology!$21:$421,1+$AH93-380,AO$14)</f>
        <v>0.214099178052983</v>
      </c>
      <c r="AP93" s="236">
        <f ca="1">INDEX(Photobiology!$21:$421,1+$AH93-380,AP$14)</f>
        <v>0.115678060906492</v>
      </c>
      <c r="AQ93" s="236">
        <f ca="1">INDEX(Photobiology!$21:$421,1+$AH93-380,AQ$14)</f>
        <v>0.461352629250204</v>
      </c>
      <c r="AR93" s="236">
        <f ca="1">INDEX(Photobiology!$21:$421,1+$AH93-380,AR$14)</f>
        <v>0.583693692136437</v>
      </c>
      <c r="AS93" s="236">
        <f ca="1" t="shared" si="52"/>
        <v>3.03443751812727e+19</v>
      </c>
      <c r="AT93" s="236">
        <f ca="1">INDEX(Photobiology!$21:$421,1+$AH93-380,AT$14)</f>
        <v>0.894845877514628</v>
      </c>
      <c r="AU93" s="236">
        <f ca="1">INDEX(Photobiology!$21:$421,1+$AH93-380,AU$14)</f>
        <v>0.257218280288394</v>
      </c>
      <c r="AV93" s="236">
        <f ca="1">INDEX(Photobiology!$21:$421,1+$AH93-380,AV$14)</f>
        <v>0.145691972801135</v>
      </c>
      <c r="AW93" s="236">
        <f ca="1">INDEX(Photobiology!$21:$421,1+$AH93-380,AW$14)</f>
        <v>0.520281372777526</v>
      </c>
      <c r="AX93" s="236">
        <f ca="1">INDEX(Photobiology!$21:$421,1+$AH93-380,AX$14)</f>
        <v>0.631186245544136</v>
      </c>
      <c r="AY93" s="236">
        <f ca="1" t="shared" si="39"/>
        <v>13.3319879209511</v>
      </c>
      <c r="AZ93" s="236">
        <f ca="1" t="shared" si="53"/>
        <v>12.2554400964144</v>
      </c>
      <c r="BA93" s="236">
        <f ca="1" t="shared" si="40"/>
        <v>2.85436765568794</v>
      </c>
      <c r="BB93" s="236">
        <f ca="1" t="shared" si="41"/>
        <v>1.5422185107244</v>
      </c>
      <c r="BC93" s="236">
        <f ca="1" t="shared" si="42"/>
        <v>6.15074768046277</v>
      </c>
      <c r="BD93" s="236">
        <f ca="1" t="shared" si="43"/>
        <v>7.78179725309835</v>
      </c>
    </row>
    <row r="94" s="234" customFormat="1" ht="0.2" customHeight="1" spans="7:56">
      <c r="G94" s="236"/>
      <c r="H94" s="236">
        <f t="shared" si="44"/>
        <v>453</v>
      </c>
      <c r="I94" s="236">
        <f>IF($H94&gt;$H93,INDEX(Spectra!94:94,1,MATCH($I$20,Spectra!$20:$20,0)),I93)</f>
        <v>13.4511634257087</v>
      </c>
      <c r="J94" s="236">
        <f>((Physics!$C$9*Physics!$C$10)/(Physics!$C$11*Physics!$C$12*$H94))^($J$17-$J$18)</f>
        <v>2.28109333244227e+18</v>
      </c>
      <c r="K94" s="236">
        <f t="shared" si="45"/>
        <v>1</v>
      </c>
      <c r="L94" s="236">
        <f ca="1">INDEX(Photobiology!$21:$421,1+$H94-380,10)</f>
        <v>0.043766</v>
      </c>
      <c r="M94" s="236">
        <f ca="1" t="shared" si="46"/>
        <v>13.4511634257087</v>
      </c>
      <c r="N94" s="236">
        <f ca="1">INDEX(Photobiology!$21:$421,1+$H94-380,N$14)</f>
        <v>0.903025470328006</v>
      </c>
      <c r="O94" s="236">
        <f ca="1">INDEX(Photobiology!$21:$421,1+$H94-380,O$14)</f>
        <v>0.221412940670253</v>
      </c>
      <c r="P94" s="236">
        <f ca="1">INDEX(Photobiology!$21:$421,1+$H94-380,P$14)</f>
        <v>0.118870201803619</v>
      </c>
      <c r="Q94" s="236">
        <f ca="1">INDEX(Photobiology!$21:$421,1+$H94-380,Q$14)</f>
        <v>0.473626506850211</v>
      </c>
      <c r="R94" s="236">
        <f ca="1">INDEX(Photobiology!$21:$421,1+$H94-380,R$14)</f>
        <v>0.598892673204931</v>
      </c>
      <c r="S94" s="236">
        <f ca="1" t="shared" si="47"/>
        <v>3.06833592039754e+19</v>
      </c>
      <c r="T94" s="236">
        <f ca="1">INDEX(Photobiology!$21:$421,1+$H94-380,T$14)</f>
        <v>0.877110832106673</v>
      </c>
      <c r="U94" s="236">
        <f ca="1">INDEX(Photobiology!$21:$421,1+$H94-380,U$14)</f>
        <v>0.265417811018796</v>
      </c>
      <c r="V94" s="236">
        <f ca="1">INDEX(Photobiology!$21:$421,1+$H94-380,V$14)</f>
        <v>0.149381858007769</v>
      </c>
      <c r="W94" s="236">
        <f ca="1">INDEX(Photobiology!$21:$421,1+$H94-380,W$14)</f>
        <v>0.532943917880092</v>
      </c>
      <c r="X94" s="236">
        <f ca="1">INDEX(Photobiology!$21:$421,1+$H94-380,X$14)</f>
        <v>0.64619227102133</v>
      </c>
      <c r="Y94" s="236">
        <f ca="1" t="shared" si="34"/>
        <v>13.4511634257087</v>
      </c>
      <c r="Z94" s="236">
        <f ca="1" t="shared" si="48"/>
        <v>12.1467431789595</v>
      </c>
      <c r="AA94" s="236">
        <f ca="1" t="shared" si="35"/>
        <v>2.97826164952232</v>
      </c>
      <c r="AB94" s="236">
        <f ca="1" t="shared" si="36"/>
        <v>1.59894251090745</v>
      </c>
      <c r="AC94" s="236">
        <f ca="1" t="shared" si="37"/>
        <v>6.37082754638973</v>
      </c>
      <c r="AD94" s="236">
        <f ca="1" t="shared" si="38"/>
        <v>8.05580322173908</v>
      </c>
      <c r="AE94" s="236"/>
      <c r="AF94" s="236"/>
      <c r="AG94" s="236"/>
      <c r="AH94" s="236">
        <f t="shared" si="49"/>
        <v>453</v>
      </c>
      <c r="AI94" s="236">
        <f>IF($AH94&gt;$AH93,INDEX(Spectra!94:94,1,MATCH($AI$20,Spectra!$20:$20,0)),AI93)</f>
        <v>1</v>
      </c>
      <c r="AJ94" s="236">
        <f>((Physics!$C$9*Physics!$C$10)/(Physics!$C$11*Physics!$C$12*$AH94))^($AJ$17-$AJ$18)</f>
        <v>2.28109333244227e+18</v>
      </c>
      <c r="AK94" s="236">
        <f t="shared" si="50"/>
        <v>1</v>
      </c>
      <c r="AL94" s="236">
        <f ca="1">INDEX(Photobiology!$21:$421,1+$AH94-380,10)</f>
        <v>0.043766</v>
      </c>
      <c r="AM94" s="236">
        <f ca="1" t="shared" si="51"/>
        <v>13.3319879209511</v>
      </c>
      <c r="AN94" s="236">
        <f ca="1">INDEX(Photobiology!$21:$421,1+$AH94-380,AN$14)</f>
        <v>0.903025470328006</v>
      </c>
      <c r="AO94" s="236">
        <f ca="1">INDEX(Photobiology!$21:$421,1+$AH94-380,AO$14)</f>
        <v>0.221412940670253</v>
      </c>
      <c r="AP94" s="236">
        <f ca="1">INDEX(Photobiology!$21:$421,1+$AH94-380,AP$14)</f>
        <v>0.118870201803619</v>
      </c>
      <c r="AQ94" s="236">
        <f ca="1">INDEX(Photobiology!$21:$421,1+$AH94-380,AQ$14)</f>
        <v>0.473626506850211</v>
      </c>
      <c r="AR94" s="236">
        <f ca="1">INDEX(Photobiology!$21:$421,1+$AH94-380,AR$14)</f>
        <v>0.598892673204931</v>
      </c>
      <c r="AS94" s="236">
        <f ca="1" t="shared" si="52"/>
        <v>3.04115087546826e+19</v>
      </c>
      <c r="AT94" s="236">
        <f ca="1">INDEX(Photobiology!$21:$421,1+$AH94-380,AT$14)</f>
        <v>0.877110832106673</v>
      </c>
      <c r="AU94" s="236">
        <f ca="1">INDEX(Photobiology!$21:$421,1+$AH94-380,AU$14)</f>
        <v>0.265417811018796</v>
      </c>
      <c r="AV94" s="236">
        <f ca="1">INDEX(Photobiology!$21:$421,1+$AH94-380,AV$14)</f>
        <v>0.149381858007769</v>
      </c>
      <c r="AW94" s="236">
        <f ca="1">INDEX(Photobiology!$21:$421,1+$AH94-380,AW$14)</f>
        <v>0.532943917880092</v>
      </c>
      <c r="AX94" s="236">
        <f ca="1">INDEX(Photobiology!$21:$421,1+$AH94-380,AX$14)</f>
        <v>0.64619227102133</v>
      </c>
      <c r="AY94" s="236">
        <f ca="1" t="shared" si="39"/>
        <v>13.3319879209511</v>
      </c>
      <c r="AZ94" s="236">
        <f ca="1" t="shared" si="53"/>
        <v>12.0391246627242</v>
      </c>
      <c r="BA94" s="236">
        <f ca="1" t="shared" si="40"/>
        <v>2.95187465055808</v>
      </c>
      <c r="BB94" s="236">
        <f ca="1" t="shared" si="41"/>
        <v>1.58477609460687</v>
      </c>
      <c r="BC94" s="236">
        <f ca="1" t="shared" si="42"/>
        <v>6.3143828683693</v>
      </c>
      <c r="BD94" s="236">
        <f ca="1" t="shared" si="43"/>
        <v>7.98442988511428</v>
      </c>
    </row>
    <row r="95" s="234" customFormat="1" ht="0.2" customHeight="1" spans="7:56">
      <c r="G95" s="236"/>
      <c r="H95" s="236">
        <f t="shared" si="44"/>
        <v>454</v>
      </c>
      <c r="I95" s="236">
        <f>IF($H95&gt;$H94,INDEX(Spectra!95:95,1,MATCH($I$20,Spectra!$20:$20,0)),I94)</f>
        <v>13.9637524291881</v>
      </c>
      <c r="J95" s="236">
        <f>((Physics!$C$9*Physics!$C$10)/(Physics!$C$11*Physics!$C$12*$H95))^($J$17-$J$18)</f>
        <v>2.28612885856246e+18</v>
      </c>
      <c r="K95" s="236">
        <f t="shared" si="45"/>
        <v>1</v>
      </c>
      <c r="L95" s="236">
        <f ca="1">INDEX(Photobiology!$21:$421,1+$H95-380,10)</f>
        <v>0.04584267</v>
      </c>
      <c r="M95" s="236">
        <f ca="1" t="shared" si="46"/>
        <v>13.9637524291881</v>
      </c>
      <c r="N95" s="236">
        <f ca="1">INDEX(Photobiology!$21:$421,1+$H95-380,N$14)</f>
        <v>0.885827176549894</v>
      </c>
      <c r="O95" s="236">
        <f ca="1">INDEX(Photobiology!$21:$421,1+$H95-380,O$14)</f>
        <v>0.22897127370068</v>
      </c>
      <c r="P95" s="236">
        <f ca="1">INDEX(Photobiology!$21:$421,1+$H95-380,P$14)</f>
        <v>0.12223286746227</v>
      </c>
      <c r="Q95" s="236">
        <f ca="1">INDEX(Photobiology!$21:$421,1+$H95-380,Q$14)</f>
        <v>0.486051177967103</v>
      </c>
      <c r="R95" s="236">
        <f ca="1">INDEX(Photobiology!$21:$421,1+$H95-380,R$14)</f>
        <v>0.614217236942218</v>
      </c>
      <c r="S95" s="236">
        <f ca="1" t="shared" si="47"/>
        <v>3.19229374021886e+19</v>
      </c>
      <c r="T95" s="236">
        <f ca="1">INDEX(Photobiology!$21:$421,1+$H95-380,T$14)</f>
        <v>0.858510920004303</v>
      </c>
      <c r="U95" s="236">
        <f ca="1">INDEX(Photobiology!$21:$421,1+$H95-380,U$14)</f>
        <v>0.273873752434153</v>
      </c>
      <c r="V95" s="236">
        <f ca="1">INDEX(Photobiology!$21:$421,1+$H95-380,V$14)</f>
        <v>0.153269311330845</v>
      </c>
      <c r="W95" s="236">
        <f ca="1">INDEX(Photobiology!$21:$421,1+$H95-380,W$14)</f>
        <v>0.545719986136267</v>
      </c>
      <c r="X95" s="236">
        <f ca="1">INDEX(Photobiology!$21:$421,1+$H95-380,X$14)</f>
        <v>0.661267393188795</v>
      </c>
      <c r="Y95" s="236">
        <f ca="1" t="shared" si="34"/>
        <v>13.9637524291881</v>
      </c>
      <c r="Z95" s="236">
        <f ca="1" t="shared" si="48"/>
        <v>12.3694713883894</v>
      </c>
      <c r="AA95" s="236">
        <f ca="1" t="shared" si="35"/>
        <v>3.19729817935216</v>
      </c>
      <c r="AB95" s="236">
        <f ca="1" t="shared" si="36"/>
        <v>1.7068294999529</v>
      </c>
      <c r="AC95" s="236">
        <f ca="1" t="shared" si="37"/>
        <v>6.78709831704787</v>
      </c>
      <c r="AD95" s="236">
        <f ca="1" t="shared" si="38"/>
        <v>8.5767774344011</v>
      </c>
      <c r="AE95" s="236"/>
      <c r="AF95" s="236"/>
      <c r="AG95" s="236"/>
      <c r="AH95" s="236">
        <f t="shared" si="49"/>
        <v>454</v>
      </c>
      <c r="AI95" s="236">
        <f>IF($AH95&gt;$AH94,INDEX(Spectra!95:95,1,MATCH($AI$20,Spectra!$20:$20,0)),AI94)</f>
        <v>1</v>
      </c>
      <c r="AJ95" s="236">
        <f>((Physics!$C$9*Physics!$C$10)/(Physics!$C$11*Physics!$C$12*$AH95))^($AJ$17-$AJ$18)</f>
        <v>2.28612885856246e+18</v>
      </c>
      <c r="AK95" s="236">
        <f t="shared" si="50"/>
        <v>1</v>
      </c>
      <c r="AL95" s="236">
        <f ca="1">INDEX(Photobiology!$21:$421,1+$AH95-380,10)</f>
        <v>0.04584267</v>
      </c>
      <c r="AM95" s="236">
        <f ca="1" t="shared" si="51"/>
        <v>13.3319879209511</v>
      </c>
      <c r="AN95" s="236">
        <f ca="1">INDEX(Photobiology!$21:$421,1+$AH95-380,AN$14)</f>
        <v>0.885827176549894</v>
      </c>
      <c r="AO95" s="236">
        <f ca="1">INDEX(Photobiology!$21:$421,1+$AH95-380,AO$14)</f>
        <v>0.22897127370068</v>
      </c>
      <c r="AP95" s="236">
        <f ca="1">INDEX(Photobiology!$21:$421,1+$AH95-380,AP$14)</f>
        <v>0.12223286746227</v>
      </c>
      <c r="AQ95" s="236">
        <f ca="1">INDEX(Photobiology!$21:$421,1+$AH95-380,AQ$14)</f>
        <v>0.486051177967103</v>
      </c>
      <c r="AR95" s="236">
        <f ca="1">INDEX(Photobiology!$21:$421,1+$AH95-380,AR$14)</f>
        <v>0.614217236942218</v>
      </c>
      <c r="AS95" s="236">
        <f ca="1" t="shared" si="52"/>
        <v>3.04786423280925e+19</v>
      </c>
      <c r="AT95" s="236">
        <f ca="1">INDEX(Photobiology!$21:$421,1+$AH95-380,AT$14)</f>
        <v>0.858510920004303</v>
      </c>
      <c r="AU95" s="236">
        <f ca="1">INDEX(Photobiology!$21:$421,1+$AH95-380,AU$14)</f>
        <v>0.273873752434153</v>
      </c>
      <c r="AV95" s="236">
        <f ca="1">INDEX(Photobiology!$21:$421,1+$AH95-380,AV$14)</f>
        <v>0.153269311330845</v>
      </c>
      <c r="AW95" s="236">
        <f ca="1">INDEX(Photobiology!$21:$421,1+$AH95-380,AW$14)</f>
        <v>0.545719986136267</v>
      </c>
      <c r="AX95" s="236">
        <f ca="1">INDEX(Photobiology!$21:$421,1+$AH95-380,AX$14)</f>
        <v>0.661267393188795</v>
      </c>
      <c r="AY95" s="236">
        <f ca="1" t="shared" si="39"/>
        <v>13.3319879209511</v>
      </c>
      <c r="AZ95" s="236">
        <f ca="1" t="shared" si="53"/>
        <v>11.8098372178134</v>
      </c>
      <c r="BA95" s="236">
        <f ca="1" t="shared" si="40"/>
        <v>3.05264225522226</v>
      </c>
      <c r="BB95" s="236">
        <f ca="1" t="shared" si="41"/>
        <v>1.62960711255021</v>
      </c>
      <c r="BC95" s="236">
        <f ca="1" t="shared" si="42"/>
        <v>6.48002843362149</v>
      </c>
      <c r="BD95" s="236">
        <f ca="1" t="shared" si="43"/>
        <v>8.18873678375363</v>
      </c>
    </row>
    <row r="96" s="234" customFormat="1" ht="0.2" customHeight="1" spans="7:56">
      <c r="G96" s="236"/>
      <c r="H96" s="236">
        <f t="shared" si="44"/>
        <v>455</v>
      </c>
      <c r="I96" s="236">
        <f>IF($H96&gt;$H95,INDEX(Spectra!96:96,1,MATCH($I$20,Spectra!$20:$20,0)),I95)</f>
        <v>14.2021715314643</v>
      </c>
      <c r="J96" s="236">
        <f>((Physics!$C$9*Physics!$C$10)/(Physics!$C$11*Physics!$C$12*$H96))^($J$17-$J$18)</f>
        <v>2.29116438468264e+18</v>
      </c>
      <c r="K96" s="236">
        <f t="shared" si="45"/>
        <v>1</v>
      </c>
      <c r="L96" s="236">
        <f ca="1">INDEX(Photobiology!$21:$421,1+$H96-380,10)</f>
        <v>0.048</v>
      </c>
      <c r="M96" s="236">
        <f ca="1" t="shared" si="46"/>
        <v>14.2021715314643</v>
      </c>
      <c r="N96" s="236">
        <f ca="1">INDEX(Photobiology!$21:$421,1+$H96-380,N$14)</f>
        <v>0.867686818700929</v>
      </c>
      <c r="O96" s="236">
        <f ca="1">INDEX(Photobiology!$21:$421,1+$H96-380,O$14)</f>
        <v>0.236775629545793</v>
      </c>
      <c r="P96" s="236">
        <f ca="1">INDEX(Photobiology!$21:$421,1+$H96-380,P$14)</f>
        <v>0.125771430347526</v>
      </c>
      <c r="Q96" s="236">
        <f ca="1">INDEX(Photobiology!$21:$421,1+$H96-380,Q$14)</f>
        <v>0.498622647129384</v>
      </c>
      <c r="R96" s="236">
        <f ca="1">INDEX(Photobiology!$21:$421,1+$H96-380,R$14)</f>
        <v>0.629654048359</v>
      </c>
      <c r="S96" s="236">
        <f ca="1" t="shared" si="47"/>
        <v>3.25395095980447e+19</v>
      </c>
      <c r="T96" s="236">
        <f ca="1">INDEX(Photobiology!$21:$421,1+$H96-380,T$14)</f>
        <v>0.839081758743756</v>
      </c>
      <c r="U96" s="236">
        <f ca="1">INDEX(Photobiology!$21:$421,1+$H96-380,U$14)</f>
        <v>0.282586147321642</v>
      </c>
      <c r="V96" s="236">
        <f ca="1">INDEX(Photobiology!$21:$421,1+$H96-380,V$14)</f>
        <v>0.157359751918447</v>
      </c>
      <c r="W96" s="236">
        <f ca="1">INDEX(Photobiology!$21:$421,1+$H96-380,W$14)</f>
        <v>0.558604352935847</v>
      </c>
      <c r="X96" s="236">
        <f ca="1">INDEX(Photobiology!$21:$421,1+$H96-380,X$14)</f>
        <v>0.676396831542943</v>
      </c>
      <c r="Y96" s="236">
        <f ca="1" t="shared" si="34"/>
        <v>14.2021715314643</v>
      </c>
      <c r="Z96" s="236">
        <f ca="1" t="shared" si="48"/>
        <v>12.3230370347812</v>
      </c>
      <c r="AA96" s="236">
        <f ca="1" t="shared" si="35"/>
        <v>3.3627281052798</v>
      </c>
      <c r="AB96" s="236">
        <f ca="1" t="shared" si="36"/>
        <v>1.78622742755318</v>
      </c>
      <c r="AC96" s="236">
        <f ca="1" t="shared" si="37"/>
        <v>7.08152436400431</v>
      </c>
      <c r="AD96" s="236">
        <f ca="1" t="shared" si="38"/>
        <v>8.94245480027543</v>
      </c>
      <c r="AE96" s="236"/>
      <c r="AF96" s="236"/>
      <c r="AG96" s="236"/>
      <c r="AH96" s="236">
        <f t="shared" si="49"/>
        <v>455</v>
      </c>
      <c r="AI96" s="236">
        <f>IF($AH96&gt;$AH95,INDEX(Spectra!96:96,1,MATCH($AI$20,Spectra!$20:$20,0)),AI95)</f>
        <v>1</v>
      </c>
      <c r="AJ96" s="236">
        <f>((Physics!$C$9*Physics!$C$10)/(Physics!$C$11*Physics!$C$12*$AH96))^($AJ$17-$AJ$18)</f>
        <v>2.29116438468264e+18</v>
      </c>
      <c r="AK96" s="236">
        <f t="shared" si="50"/>
        <v>1</v>
      </c>
      <c r="AL96" s="236">
        <f ca="1">INDEX(Photobiology!$21:$421,1+$AH96-380,10)</f>
        <v>0.048</v>
      </c>
      <c r="AM96" s="236">
        <f ca="1" t="shared" si="51"/>
        <v>13.3319879209511</v>
      </c>
      <c r="AN96" s="236">
        <f ca="1">INDEX(Photobiology!$21:$421,1+$AH96-380,AN$14)</f>
        <v>0.867686818700929</v>
      </c>
      <c r="AO96" s="236">
        <f ca="1">INDEX(Photobiology!$21:$421,1+$AH96-380,AO$14)</f>
        <v>0.236775629545793</v>
      </c>
      <c r="AP96" s="236">
        <f ca="1">INDEX(Photobiology!$21:$421,1+$AH96-380,AP$14)</f>
        <v>0.125771430347526</v>
      </c>
      <c r="AQ96" s="236">
        <f ca="1">INDEX(Photobiology!$21:$421,1+$AH96-380,AQ$14)</f>
        <v>0.498622647129384</v>
      </c>
      <c r="AR96" s="236">
        <f ca="1">INDEX(Photobiology!$21:$421,1+$AH96-380,AR$14)</f>
        <v>0.629654048359</v>
      </c>
      <c r="AS96" s="236">
        <f ca="1" t="shared" si="52"/>
        <v>3.05457759015024e+19</v>
      </c>
      <c r="AT96" s="236">
        <f ca="1">INDEX(Photobiology!$21:$421,1+$AH96-380,AT$14)</f>
        <v>0.839081758743756</v>
      </c>
      <c r="AU96" s="236">
        <f ca="1">INDEX(Photobiology!$21:$421,1+$AH96-380,AU$14)</f>
        <v>0.282586147321642</v>
      </c>
      <c r="AV96" s="236">
        <f ca="1">INDEX(Photobiology!$21:$421,1+$AH96-380,AV$14)</f>
        <v>0.157359751918447</v>
      </c>
      <c r="AW96" s="236">
        <f ca="1">INDEX(Photobiology!$21:$421,1+$AH96-380,AW$14)</f>
        <v>0.558604352935847</v>
      </c>
      <c r="AX96" s="236">
        <f ca="1">INDEX(Photobiology!$21:$421,1+$AH96-380,AX$14)</f>
        <v>0.676396831542943</v>
      </c>
      <c r="AY96" s="236">
        <f ca="1" t="shared" si="39"/>
        <v>13.3319879209511</v>
      </c>
      <c r="AZ96" s="236">
        <f ca="1" t="shared" si="53"/>
        <v>11.5679901860893</v>
      </c>
      <c r="BA96" s="236">
        <f ca="1" t="shared" si="40"/>
        <v>3.15668983308011</v>
      </c>
      <c r="BB96" s="236">
        <f ca="1" t="shared" si="41"/>
        <v>1.67678319019396</v>
      </c>
      <c r="BC96" s="236">
        <f ca="1" t="shared" si="42"/>
        <v>6.64763110864163</v>
      </c>
      <c r="BD96" s="236">
        <f ca="1" t="shared" si="43"/>
        <v>8.39454016710017</v>
      </c>
    </row>
    <row r="97" s="234" customFormat="1" ht="0.2" customHeight="1" spans="7:56">
      <c r="G97" s="236"/>
      <c r="H97" s="236">
        <f t="shared" si="44"/>
        <v>456</v>
      </c>
      <c r="I97" s="236">
        <f>IF($H97&gt;$H96,INDEX(Spectra!97:97,1,MATCH($I$20,Spectra!$20:$20,0)),I96)</f>
        <v>14.1852743045172</v>
      </c>
      <c r="J97" s="236">
        <f>((Physics!$C$9*Physics!$C$10)/(Physics!$C$11*Physics!$C$12*$H97))^($J$17-$J$18)</f>
        <v>2.29619991080282e+18</v>
      </c>
      <c r="K97" s="236">
        <f t="shared" si="45"/>
        <v>1</v>
      </c>
      <c r="L97" s="236">
        <f ca="1">INDEX(Photobiology!$21:$421,1+$H97-380,10)</f>
        <v>0.05024368</v>
      </c>
      <c r="M97" s="236">
        <f ca="1" t="shared" si="46"/>
        <v>14.1852743045172</v>
      </c>
      <c r="N97" s="236">
        <f ca="1">INDEX(Photobiology!$21:$421,1+$H97-380,N$14)</f>
        <v>0.84864098083874</v>
      </c>
      <c r="O97" s="236">
        <f ca="1">INDEX(Photobiology!$21:$421,1+$H97-380,O$14)</f>
        <v>0.244827952173467</v>
      </c>
      <c r="P97" s="236">
        <f ca="1">INDEX(Photobiology!$21:$421,1+$H97-380,P$14)</f>
        <v>0.129491123815566</v>
      </c>
      <c r="Q97" s="236">
        <f ca="1">INDEX(Photobiology!$21:$421,1+$H97-380,Q$14)</f>
        <v>0.511335564615057</v>
      </c>
      <c r="R97" s="236">
        <f ca="1">INDEX(Photobiology!$21:$421,1+$H97-380,R$14)</f>
        <v>0.645190553381873</v>
      </c>
      <c r="S97" s="236">
        <f ca="1" t="shared" si="47"/>
        <v>3.25722255927459e+19</v>
      </c>
      <c r="T97" s="236">
        <f ca="1">INDEX(Photobiology!$21:$421,1+$H97-380,T$14)</f>
        <v>0.818864104318082</v>
      </c>
      <c r="U97" s="236">
        <f ca="1">INDEX(Photobiology!$21:$421,1+$H97-380,U$14)</f>
        <v>0.29155562347943</v>
      </c>
      <c r="V97" s="236">
        <f ca="1">INDEX(Photobiology!$21:$421,1+$H97-380,V$14)</f>
        <v>0.161658377716935</v>
      </c>
      <c r="W97" s="236">
        <f ca="1">INDEX(Photobiology!$21:$421,1+$H97-380,W$14)</f>
        <v>0.571590325665869</v>
      </c>
      <c r="X97" s="236">
        <f ca="1">INDEX(Photobiology!$21:$421,1+$H97-380,X$14)</f>
        <v>0.691566772281761</v>
      </c>
      <c r="Y97" s="236">
        <f ca="1" t="shared" si="34"/>
        <v>14.1852743045172</v>
      </c>
      <c r="Z97" s="236">
        <f ca="1" t="shared" si="48"/>
        <v>12.0382050992521</v>
      </c>
      <c r="AA97" s="236">
        <f ca="1" t="shared" si="35"/>
        <v>3.47295165899385</v>
      </c>
      <c r="AB97" s="236">
        <f ca="1" t="shared" si="36"/>
        <v>1.836867111324</v>
      </c>
      <c r="AC97" s="236">
        <f ca="1" t="shared" si="37"/>
        <v>7.25343524571976</v>
      </c>
      <c r="AD97" s="236">
        <f ca="1" t="shared" si="38"/>
        <v>9.15220497840512</v>
      </c>
      <c r="AE97" s="236"/>
      <c r="AF97" s="236"/>
      <c r="AG97" s="236"/>
      <c r="AH97" s="236">
        <f t="shared" si="49"/>
        <v>456</v>
      </c>
      <c r="AI97" s="236">
        <f>IF($AH97&gt;$AH96,INDEX(Spectra!97:97,1,MATCH($AI$20,Spectra!$20:$20,0)),AI96)</f>
        <v>1</v>
      </c>
      <c r="AJ97" s="236">
        <f>((Physics!$C$9*Physics!$C$10)/(Physics!$C$11*Physics!$C$12*$AH97))^($AJ$17-$AJ$18)</f>
        <v>2.29619991080282e+18</v>
      </c>
      <c r="AK97" s="236">
        <f t="shared" si="50"/>
        <v>1</v>
      </c>
      <c r="AL97" s="236">
        <f ca="1">INDEX(Photobiology!$21:$421,1+$AH97-380,10)</f>
        <v>0.05024368</v>
      </c>
      <c r="AM97" s="236">
        <f ca="1" t="shared" si="51"/>
        <v>13.3319879209511</v>
      </c>
      <c r="AN97" s="236">
        <f ca="1">INDEX(Photobiology!$21:$421,1+$AH97-380,AN$14)</f>
        <v>0.84864098083874</v>
      </c>
      <c r="AO97" s="236">
        <f ca="1">INDEX(Photobiology!$21:$421,1+$AH97-380,AO$14)</f>
        <v>0.244827952173467</v>
      </c>
      <c r="AP97" s="236">
        <f ca="1">INDEX(Photobiology!$21:$421,1+$AH97-380,AP$14)</f>
        <v>0.129491123815566</v>
      </c>
      <c r="AQ97" s="236">
        <f ca="1">INDEX(Photobiology!$21:$421,1+$AH97-380,AQ$14)</f>
        <v>0.511335564615057</v>
      </c>
      <c r="AR97" s="236">
        <f ca="1">INDEX(Photobiology!$21:$421,1+$AH97-380,AR$14)</f>
        <v>0.645190553381873</v>
      </c>
      <c r="AS97" s="236">
        <f ca="1" t="shared" si="52"/>
        <v>3.06129094749123e+19</v>
      </c>
      <c r="AT97" s="236">
        <f ca="1">INDEX(Photobiology!$21:$421,1+$AH97-380,AT$14)</f>
        <v>0.818864104318082</v>
      </c>
      <c r="AU97" s="236">
        <f ca="1">INDEX(Photobiology!$21:$421,1+$AH97-380,AU$14)</f>
        <v>0.29155562347943</v>
      </c>
      <c r="AV97" s="236">
        <f ca="1">INDEX(Photobiology!$21:$421,1+$AH97-380,AV$14)</f>
        <v>0.161658377716935</v>
      </c>
      <c r="AW97" s="236">
        <f ca="1">INDEX(Photobiology!$21:$421,1+$AH97-380,AW$14)</f>
        <v>0.571590325665869</v>
      </c>
      <c r="AX97" s="236">
        <f ca="1">INDEX(Photobiology!$21:$421,1+$AH97-380,AX$14)</f>
        <v>0.691566772281761</v>
      </c>
      <c r="AY97" s="236">
        <f ca="1" t="shared" si="39"/>
        <v>13.3319879209511</v>
      </c>
      <c r="AZ97" s="236">
        <f ca="1" t="shared" si="53"/>
        <v>11.3140713057662</v>
      </c>
      <c r="BA97" s="236">
        <f ca="1" t="shared" si="40"/>
        <v>3.26404330108787</v>
      </c>
      <c r="BB97" s="236">
        <f ca="1" t="shared" si="41"/>
        <v>1.72637409857951</v>
      </c>
      <c r="BC97" s="236">
        <f ca="1" t="shared" si="42"/>
        <v>6.81711957100067</v>
      </c>
      <c r="BD97" s="236">
        <f ca="1" t="shared" si="43"/>
        <v>8.60167266439891</v>
      </c>
    </row>
    <row r="98" s="234" customFormat="1" ht="0.2" customHeight="1" spans="7:56">
      <c r="G98" s="236"/>
      <c r="H98" s="236">
        <f t="shared" si="44"/>
        <v>457</v>
      </c>
      <c r="I98" s="236">
        <f>IF($H98&gt;$H97,INDEX(Spectra!98:98,1,MATCH($I$20,Spectra!$20:$20,0)),I97)</f>
        <v>13.8368643040203</v>
      </c>
      <c r="J98" s="236">
        <f>((Physics!$C$9*Physics!$C$10)/(Physics!$C$11*Physics!$C$12*$H98))^($J$17-$J$18)</f>
        <v>2.301235436923e+18</v>
      </c>
      <c r="K98" s="236">
        <f t="shared" si="45"/>
        <v>1</v>
      </c>
      <c r="L98" s="236">
        <f ca="1">INDEX(Photobiology!$21:$421,1+$H98-380,10)</f>
        <v>0.05257304</v>
      </c>
      <c r="M98" s="236">
        <f ca="1" t="shared" si="46"/>
        <v>13.8368643040203</v>
      </c>
      <c r="N98" s="236">
        <f ca="1">INDEX(Photobiology!$21:$421,1+$H98-380,N$14)</f>
        <v>0.828735609092726</v>
      </c>
      <c r="O98" s="236">
        <f ca="1">INDEX(Photobiology!$21:$421,1+$H98-380,O$14)</f>
        <v>0.253128473435608</v>
      </c>
      <c r="P98" s="236">
        <f ca="1">INDEX(Photobiology!$21:$421,1+$H98-380,P$14)</f>
        <v>0.133396980732525</v>
      </c>
      <c r="Q98" s="236">
        <f ca="1">INDEX(Photobiology!$21:$421,1+$H98-380,Q$14)</f>
        <v>0.524184288989847</v>
      </c>
      <c r="R98" s="236">
        <f ca="1">INDEX(Photobiology!$21:$421,1+$H98-380,R$14)</f>
        <v>0.66081212028913</v>
      </c>
      <c r="S98" s="236">
        <f ca="1" t="shared" si="47"/>
        <v>3.18418824723064e+19</v>
      </c>
      <c r="T98" s="236">
        <f ca="1">INDEX(Photobiology!$21:$421,1+$H98-380,T$14)</f>
        <v>0.797907369804813</v>
      </c>
      <c r="U98" s="236">
        <f ca="1">INDEX(Photobiology!$21:$421,1+$H98-380,U$14)</f>
        <v>0.300780768783115</v>
      </c>
      <c r="V98" s="236">
        <f ca="1">INDEX(Photobiology!$21:$421,1+$H98-380,V$14)</f>
        <v>0.166170091429776</v>
      </c>
      <c r="W98" s="236">
        <f ca="1">INDEX(Photobiology!$21:$421,1+$H98-380,W$14)</f>
        <v>0.584670944918508</v>
      </c>
      <c r="X98" s="236">
        <f ca="1">INDEX(Photobiology!$21:$421,1+$H98-380,X$14)</f>
        <v>0.706761300395434</v>
      </c>
      <c r="Y98" s="236">
        <f ca="1" t="shared" si="34"/>
        <v>13.8368643040203</v>
      </c>
      <c r="Z98" s="236">
        <f ca="1" t="shared" si="48"/>
        <v>11.4671021669257</v>
      </c>
      <c r="AA98" s="236">
        <f ca="1" t="shared" si="35"/>
        <v>3.50250433841232</v>
      </c>
      <c r="AB98" s="236">
        <f ca="1" t="shared" si="36"/>
        <v>1.84579592096196</v>
      </c>
      <c r="AC98" s="236">
        <f ca="1" t="shared" si="37"/>
        <v>7.25306687705188</v>
      </c>
      <c r="AD98" s="236">
        <f ca="1" t="shared" si="38"/>
        <v>9.14356763889263</v>
      </c>
      <c r="AE98" s="236"/>
      <c r="AF98" s="236"/>
      <c r="AG98" s="236"/>
      <c r="AH98" s="236">
        <f t="shared" si="49"/>
        <v>457</v>
      </c>
      <c r="AI98" s="236">
        <f>IF($AH98&gt;$AH97,INDEX(Spectra!98:98,1,MATCH($AI$20,Spectra!$20:$20,0)),AI97)</f>
        <v>1</v>
      </c>
      <c r="AJ98" s="236">
        <f>((Physics!$C$9*Physics!$C$10)/(Physics!$C$11*Physics!$C$12*$AH98))^($AJ$17-$AJ$18)</f>
        <v>2.301235436923e+18</v>
      </c>
      <c r="AK98" s="236">
        <f t="shared" si="50"/>
        <v>1</v>
      </c>
      <c r="AL98" s="236">
        <f ca="1">INDEX(Photobiology!$21:$421,1+$AH98-380,10)</f>
        <v>0.05257304</v>
      </c>
      <c r="AM98" s="236">
        <f ca="1" t="shared" si="51"/>
        <v>13.3319879209511</v>
      </c>
      <c r="AN98" s="236">
        <f ca="1">INDEX(Photobiology!$21:$421,1+$AH98-380,AN$14)</f>
        <v>0.828735609092726</v>
      </c>
      <c r="AO98" s="236">
        <f ca="1">INDEX(Photobiology!$21:$421,1+$AH98-380,AO$14)</f>
        <v>0.253128473435608</v>
      </c>
      <c r="AP98" s="236">
        <f ca="1">INDEX(Photobiology!$21:$421,1+$AH98-380,AP$14)</f>
        <v>0.133396980732525</v>
      </c>
      <c r="AQ98" s="236">
        <f ca="1">INDEX(Photobiology!$21:$421,1+$AH98-380,AQ$14)</f>
        <v>0.524184288989847</v>
      </c>
      <c r="AR98" s="236">
        <f ca="1">INDEX(Photobiology!$21:$421,1+$AH98-380,AR$14)</f>
        <v>0.66081212028913</v>
      </c>
      <c r="AS98" s="236">
        <f ca="1" t="shared" si="52"/>
        <v>3.06800430483222e+19</v>
      </c>
      <c r="AT98" s="236">
        <f ca="1">INDEX(Photobiology!$21:$421,1+$AH98-380,AT$14)</f>
        <v>0.797907369804813</v>
      </c>
      <c r="AU98" s="236">
        <f ca="1">INDEX(Photobiology!$21:$421,1+$AH98-380,AU$14)</f>
        <v>0.300780768783115</v>
      </c>
      <c r="AV98" s="236">
        <f ca="1">INDEX(Photobiology!$21:$421,1+$AH98-380,AV$14)</f>
        <v>0.166170091429776</v>
      </c>
      <c r="AW98" s="236">
        <f ca="1">INDEX(Photobiology!$21:$421,1+$AH98-380,AW$14)</f>
        <v>0.584670944918508</v>
      </c>
      <c r="AX98" s="236">
        <f ca="1">INDEX(Photobiology!$21:$421,1+$AH98-380,AX$14)</f>
        <v>0.706761300395434</v>
      </c>
      <c r="AY98" s="236">
        <f ca="1" t="shared" si="39"/>
        <v>13.3319879209511</v>
      </c>
      <c r="AZ98" s="236">
        <f ca="1" t="shared" si="53"/>
        <v>11.0486931300863</v>
      </c>
      <c r="BA98" s="236">
        <f ca="1" t="shared" si="40"/>
        <v>3.37470575029233</v>
      </c>
      <c r="BB98" s="236">
        <f ca="1" t="shared" si="41"/>
        <v>1.77844693581738</v>
      </c>
      <c r="BC98" s="236">
        <f ca="1" t="shared" si="42"/>
        <v>6.988418609165</v>
      </c>
      <c r="BD98" s="236">
        <f ca="1" t="shared" si="43"/>
        <v>8.80993920571279</v>
      </c>
    </row>
    <row r="99" s="234" customFormat="1" ht="0.2" customHeight="1" spans="7:56">
      <c r="G99" s="236"/>
      <c r="H99" s="236">
        <f t="shared" si="44"/>
        <v>458</v>
      </c>
      <c r="I99" s="236">
        <f>IF($H99&gt;$H98,INDEX(Spectra!99:99,1,MATCH($I$20,Spectra!$20:$20,0)),I98)</f>
        <v>13.2837718049858</v>
      </c>
      <c r="J99" s="236">
        <f>((Physics!$C$9*Physics!$C$10)/(Physics!$C$11*Physics!$C$12*$H99))^($J$17-$J$18)</f>
        <v>2.30627096304318e+18</v>
      </c>
      <c r="K99" s="236">
        <f t="shared" si="45"/>
        <v>1</v>
      </c>
      <c r="L99" s="236">
        <f ca="1">INDEX(Photobiology!$21:$421,1+$H99-380,10)</f>
        <v>0.05498056</v>
      </c>
      <c r="M99" s="236">
        <f ca="1" t="shared" si="46"/>
        <v>13.2837718049858</v>
      </c>
      <c r="N99" s="236">
        <f ca="1">INDEX(Photobiology!$21:$421,1+$H99-380,N$14)</f>
        <v>0.808016073341605</v>
      </c>
      <c r="O99" s="236">
        <f ca="1">INDEX(Photobiology!$21:$421,1+$H99-380,O$14)</f>
        <v>0.26167847490407</v>
      </c>
      <c r="P99" s="236">
        <f ca="1">INDEX(Photobiology!$21:$421,1+$H99-380,P$14)</f>
        <v>0.137493447003901</v>
      </c>
      <c r="Q99" s="236">
        <f ca="1">INDEX(Photobiology!$21:$421,1+$H99-380,Q$14)</f>
        <v>0.537164124741631</v>
      </c>
      <c r="R99" s="236">
        <f ca="1">INDEX(Photobiology!$21:$421,1+$H99-380,R$14)</f>
        <v>0.676506540912313</v>
      </c>
      <c r="S99" s="236">
        <f ca="1" t="shared" si="47"/>
        <v>3.06359771935304e+19</v>
      </c>
      <c r="T99" s="236">
        <f ca="1">INDEX(Photobiology!$21:$421,1+$H99-380,T$14)</f>
        <v>0.776259983122939</v>
      </c>
      <c r="U99" s="236">
        <f ca="1">INDEX(Photobiology!$21:$421,1+$H99-380,U$14)</f>
        <v>0.310261428051116</v>
      </c>
      <c r="V99" s="236">
        <f ca="1">INDEX(Photobiology!$21:$421,1+$H99-380,V$14)</f>
        <v>0.17089902337275</v>
      </c>
      <c r="W99" s="236">
        <f ca="1">INDEX(Photobiology!$21:$421,1+$H99-380,W$14)</f>
        <v>0.597840364837106</v>
      </c>
      <c r="X99" s="236">
        <f ca="1">INDEX(Photobiology!$21:$421,1+$H99-380,X$14)</f>
        <v>0.721967226283913</v>
      </c>
      <c r="Y99" s="236">
        <f ca="1" t="shared" si="34"/>
        <v>13.2837718049858</v>
      </c>
      <c r="Z99" s="236">
        <f ca="1" t="shared" si="48"/>
        <v>10.7335011330306</v>
      </c>
      <c r="AA99" s="236">
        <f ca="1" t="shared" si="35"/>
        <v>3.47607714690237</v>
      </c>
      <c r="AB99" s="236">
        <f ca="1" t="shared" si="36"/>
        <v>1.82643157468073</v>
      </c>
      <c r="AC99" s="236">
        <f ca="1" t="shared" si="37"/>
        <v>7.13556565489275</v>
      </c>
      <c r="AD99" s="236">
        <f ca="1" t="shared" si="38"/>
        <v>8.98655851405946</v>
      </c>
      <c r="AE99" s="236"/>
      <c r="AF99" s="236"/>
      <c r="AG99" s="236"/>
      <c r="AH99" s="236">
        <f t="shared" si="49"/>
        <v>458</v>
      </c>
      <c r="AI99" s="236">
        <f>IF($AH99&gt;$AH98,INDEX(Spectra!99:99,1,MATCH($AI$20,Spectra!$20:$20,0)),AI98)</f>
        <v>1</v>
      </c>
      <c r="AJ99" s="236">
        <f>((Physics!$C$9*Physics!$C$10)/(Physics!$C$11*Physics!$C$12*$AH99))^($AJ$17-$AJ$18)</f>
        <v>2.30627096304318e+18</v>
      </c>
      <c r="AK99" s="236">
        <f t="shared" si="50"/>
        <v>1</v>
      </c>
      <c r="AL99" s="236">
        <f ca="1">INDEX(Photobiology!$21:$421,1+$AH99-380,10)</f>
        <v>0.05498056</v>
      </c>
      <c r="AM99" s="236">
        <f ca="1" t="shared" si="51"/>
        <v>13.3319879209511</v>
      </c>
      <c r="AN99" s="236">
        <f ca="1">INDEX(Photobiology!$21:$421,1+$AH99-380,AN$14)</f>
        <v>0.808016073341605</v>
      </c>
      <c r="AO99" s="236">
        <f ca="1">INDEX(Photobiology!$21:$421,1+$AH99-380,AO$14)</f>
        <v>0.26167847490407</v>
      </c>
      <c r="AP99" s="236">
        <f ca="1">INDEX(Photobiology!$21:$421,1+$AH99-380,AP$14)</f>
        <v>0.137493447003901</v>
      </c>
      <c r="AQ99" s="236">
        <f ca="1">INDEX(Photobiology!$21:$421,1+$AH99-380,AQ$14)</f>
        <v>0.537164124741631</v>
      </c>
      <c r="AR99" s="236">
        <f ca="1">INDEX(Photobiology!$21:$421,1+$AH99-380,AR$14)</f>
        <v>0.676506540912313</v>
      </c>
      <c r="AS99" s="236">
        <f ca="1" t="shared" si="52"/>
        <v>3.07471766217321e+19</v>
      </c>
      <c r="AT99" s="236">
        <f ca="1">INDEX(Photobiology!$21:$421,1+$AH99-380,AT$14)</f>
        <v>0.776259983122939</v>
      </c>
      <c r="AU99" s="236">
        <f ca="1">INDEX(Photobiology!$21:$421,1+$AH99-380,AU$14)</f>
        <v>0.310261428051116</v>
      </c>
      <c r="AV99" s="236">
        <f ca="1">INDEX(Photobiology!$21:$421,1+$AH99-380,AV$14)</f>
        <v>0.17089902337275</v>
      </c>
      <c r="AW99" s="236">
        <f ca="1">INDEX(Photobiology!$21:$421,1+$AH99-380,AW$14)</f>
        <v>0.597840364837106</v>
      </c>
      <c r="AX99" s="236">
        <f ca="1">INDEX(Photobiology!$21:$421,1+$AH99-380,AX$14)</f>
        <v>0.721967226283913</v>
      </c>
      <c r="AY99" s="236">
        <f ca="1" t="shared" si="39"/>
        <v>13.3319879209511</v>
      </c>
      <c r="AZ99" s="236">
        <f ca="1" t="shared" si="53"/>
        <v>10.7724605297246</v>
      </c>
      <c r="BA99" s="236">
        <f ca="1" t="shared" si="40"/>
        <v>3.48869426659398</v>
      </c>
      <c r="BB99" s="236">
        <f ca="1" t="shared" si="41"/>
        <v>1.83306097466594</v>
      </c>
      <c r="BC99" s="236">
        <f ca="1" t="shared" si="42"/>
        <v>7.16146562262372</v>
      </c>
      <c r="BD99" s="236">
        <f ca="1" t="shared" si="43"/>
        <v>9.01917703188739</v>
      </c>
    </row>
    <row r="100" s="234" customFormat="1" ht="0.2" customHeight="1" spans="7:56">
      <c r="G100" s="236"/>
      <c r="H100" s="236">
        <f t="shared" si="44"/>
        <v>459</v>
      </c>
      <c r="I100" s="236">
        <f>IF($H100&gt;$H99,INDEX(Spectra!100:100,1,MATCH($I$20,Spectra!$20:$20,0)),I99)</f>
        <v>12.5116921724726</v>
      </c>
      <c r="J100" s="236">
        <f>((Physics!$C$9*Physics!$C$10)/(Physics!$C$11*Physics!$C$12*$H100))^($J$17-$J$18)</f>
        <v>2.31130648916336e+18</v>
      </c>
      <c r="K100" s="236">
        <f t="shared" si="45"/>
        <v>1</v>
      </c>
      <c r="L100" s="236">
        <f ca="1">INDEX(Photobiology!$21:$421,1+$H100-380,10)</f>
        <v>0.05745872</v>
      </c>
      <c r="M100" s="236">
        <f ca="1" t="shared" si="46"/>
        <v>12.5116921724726</v>
      </c>
      <c r="N100" s="236">
        <f ca="1">INDEX(Photobiology!$21:$421,1+$H100-380,N$14)</f>
        <v>0.786534903926915</v>
      </c>
      <c r="O100" s="236">
        <f ca="1">INDEX(Photobiology!$21:$421,1+$H100-380,O$14)</f>
        <v>0.270478033345491</v>
      </c>
      <c r="P100" s="236">
        <f ca="1">INDEX(Photobiology!$21:$421,1+$H100-380,P$14)</f>
        <v>0.141786212021526</v>
      </c>
      <c r="Q100" s="236">
        <f ca="1">INDEX(Photobiology!$21:$421,1+$H100-380,Q$14)</f>
        <v>0.550268940385248</v>
      </c>
      <c r="R100" s="236">
        <f ca="1">INDEX(Photobiology!$21:$421,1+$H100-380,R$14)</f>
        <v>0.692256432605073</v>
      </c>
      <c r="S100" s="236">
        <f ca="1" t="shared" si="47"/>
        <v>2.89183553086503e+19</v>
      </c>
      <c r="T100" s="236">
        <f ca="1">INDEX(Photobiology!$21:$421,1+$H100-380,T$14)</f>
        <v>0.753976814221879</v>
      </c>
      <c r="U100" s="236">
        <f ca="1">INDEX(Photobiology!$21:$421,1+$H100-380,U$14)</f>
        <v>0.319996022078278</v>
      </c>
      <c r="V100" s="236">
        <f ca="1">INDEX(Photobiology!$21:$421,1+$H100-380,V$14)</f>
        <v>0.175850810105566</v>
      </c>
      <c r="W100" s="236">
        <f ca="1">INDEX(Photobiology!$21:$421,1+$H100-380,W$14)</f>
        <v>0.611091195815469</v>
      </c>
      <c r="X100" s="236">
        <f ca="1">INDEX(Photobiology!$21:$421,1+$H100-380,X$14)</f>
        <v>0.73716596512156</v>
      </c>
      <c r="Y100" s="236">
        <f ca="1" t="shared" si="34"/>
        <v>12.5116921724726</v>
      </c>
      <c r="Z100" s="236">
        <f ca="1" t="shared" si="48"/>
        <v>9.84088260083887</v>
      </c>
      <c r="AA100" s="236">
        <f ca="1" t="shared" si="35"/>
        <v>3.38413789263456</v>
      </c>
      <c r="AB100" s="236">
        <f ca="1" t="shared" si="36"/>
        <v>1.77398543911427</v>
      </c>
      <c r="AC100" s="236">
        <f ca="1" t="shared" si="37"/>
        <v>6.8847955941729</v>
      </c>
      <c r="AD100" s="236">
        <f ca="1" t="shared" si="38"/>
        <v>8.6612993891687</v>
      </c>
      <c r="AE100" s="236"/>
      <c r="AF100" s="236"/>
      <c r="AG100" s="236"/>
      <c r="AH100" s="236">
        <f t="shared" si="49"/>
        <v>459</v>
      </c>
      <c r="AI100" s="236">
        <f>IF($AH100&gt;$AH99,INDEX(Spectra!100:100,1,MATCH($AI$20,Spectra!$20:$20,0)),AI99)</f>
        <v>1</v>
      </c>
      <c r="AJ100" s="236">
        <f>((Physics!$C$9*Physics!$C$10)/(Physics!$C$11*Physics!$C$12*$AH100))^($AJ$17-$AJ$18)</f>
        <v>2.31130648916336e+18</v>
      </c>
      <c r="AK100" s="236">
        <f t="shared" si="50"/>
        <v>1</v>
      </c>
      <c r="AL100" s="236">
        <f ca="1">INDEX(Photobiology!$21:$421,1+$AH100-380,10)</f>
        <v>0.05745872</v>
      </c>
      <c r="AM100" s="236">
        <f ca="1" t="shared" si="51"/>
        <v>13.3319879209511</v>
      </c>
      <c r="AN100" s="236">
        <f ca="1">INDEX(Photobiology!$21:$421,1+$AH100-380,AN$14)</f>
        <v>0.786534903926915</v>
      </c>
      <c r="AO100" s="236">
        <f ca="1">INDEX(Photobiology!$21:$421,1+$AH100-380,AO$14)</f>
        <v>0.270478033345491</v>
      </c>
      <c r="AP100" s="236">
        <f ca="1">INDEX(Photobiology!$21:$421,1+$AH100-380,AP$14)</f>
        <v>0.141786212021526</v>
      </c>
      <c r="AQ100" s="236">
        <f ca="1">INDEX(Photobiology!$21:$421,1+$AH100-380,AQ$14)</f>
        <v>0.550268940385248</v>
      </c>
      <c r="AR100" s="236">
        <f ca="1">INDEX(Photobiology!$21:$421,1+$AH100-380,AR$14)</f>
        <v>0.692256432605073</v>
      </c>
      <c r="AS100" s="236">
        <f ca="1" t="shared" si="52"/>
        <v>3.0814310195142e+19</v>
      </c>
      <c r="AT100" s="236">
        <f ca="1">INDEX(Photobiology!$21:$421,1+$AH100-380,AT$14)</f>
        <v>0.753976814221879</v>
      </c>
      <c r="AU100" s="236">
        <f ca="1">INDEX(Photobiology!$21:$421,1+$AH100-380,AU$14)</f>
        <v>0.319996022078278</v>
      </c>
      <c r="AV100" s="236">
        <f ca="1">INDEX(Photobiology!$21:$421,1+$AH100-380,AV$14)</f>
        <v>0.175850810105566</v>
      </c>
      <c r="AW100" s="236">
        <f ca="1">INDEX(Photobiology!$21:$421,1+$AH100-380,AW$14)</f>
        <v>0.611091195815469</v>
      </c>
      <c r="AX100" s="236">
        <f ca="1">INDEX(Photobiology!$21:$421,1+$AH100-380,AX$14)</f>
        <v>0.73716596512156</v>
      </c>
      <c r="AY100" s="236">
        <f ca="1" t="shared" si="39"/>
        <v>13.3319879209511</v>
      </c>
      <c r="AZ100" s="236">
        <f ca="1" t="shared" si="53"/>
        <v>10.4860738385601</v>
      </c>
      <c r="BA100" s="236">
        <f ca="1" t="shared" si="40"/>
        <v>3.60600987344471</v>
      </c>
      <c r="BB100" s="236">
        <f ca="1" t="shared" si="41"/>
        <v>1.8902920660284</v>
      </c>
      <c r="BC100" s="236">
        <f ca="1" t="shared" si="42"/>
        <v>7.33617886649071</v>
      </c>
      <c r="BD100" s="236">
        <f ca="1" t="shared" si="43"/>
        <v>9.22915439769156</v>
      </c>
    </row>
    <row r="101" s="234" customFormat="1" ht="0.2" customHeight="1" spans="7:56">
      <c r="G101" s="236"/>
      <c r="H101" s="236">
        <f t="shared" si="44"/>
        <v>460</v>
      </c>
      <c r="I101" s="236">
        <f>IF($H101&gt;$H100,INDEX(Spectra!101:101,1,MATCH($I$20,Spectra!$20:$20,0)),I100)</f>
        <v>11.6597521637311</v>
      </c>
      <c r="J101" s="236">
        <f>((Physics!$C$9*Physics!$C$10)/(Physics!$C$11*Physics!$C$12*$H101))^($J$17-$J$18)</f>
        <v>2.31634201528355e+18</v>
      </c>
      <c r="K101" s="236">
        <f t="shared" si="45"/>
        <v>1</v>
      </c>
      <c r="L101" s="236">
        <f ca="1">INDEX(Photobiology!$21:$421,1+$H101-380,10)</f>
        <v>0.06</v>
      </c>
      <c r="M101" s="236">
        <f ca="1" t="shared" si="46"/>
        <v>11.6597521637311</v>
      </c>
      <c r="N101" s="236">
        <f ca="1">INDEX(Photobiology!$21:$421,1+$H101-380,N$14)</f>
        <v>0.764351284939957</v>
      </c>
      <c r="O101" s="236">
        <f ca="1">INDEX(Photobiology!$21:$421,1+$H101-380,O$14)</f>
        <v>0.279527795849455</v>
      </c>
      <c r="P101" s="236">
        <f ca="1">INDEX(Photobiology!$21:$421,1+$H101-380,P$14)</f>
        <v>0.146279342637142</v>
      </c>
      <c r="Q101" s="236">
        <f ca="1">INDEX(Photobiology!$21:$421,1+$H101-380,Q$14)</f>
        <v>0.563494913300885</v>
      </c>
      <c r="R101" s="236">
        <f ca="1">INDEX(Photobiology!$21:$421,1+$H101-380,R$14)</f>
        <v>0.708048488474048</v>
      </c>
      <c r="S101" s="236">
        <f ca="1" t="shared" si="47"/>
        <v>2.70079738246436e+19</v>
      </c>
      <c r="T101" s="236">
        <f ca="1">INDEX(Photobiology!$21:$421,1+$H101-380,T$14)</f>
        <v>0.73111862037735</v>
      </c>
      <c r="U101" s="236">
        <f ca="1">INDEX(Photobiology!$21:$421,1+$H101-380,U$14)</f>
        <v>0.329983658660134</v>
      </c>
      <c r="V101" s="236">
        <f ca="1">INDEX(Photobiology!$21:$421,1+$H101-380,V$14)</f>
        <v>0.18102903118845</v>
      </c>
      <c r="W101" s="236">
        <f ca="1">INDEX(Photobiology!$21:$421,1+$H101-380,W$14)</f>
        <v>0.624418670999336</v>
      </c>
      <c r="X101" s="236">
        <f ca="1">INDEX(Photobiology!$21:$421,1+$H101-380,X$14)</f>
        <v>0.752343424418689</v>
      </c>
      <c r="Y101" s="236">
        <f ca="1" t="shared" si="34"/>
        <v>11.6597521637311</v>
      </c>
      <c r="Z101" s="236">
        <f ca="1" t="shared" si="48"/>
        <v>8.91214654842931</v>
      </c>
      <c r="AA101" s="236">
        <f ca="1" t="shared" si="35"/>
        <v>3.25922482247867</v>
      </c>
      <c r="AB101" s="236">
        <f ca="1" t="shared" si="36"/>
        <v>1.70558088182258</v>
      </c>
      <c r="AC101" s="236">
        <f ca="1" t="shared" si="37"/>
        <v>6.57021103461146</v>
      </c>
      <c r="AD101" s="236">
        <f ca="1" t="shared" si="38"/>
        <v>8.25566989551182</v>
      </c>
      <c r="AE101" s="236"/>
      <c r="AF101" s="236"/>
      <c r="AG101" s="236"/>
      <c r="AH101" s="236">
        <f t="shared" si="49"/>
        <v>460</v>
      </c>
      <c r="AI101" s="236">
        <f>IF($AH101&gt;$AH100,INDEX(Spectra!101:101,1,MATCH($AI$20,Spectra!$20:$20,0)),AI100)</f>
        <v>1</v>
      </c>
      <c r="AJ101" s="236">
        <f>((Physics!$C$9*Physics!$C$10)/(Physics!$C$11*Physics!$C$12*$AH101))^($AJ$17-$AJ$18)</f>
        <v>2.31634201528355e+18</v>
      </c>
      <c r="AK101" s="236">
        <f t="shared" si="50"/>
        <v>1</v>
      </c>
      <c r="AL101" s="236">
        <f ca="1">INDEX(Photobiology!$21:$421,1+$AH101-380,10)</f>
        <v>0.06</v>
      </c>
      <c r="AM101" s="236">
        <f ca="1" t="shared" si="51"/>
        <v>13.3319879209511</v>
      </c>
      <c r="AN101" s="236">
        <f ca="1">INDEX(Photobiology!$21:$421,1+$AH101-380,AN$14)</f>
        <v>0.764351284939957</v>
      </c>
      <c r="AO101" s="236">
        <f ca="1">INDEX(Photobiology!$21:$421,1+$AH101-380,AO$14)</f>
        <v>0.279527795849455</v>
      </c>
      <c r="AP101" s="236">
        <f ca="1">INDEX(Photobiology!$21:$421,1+$AH101-380,AP$14)</f>
        <v>0.146279342637142</v>
      </c>
      <c r="AQ101" s="236">
        <f ca="1">INDEX(Photobiology!$21:$421,1+$AH101-380,AQ$14)</f>
        <v>0.563494913300885</v>
      </c>
      <c r="AR101" s="236">
        <f ca="1">INDEX(Photobiology!$21:$421,1+$AH101-380,AR$14)</f>
        <v>0.708048488474048</v>
      </c>
      <c r="AS101" s="236">
        <f ca="1" t="shared" si="52"/>
        <v>3.08814437685519e+19</v>
      </c>
      <c r="AT101" s="236">
        <f ca="1">INDEX(Photobiology!$21:$421,1+$AH101-380,AT$14)</f>
        <v>0.73111862037735</v>
      </c>
      <c r="AU101" s="236">
        <f ca="1">INDEX(Photobiology!$21:$421,1+$AH101-380,AU$14)</f>
        <v>0.329983658660134</v>
      </c>
      <c r="AV101" s="236">
        <f ca="1">INDEX(Photobiology!$21:$421,1+$AH101-380,AV$14)</f>
        <v>0.18102903118845</v>
      </c>
      <c r="AW101" s="236">
        <f ca="1">INDEX(Photobiology!$21:$421,1+$AH101-380,AW$14)</f>
        <v>0.624418670999336</v>
      </c>
      <c r="AX101" s="236">
        <f ca="1">INDEX(Photobiology!$21:$421,1+$AH101-380,AX$14)</f>
        <v>0.752343424418689</v>
      </c>
      <c r="AY101" s="236">
        <f ca="1" t="shared" si="39"/>
        <v>13.3319879209511</v>
      </c>
      <c r="AZ101" s="236">
        <f ca="1" t="shared" si="53"/>
        <v>10.190322098183</v>
      </c>
      <c r="BA101" s="236">
        <f ca="1" t="shared" si="40"/>
        <v>3.72666119783503</v>
      </c>
      <c r="BB101" s="236">
        <f ca="1" t="shared" si="41"/>
        <v>1.95019442912305</v>
      </c>
      <c r="BC101" s="236">
        <f ca="1" t="shared" si="42"/>
        <v>7.51250737764481</v>
      </c>
      <c r="BD101" s="236">
        <f ca="1" t="shared" si="43"/>
        <v>9.43969389578372</v>
      </c>
    </row>
    <row r="102" s="234" customFormat="1" ht="0.2" customHeight="1" spans="7:56">
      <c r="G102" s="236"/>
      <c r="H102" s="236">
        <f t="shared" si="44"/>
        <v>461</v>
      </c>
      <c r="I102" s="236">
        <f>IF($H102&gt;$H101,INDEX(Spectra!102:102,1,MATCH($I$20,Spectra!$20:$20,0)),I101)</f>
        <v>10.7771200354919</v>
      </c>
      <c r="J102" s="236">
        <f>((Physics!$C$9*Physics!$C$10)/(Physics!$C$11*Physics!$C$12*$H102))^($J$17-$J$18)</f>
        <v>2.32137754140373e+18</v>
      </c>
      <c r="K102" s="236">
        <f t="shared" si="45"/>
        <v>1</v>
      </c>
      <c r="L102" s="236">
        <f ca="1">INDEX(Photobiology!$21:$421,1+$H102-380,10)</f>
        <v>0.06260197</v>
      </c>
      <c r="M102" s="236">
        <f ca="1" t="shared" si="46"/>
        <v>10.7771200354919</v>
      </c>
      <c r="N102" s="236">
        <f ca="1">INDEX(Photobiology!$21:$421,1+$H102-380,N$14)</f>
        <v>0.741185645889256</v>
      </c>
      <c r="O102" s="236">
        <f ca="1">INDEX(Photobiology!$21:$421,1+$H102-380,O$14)</f>
        <v>0.288693496176753</v>
      </c>
      <c r="P102" s="236">
        <f ca="1">INDEX(Photobiology!$21:$421,1+$H102-380,P$14)</f>
        <v>0.150908950915365</v>
      </c>
      <c r="Q102" s="236">
        <f ca="1">INDEX(Photobiology!$21:$421,1+$H102-380,Q$14)</f>
        <v>0.57656861730797</v>
      </c>
      <c r="R102" s="236">
        <f ca="1">INDEX(Photobiology!$21:$421,1+$H102-380,R$14)</f>
        <v>0.723532427107506</v>
      </c>
      <c r="S102" s="236">
        <f ca="1" t="shared" si="47"/>
        <v>2.50177644114031e+19</v>
      </c>
      <c r="T102" s="236">
        <f ca="1">INDEX(Photobiology!$21:$421,1+$H102-380,T$14)</f>
        <v>0.707422308440938</v>
      </c>
      <c r="U102" s="236">
        <f ca="1">INDEX(Photobiology!$21:$421,1+$H102-380,U$14)</f>
        <v>0.340064533099005</v>
      </c>
      <c r="V102" s="236">
        <f ca="1">INDEX(Photobiology!$21:$421,1+$H102-380,V$14)</f>
        <v>0.186353319621911</v>
      </c>
      <c r="W102" s="236">
        <f ca="1">INDEX(Photobiology!$21:$421,1+$H102-380,W$14)</f>
        <v>0.637519960478655</v>
      </c>
      <c r="X102" s="236">
        <f ca="1">INDEX(Photobiology!$21:$421,1+$H102-380,X$14)</f>
        <v>0.767128355286559</v>
      </c>
      <c r="Y102" s="236">
        <f ca="1" t="shared" si="34"/>
        <v>10.7771200354919</v>
      </c>
      <c r="Z102" s="236">
        <f ca="1" t="shared" si="48"/>
        <v>7.9878466743321</v>
      </c>
      <c r="AA102" s="236">
        <f ca="1" t="shared" si="35"/>
        <v>3.11128446176269</v>
      </c>
      <c r="AB102" s="236">
        <f ca="1" t="shared" si="36"/>
        <v>1.62636387844504</v>
      </c>
      <c r="AC102" s="236">
        <f ca="1" t="shared" si="37"/>
        <v>6.21374919742559</v>
      </c>
      <c r="AD102" s="236">
        <f ca="1" t="shared" si="38"/>
        <v>7.79759581650838</v>
      </c>
      <c r="AE102" s="236"/>
      <c r="AF102" s="236"/>
      <c r="AG102" s="236"/>
      <c r="AH102" s="236">
        <f t="shared" si="49"/>
        <v>461</v>
      </c>
      <c r="AI102" s="236">
        <f>IF($AH102&gt;$AH101,INDEX(Spectra!102:102,1,MATCH($AI$20,Spectra!$20:$20,0)),AI101)</f>
        <v>1</v>
      </c>
      <c r="AJ102" s="236">
        <f>((Physics!$C$9*Physics!$C$10)/(Physics!$C$11*Physics!$C$12*$AH102))^($AJ$17-$AJ$18)</f>
        <v>2.32137754140373e+18</v>
      </c>
      <c r="AK102" s="236">
        <f t="shared" si="50"/>
        <v>1</v>
      </c>
      <c r="AL102" s="236">
        <f ca="1">INDEX(Photobiology!$21:$421,1+$AH102-380,10)</f>
        <v>0.06260197</v>
      </c>
      <c r="AM102" s="236">
        <f ca="1" t="shared" si="51"/>
        <v>13.3319879209511</v>
      </c>
      <c r="AN102" s="236">
        <f ca="1">INDEX(Photobiology!$21:$421,1+$AH102-380,AN$14)</f>
        <v>0.741185645889256</v>
      </c>
      <c r="AO102" s="236">
        <f ca="1">INDEX(Photobiology!$21:$421,1+$AH102-380,AO$14)</f>
        <v>0.288693496176753</v>
      </c>
      <c r="AP102" s="236">
        <f ca="1">INDEX(Photobiology!$21:$421,1+$AH102-380,AP$14)</f>
        <v>0.150908950915365</v>
      </c>
      <c r="AQ102" s="236">
        <f ca="1">INDEX(Photobiology!$21:$421,1+$AH102-380,AQ$14)</f>
        <v>0.57656861730797</v>
      </c>
      <c r="AR102" s="236">
        <f ca="1">INDEX(Photobiology!$21:$421,1+$AH102-380,AR$14)</f>
        <v>0.723532427107506</v>
      </c>
      <c r="AS102" s="236">
        <f ca="1" t="shared" si="52"/>
        <v>3.09485773419618e+19</v>
      </c>
      <c r="AT102" s="236">
        <f ca="1">INDEX(Photobiology!$21:$421,1+$AH102-380,AT$14)</f>
        <v>0.707422308440938</v>
      </c>
      <c r="AU102" s="236">
        <f ca="1">INDEX(Photobiology!$21:$421,1+$AH102-380,AU$14)</f>
        <v>0.340064533099005</v>
      </c>
      <c r="AV102" s="236">
        <f ca="1">INDEX(Photobiology!$21:$421,1+$AH102-380,AV$14)</f>
        <v>0.186353319621911</v>
      </c>
      <c r="AW102" s="236">
        <f ca="1">INDEX(Photobiology!$21:$421,1+$AH102-380,AW$14)</f>
        <v>0.637519960478655</v>
      </c>
      <c r="AX102" s="236">
        <f ca="1">INDEX(Photobiology!$21:$421,1+$AH102-380,AX$14)</f>
        <v>0.767128355286559</v>
      </c>
      <c r="AY102" s="236">
        <f ca="1" t="shared" si="39"/>
        <v>13.3319879209511</v>
      </c>
      <c r="AZ102" s="236">
        <f ca="1" t="shared" si="53"/>
        <v>9.88147807817793</v>
      </c>
      <c r="BA102" s="236">
        <f ca="1" t="shared" si="40"/>
        <v>3.84885820388562</v>
      </c>
      <c r="BB102" s="236">
        <f ca="1" t="shared" si="41"/>
        <v>2.01191631076705</v>
      </c>
      <c r="BC102" s="236">
        <f ca="1" t="shared" si="42"/>
        <v>7.68680584154936</v>
      </c>
      <c r="BD102" s="236">
        <f ca="1" t="shared" si="43"/>
        <v>9.64612557861373</v>
      </c>
    </row>
    <row r="103" s="234" customFormat="1" ht="0.2" customHeight="1" spans="7:56">
      <c r="G103" s="236"/>
      <c r="H103" s="236">
        <f t="shared" si="44"/>
        <v>462</v>
      </c>
      <c r="I103" s="236">
        <f>IF($H103&gt;$H102,INDEX(Spectra!103:103,1,MATCH($I$20,Spectra!$20:$20,0)),I102)</f>
        <v>9.96973932642137</v>
      </c>
      <c r="J103" s="236">
        <f>((Physics!$C$9*Physics!$C$10)/(Physics!$C$11*Physics!$C$12*$H103))^($J$17-$J$18)</f>
        <v>2.32641306752391e+18</v>
      </c>
      <c r="K103" s="236">
        <f t="shared" si="45"/>
        <v>1</v>
      </c>
      <c r="L103" s="236">
        <f ca="1">INDEX(Photobiology!$21:$421,1+$H103-380,10)</f>
        <v>0.06527752</v>
      </c>
      <c r="M103" s="236">
        <f ca="1" t="shared" si="46"/>
        <v>9.96973932642137</v>
      </c>
      <c r="N103" s="236">
        <f ca="1">INDEX(Photobiology!$21:$421,1+$H103-380,N$14)</f>
        <v>0.717468766967684</v>
      </c>
      <c r="O103" s="236">
        <f ca="1">INDEX(Photobiology!$21:$421,1+$H103-380,O$14)</f>
        <v>0.298100016451217</v>
      </c>
      <c r="P103" s="236">
        <f ca="1">INDEX(Photobiology!$21:$421,1+$H103-380,P$14)</f>
        <v>0.155743883607121</v>
      </c>
      <c r="Q103" s="236">
        <f ca="1">INDEX(Photobiology!$21:$421,1+$H103-380,Q$14)</f>
        <v>0.589740562926786</v>
      </c>
      <c r="R103" s="236">
        <f ca="1">INDEX(Photobiology!$21:$421,1+$H103-380,R$14)</f>
        <v>0.739007762115495</v>
      </c>
      <c r="S103" s="236">
        <f ca="1" t="shared" si="47"/>
        <v>2.31937318487937e+19</v>
      </c>
      <c r="T103" s="236">
        <f ca="1">INDEX(Photobiology!$21:$421,1+$H103-380,T$14)</f>
        <v>0.68330358758827</v>
      </c>
      <c r="U103" s="236">
        <f ca="1">INDEX(Photobiology!$21:$421,1+$H103-380,U$14)</f>
        <v>0.350384825592514</v>
      </c>
      <c r="V103" s="236">
        <f ca="1">INDEX(Photobiology!$21:$421,1+$H103-380,V$14)</f>
        <v>0.19190755985949</v>
      </c>
      <c r="W103" s="236">
        <f ca="1">INDEX(Photobiology!$21:$421,1+$H103-380,W$14)</f>
        <v>0.650672926415548</v>
      </c>
      <c r="X103" s="236">
        <f ca="1">INDEX(Photobiology!$21:$421,1+$H103-380,X$14)</f>
        <v>0.781840179838594</v>
      </c>
      <c r="Y103" s="236">
        <f ca="1" t="shared" si="34"/>
        <v>9.96973932642137</v>
      </c>
      <c r="Z103" s="236">
        <f ca="1" t="shared" si="48"/>
        <v>7.15297658151677</v>
      </c>
      <c r="AA103" s="236">
        <f ca="1" t="shared" si="35"/>
        <v>2.97197945722056</v>
      </c>
      <c r="AB103" s="236">
        <f ca="1" t="shared" si="36"/>
        <v>1.55272592124751</v>
      </c>
      <c r="AC103" s="236">
        <f ca="1" t="shared" si="37"/>
        <v>5.87955968259706</v>
      </c>
      <c r="AD103" s="236">
        <f ca="1" t="shared" si="38"/>
        <v>7.3677147484935</v>
      </c>
      <c r="AE103" s="236"/>
      <c r="AF103" s="236"/>
      <c r="AG103" s="236"/>
      <c r="AH103" s="236">
        <f t="shared" si="49"/>
        <v>462</v>
      </c>
      <c r="AI103" s="236">
        <f>IF($AH103&gt;$AH102,INDEX(Spectra!103:103,1,MATCH($AI$20,Spectra!$20:$20,0)),AI102)</f>
        <v>1</v>
      </c>
      <c r="AJ103" s="236">
        <f>((Physics!$C$9*Physics!$C$10)/(Physics!$C$11*Physics!$C$12*$AH103))^($AJ$17-$AJ$18)</f>
        <v>2.32641306752391e+18</v>
      </c>
      <c r="AK103" s="236">
        <f t="shared" si="50"/>
        <v>1</v>
      </c>
      <c r="AL103" s="236">
        <f ca="1">INDEX(Photobiology!$21:$421,1+$AH103-380,10)</f>
        <v>0.06527752</v>
      </c>
      <c r="AM103" s="236">
        <f ca="1" t="shared" si="51"/>
        <v>13.3319879209511</v>
      </c>
      <c r="AN103" s="236">
        <f ca="1">INDEX(Photobiology!$21:$421,1+$AH103-380,AN$14)</f>
        <v>0.717468766967684</v>
      </c>
      <c r="AO103" s="236">
        <f ca="1">INDEX(Photobiology!$21:$421,1+$AH103-380,AO$14)</f>
        <v>0.298100016451217</v>
      </c>
      <c r="AP103" s="236">
        <f ca="1">INDEX(Photobiology!$21:$421,1+$AH103-380,AP$14)</f>
        <v>0.155743883607121</v>
      </c>
      <c r="AQ103" s="236">
        <f ca="1">INDEX(Photobiology!$21:$421,1+$AH103-380,AQ$14)</f>
        <v>0.589740562926786</v>
      </c>
      <c r="AR103" s="236">
        <f ca="1">INDEX(Photobiology!$21:$421,1+$AH103-380,AR$14)</f>
        <v>0.739007762115495</v>
      </c>
      <c r="AS103" s="236">
        <f ca="1" t="shared" si="52"/>
        <v>3.10157109153717e+19</v>
      </c>
      <c r="AT103" s="236">
        <f ca="1">INDEX(Photobiology!$21:$421,1+$AH103-380,AT$14)</f>
        <v>0.68330358758827</v>
      </c>
      <c r="AU103" s="236">
        <f ca="1">INDEX(Photobiology!$21:$421,1+$AH103-380,AU$14)</f>
        <v>0.350384825592514</v>
      </c>
      <c r="AV103" s="236">
        <f ca="1">INDEX(Photobiology!$21:$421,1+$AH103-380,AV$14)</f>
        <v>0.19190755985949</v>
      </c>
      <c r="AW103" s="236">
        <f ca="1">INDEX(Photobiology!$21:$421,1+$AH103-380,AW$14)</f>
        <v>0.650672926415548</v>
      </c>
      <c r="AX103" s="236">
        <f ca="1">INDEX(Photobiology!$21:$421,1+$AH103-380,AX$14)</f>
        <v>0.781840179838594</v>
      </c>
      <c r="AY103" s="236">
        <f ca="1" t="shared" si="39"/>
        <v>13.3319879209511</v>
      </c>
      <c r="AZ103" s="236">
        <f ca="1" t="shared" si="53"/>
        <v>9.56528493487287</v>
      </c>
      <c r="BA103" s="236">
        <f ca="1" t="shared" si="40"/>
        <v>3.97426581856296</v>
      </c>
      <c r="BB103" s="236">
        <f ca="1" t="shared" si="41"/>
        <v>2.07637557501216</v>
      </c>
      <c r="BC103" s="236">
        <f ca="1" t="shared" si="42"/>
        <v>7.86241406143484</v>
      </c>
      <c r="BD103" s="236">
        <f ca="1" t="shared" si="43"/>
        <v>9.85244255801291</v>
      </c>
    </row>
    <row r="104" s="234" customFormat="1" ht="0.2" customHeight="1" spans="7:56">
      <c r="G104" s="236"/>
      <c r="H104" s="236">
        <f t="shared" si="44"/>
        <v>463</v>
      </c>
      <c r="I104" s="236">
        <f>IF($H104&gt;$H103,INDEX(Spectra!104:104,1,MATCH($I$20,Spectra!$20:$20,0)),I103)</f>
        <v>9.24337422608941</v>
      </c>
      <c r="J104" s="236">
        <f>((Physics!$C$9*Physics!$C$10)/(Physics!$C$11*Physics!$C$12*$H104))^($J$17-$J$18)</f>
        <v>2.33144859364409e+18</v>
      </c>
      <c r="K104" s="236">
        <f t="shared" si="45"/>
        <v>1</v>
      </c>
      <c r="L104" s="236">
        <f ca="1">INDEX(Photobiology!$21:$421,1+$H104-380,10)</f>
        <v>0.06804208</v>
      </c>
      <c r="M104" s="236">
        <f ca="1" t="shared" si="46"/>
        <v>9.24337422608941</v>
      </c>
      <c r="N104" s="236">
        <f ca="1">INDEX(Photobiology!$21:$421,1+$H104-380,N$14)</f>
        <v>0.693274138772661</v>
      </c>
      <c r="O104" s="236">
        <f ca="1">INDEX(Photobiology!$21:$421,1+$H104-380,O$14)</f>
        <v>0.307746413264686</v>
      </c>
      <c r="P104" s="236">
        <f ca="1">INDEX(Photobiology!$21:$421,1+$H104-380,P$14)</f>
        <v>0.160788876270329</v>
      </c>
      <c r="Q104" s="236">
        <f ca="1">INDEX(Photobiology!$21:$421,1+$H104-380,Q$14)</f>
        <v>0.603003731994239</v>
      </c>
      <c r="R104" s="236">
        <f ca="1">INDEX(Photobiology!$21:$421,1+$H104-380,R$14)</f>
        <v>0.754459619075015</v>
      </c>
      <c r="S104" s="236">
        <f ca="1" t="shared" si="47"/>
        <v>2.15504518399422e+19</v>
      </c>
      <c r="T104" s="236">
        <f ca="1">INDEX(Photobiology!$21:$421,1+$H104-380,T$14)</f>
        <v>0.658835034686762</v>
      </c>
      <c r="U104" s="236">
        <f ca="1">INDEX(Photobiology!$21:$421,1+$H104-380,U$14)</f>
        <v>0.360941878354919</v>
      </c>
      <c r="V104" s="236">
        <f ca="1">INDEX(Photobiology!$21:$421,1+$H104-380,V$14)</f>
        <v>0.197696084482612</v>
      </c>
      <c r="W104" s="236">
        <f ca="1">INDEX(Photobiology!$21:$421,1+$H104-380,W$14)</f>
        <v>0.663869507413423</v>
      </c>
      <c r="X104" s="236">
        <f ca="1">INDEX(Photobiology!$21:$421,1+$H104-380,X$14)</f>
        <v>0.796463669218968</v>
      </c>
      <c r="Y104" s="236">
        <f ca="1" t="shared" si="34"/>
        <v>9.24337422608941</v>
      </c>
      <c r="Z104" s="236">
        <f ca="1" t="shared" si="48"/>
        <v>6.40819230594555</v>
      </c>
      <c r="AA104" s="236">
        <f ca="1" t="shared" si="35"/>
        <v>2.84461526454226</v>
      </c>
      <c r="AB104" s="236">
        <f ca="1" t="shared" si="36"/>
        <v>1.48623175475904</v>
      </c>
      <c r="AC104" s="236">
        <f ca="1" t="shared" si="37"/>
        <v>5.57378915455127</v>
      </c>
      <c r="AD104" s="236">
        <f ca="1" t="shared" si="38"/>
        <v>6.97375259758323</v>
      </c>
      <c r="AE104" s="236"/>
      <c r="AF104" s="236"/>
      <c r="AG104" s="236"/>
      <c r="AH104" s="236">
        <f t="shared" si="49"/>
        <v>463</v>
      </c>
      <c r="AI104" s="236">
        <f>IF($AH104&gt;$AH103,INDEX(Spectra!104:104,1,MATCH($AI$20,Spectra!$20:$20,0)),AI103)</f>
        <v>1</v>
      </c>
      <c r="AJ104" s="236">
        <f>((Physics!$C$9*Physics!$C$10)/(Physics!$C$11*Physics!$C$12*$AH104))^($AJ$17-$AJ$18)</f>
        <v>2.33144859364409e+18</v>
      </c>
      <c r="AK104" s="236">
        <f t="shared" si="50"/>
        <v>1</v>
      </c>
      <c r="AL104" s="236">
        <f ca="1">INDEX(Photobiology!$21:$421,1+$AH104-380,10)</f>
        <v>0.06804208</v>
      </c>
      <c r="AM104" s="236">
        <f ca="1" t="shared" si="51"/>
        <v>13.3319879209511</v>
      </c>
      <c r="AN104" s="236">
        <f ca="1">INDEX(Photobiology!$21:$421,1+$AH104-380,AN$14)</f>
        <v>0.693274138772661</v>
      </c>
      <c r="AO104" s="236">
        <f ca="1">INDEX(Photobiology!$21:$421,1+$AH104-380,AO$14)</f>
        <v>0.307746413264686</v>
      </c>
      <c r="AP104" s="236">
        <f ca="1">INDEX(Photobiology!$21:$421,1+$AH104-380,AP$14)</f>
        <v>0.160788876270329</v>
      </c>
      <c r="AQ104" s="236">
        <f ca="1">INDEX(Photobiology!$21:$421,1+$AH104-380,AQ$14)</f>
        <v>0.603003731994239</v>
      </c>
      <c r="AR104" s="236">
        <f ca="1">INDEX(Photobiology!$21:$421,1+$AH104-380,AR$14)</f>
        <v>0.754459619075015</v>
      </c>
      <c r="AS104" s="236">
        <f ca="1" t="shared" si="52"/>
        <v>3.10828444887815e+19</v>
      </c>
      <c r="AT104" s="236">
        <f ca="1">INDEX(Photobiology!$21:$421,1+$AH104-380,AT$14)</f>
        <v>0.658835034686762</v>
      </c>
      <c r="AU104" s="236">
        <f ca="1">INDEX(Photobiology!$21:$421,1+$AH104-380,AU$14)</f>
        <v>0.360941878354919</v>
      </c>
      <c r="AV104" s="236">
        <f ca="1">INDEX(Photobiology!$21:$421,1+$AH104-380,AV$14)</f>
        <v>0.197696084482612</v>
      </c>
      <c r="AW104" s="236">
        <f ca="1">INDEX(Photobiology!$21:$421,1+$AH104-380,AW$14)</f>
        <v>0.663869507413423</v>
      </c>
      <c r="AX104" s="236">
        <f ca="1">INDEX(Photobiology!$21:$421,1+$AH104-380,AX$14)</f>
        <v>0.796463669218968</v>
      </c>
      <c r="AY104" s="236">
        <f ca="1" t="shared" si="39"/>
        <v>13.3319879209511</v>
      </c>
      <c r="AZ104" s="236">
        <f ca="1" t="shared" si="53"/>
        <v>9.24272244402492</v>
      </c>
      <c r="BA104" s="236">
        <f ca="1" t="shared" si="40"/>
        <v>4.10287146436083</v>
      </c>
      <c r="BB104" s="236">
        <f ca="1" t="shared" si="41"/>
        <v>2.14363535625933</v>
      </c>
      <c r="BC104" s="236">
        <f ca="1" t="shared" si="42"/>
        <v>8.03923847123565</v>
      </c>
      <c r="BD104" s="236">
        <f ca="1" t="shared" si="43"/>
        <v>10.0584465283535</v>
      </c>
    </row>
    <row r="105" s="234" customFormat="1" ht="0.2" customHeight="1" spans="7:56">
      <c r="G105" s="236"/>
      <c r="H105" s="236">
        <f t="shared" si="44"/>
        <v>464</v>
      </c>
      <c r="I105" s="236">
        <f>IF($H105&gt;$H104,INDEX(Spectra!105:105,1,MATCH($I$20,Spectra!$20:$20,0)),I104)</f>
        <v>8.61301729757752</v>
      </c>
      <c r="J105" s="236">
        <f>((Physics!$C$9*Physics!$C$10)/(Physics!$C$11*Physics!$C$12*$H105))^($J$17-$J$18)</f>
        <v>2.33648411976427e+18</v>
      </c>
      <c r="K105" s="236">
        <f t="shared" si="45"/>
        <v>1</v>
      </c>
      <c r="L105" s="236">
        <f ca="1">INDEX(Photobiology!$21:$421,1+$H105-380,10)</f>
        <v>0.07091109</v>
      </c>
      <c r="M105" s="236">
        <f ca="1" t="shared" si="46"/>
        <v>8.61301729757752</v>
      </c>
      <c r="N105" s="236">
        <f ca="1">INDEX(Photobiology!$21:$421,1+$H105-380,N$14)</f>
        <v>0.668677946379168</v>
      </c>
      <c r="O105" s="236">
        <f ca="1">INDEX(Photobiology!$21:$421,1+$H105-380,O$14)</f>
        <v>0.31763108638177</v>
      </c>
      <c r="P105" s="236">
        <f ca="1">INDEX(Photobiology!$21:$421,1+$H105-380,P$14)</f>
        <v>0.1660481341956</v>
      </c>
      <c r="Q105" s="236">
        <f ca="1">INDEX(Photobiology!$21:$421,1+$H105-380,Q$14)</f>
        <v>0.61635368947601</v>
      </c>
      <c r="R105" s="236">
        <f ca="1">INDEX(Photobiology!$21:$421,1+$H105-380,R$14)</f>
        <v>0.769869297062266</v>
      </c>
      <c r="S105" s="236">
        <f ca="1" t="shared" si="47"/>
        <v>2.01241781390448e+19</v>
      </c>
      <c r="T105" s="236">
        <f ca="1">INDEX(Photobiology!$21:$421,1+$H105-380,T$14)</f>
        <v>0.634091156049211</v>
      </c>
      <c r="U105" s="236">
        <f ca="1">INDEX(Photobiology!$21:$421,1+$H105-380,U$14)</f>
        <v>0.371732287809679</v>
      </c>
      <c r="V105" s="236">
        <f ca="1">INDEX(Photobiology!$21:$421,1+$H105-380,V$14)</f>
        <v>0.203722538144028</v>
      </c>
      <c r="W105" s="236">
        <f ca="1">INDEX(Photobiology!$21:$421,1+$H105-380,W$14)</f>
        <v>0.677104549305173</v>
      </c>
      <c r="X105" s="236">
        <f ca="1">INDEX(Photobiology!$21:$421,1+$H105-380,X$14)</f>
        <v>0.810979695022247</v>
      </c>
      <c r="Y105" s="236">
        <f ca="1" t="shared" si="34"/>
        <v>8.61301729757752</v>
      </c>
      <c r="Z105" s="236">
        <f ca="1" t="shared" si="48"/>
        <v>5.75933471867239</v>
      </c>
      <c r="AA105" s="236">
        <f ca="1" t="shared" si="35"/>
        <v>2.73576204125452</v>
      </c>
      <c r="AB105" s="236">
        <f ca="1" t="shared" si="36"/>
        <v>1.43017545205718</v>
      </c>
      <c r="AC105" s="236">
        <f ca="1" t="shared" si="37"/>
        <v>5.3086649888826</v>
      </c>
      <c r="AD105" s="236">
        <f ca="1" t="shared" si="38"/>
        <v>6.63089757247114</v>
      </c>
      <c r="AE105" s="236"/>
      <c r="AF105" s="236"/>
      <c r="AG105" s="236"/>
      <c r="AH105" s="236">
        <f t="shared" si="49"/>
        <v>464</v>
      </c>
      <c r="AI105" s="236">
        <f>IF($AH105&gt;$AH104,INDEX(Spectra!105:105,1,MATCH($AI$20,Spectra!$20:$20,0)),AI104)</f>
        <v>1</v>
      </c>
      <c r="AJ105" s="236">
        <f>((Physics!$C$9*Physics!$C$10)/(Physics!$C$11*Physics!$C$12*$AH105))^($AJ$17-$AJ$18)</f>
        <v>2.33648411976427e+18</v>
      </c>
      <c r="AK105" s="236">
        <f t="shared" si="50"/>
        <v>1</v>
      </c>
      <c r="AL105" s="236">
        <f ca="1">INDEX(Photobiology!$21:$421,1+$AH105-380,10)</f>
        <v>0.07091109</v>
      </c>
      <c r="AM105" s="236">
        <f ca="1" t="shared" si="51"/>
        <v>13.3319879209511</v>
      </c>
      <c r="AN105" s="236">
        <f ca="1">INDEX(Photobiology!$21:$421,1+$AH105-380,AN$14)</f>
        <v>0.668677946379168</v>
      </c>
      <c r="AO105" s="236">
        <f ca="1">INDEX(Photobiology!$21:$421,1+$AH105-380,AO$14)</f>
        <v>0.31763108638177</v>
      </c>
      <c r="AP105" s="236">
        <f ca="1">INDEX(Photobiology!$21:$421,1+$AH105-380,AP$14)</f>
        <v>0.1660481341956</v>
      </c>
      <c r="AQ105" s="236">
        <f ca="1">INDEX(Photobiology!$21:$421,1+$AH105-380,AQ$14)</f>
        <v>0.61635368947601</v>
      </c>
      <c r="AR105" s="236">
        <f ca="1">INDEX(Photobiology!$21:$421,1+$AH105-380,AR$14)</f>
        <v>0.769869297062266</v>
      </c>
      <c r="AS105" s="236">
        <f ca="1" t="shared" si="52"/>
        <v>3.11499780621914e+19</v>
      </c>
      <c r="AT105" s="236">
        <f ca="1">INDEX(Photobiology!$21:$421,1+$AH105-380,AT$14)</f>
        <v>0.634091156049211</v>
      </c>
      <c r="AU105" s="236">
        <f ca="1">INDEX(Photobiology!$21:$421,1+$AH105-380,AU$14)</f>
        <v>0.371732287809679</v>
      </c>
      <c r="AV105" s="236">
        <f ca="1">INDEX(Photobiology!$21:$421,1+$AH105-380,AV$14)</f>
        <v>0.203722538144028</v>
      </c>
      <c r="AW105" s="236">
        <f ca="1">INDEX(Photobiology!$21:$421,1+$AH105-380,AW$14)</f>
        <v>0.677104549305173</v>
      </c>
      <c r="AX105" s="236">
        <f ca="1">INDEX(Photobiology!$21:$421,1+$AH105-380,AX$14)</f>
        <v>0.810979695022247</v>
      </c>
      <c r="AY105" s="236">
        <f ca="1" t="shared" si="39"/>
        <v>13.3319879209511</v>
      </c>
      <c r="AZ105" s="236">
        <f ca="1" t="shared" si="53"/>
        <v>8.91480630413348</v>
      </c>
      <c r="BA105" s="236">
        <f ca="1" t="shared" si="40"/>
        <v>4.23465380696035</v>
      </c>
      <c r="BB105" s="236">
        <f ca="1" t="shared" si="41"/>
        <v>2.21375171939221</v>
      </c>
      <c r="BC105" s="236">
        <f ca="1" t="shared" si="42"/>
        <v>8.21721994312784</v>
      </c>
      <c r="BD105" s="236">
        <f ca="1" t="shared" si="43"/>
        <v>10.2638881691453</v>
      </c>
    </row>
    <row r="106" s="234" customFormat="1" ht="0.2" customHeight="1" spans="7:56">
      <c r="G106" s="236"/>
      <c r="H106" s="236">
        <f t="shared" si="44"/>
        <v>465</v>
      </c>
      <c r="I106" s="236">
        <f>IF($H106&gt;$H105,INDEX(Spectra!106:106,1,MATCH($I$20,Spectra!$20:$20,0)),I105)</f>
        <v>8.08587209012227</v>
      </c>
      <c r="J106" s="236">
        <f>((Physics!$C$9*Physics!$C$10)/(Physics!$C$11*Physics!$C$12*$H106))^($J$17-$J$18)</f>
        <v>2.34151964588445e+18</v>
      </c>
      <c r="K106" s="236">
        <f t="shared" si="45"/>
        <v>1</v>
      </c>
      <c r="L106" s="236">
        <f ca="1">INDEX(Photobiology!$21:$421,1+$H106-380,10)</f>
        <v>0.0739</v>
      </c>
      <c r="M106" s="236">
        <f ca="1" t="shared" si="46"/>
        <v>8.08587209012227</v>
      </c>
      <c r="N106" s="236">
        <f ca="1">INDEX(Photobiology!$21:$421,1+$H106-380,N$14)</f>
        <v>0.643760017315039</v>
      </c>
      <c r="O106" s="236">
        <f ca="1">INDEX(Photobiology!$21:$421,1+$H106-380,O$14)</f>
        <v>0.327752490154648</v>
      </c>
      <c r="P106" s="236">
        <f ca="1">INDEX(Photobiology!$21:$421,1+$H106-380,P$14)</f>
        <v>0.171525225912681</v>
      </c>
      <c r="Q106" s="236">
        <f ca="1">INDEX(Photobiology!$21:$421,1+$H106-380,Q$14)</f>
        <v>0.629783096631754</v>
      </c>
      <c r="R106" s="236">
        <f ca="1">INDEX(Photobiology!$21:$421,1+$H106-380,R$14)</f>
        <v>0.785215746071412</v>
      </c>
      <c r="S106" s="236">
        <f ca="1" t="shared" si="47"/>
        <v>1.89332283531301e+19</v>
      </c>
      <c r="T106" s="236">
        <f ca="1">INDEX(Photobiology!$21:$421,1+$H106-380,T$14)</f>
        <v>0.609149263695951</v>
      </c>
      <c r="U106" s="236">
        <f ca="1">INDEX(Photobiology!$21:$421,1+$H106-380,U$14)</f>
        <v>0.382752743406254</v>
      </c>
      <c r="V106" s="236">
        <f ca="1">INDEX(Photobiology!$21:$421,1+$H106-380,V$14)</f>
        <v>0.20998975459016</v>
      </c>
      <c r="W106" s="236">
        <f ca="1">INDEX(Photobiology!$21:$421,1+$H106-380,W$14)</f>
        <v>0.69036975921102</v>
      </c>
      <c r="X106" s="236">
        <f ca="1">INDEX(Photobiology!$21:$421,1+$H106-380,X$14)</f>
        <v>0.825366824188853</v>
      </c>
      <c r="Y106" s="236">
        <f ca="1" t="shared" si="34"/>
        <v>8.08587209012227</v>
      </c>
      <c r="Z106" s="236">
        <f ca="1" t="shared" si="48"/>
        <v>5.2053611567443</v>
      </c>
      <c r="AA106" s="236">
        <f ca="1" t="shared" si="35"/>
        <v>2.65016471260954</v>
      </c>
      <c r="AB106" s="236">
        <f ca="1" t="shared" si="36"/>
        <v>1.38693103695926</v>
      </c>
      <c r="AC106" s="236">
        <f ca="1" t="shared" si="37"/>
        <v>5.09234556388548</v>
      </c>
      <c r="AD106" s="236">
        <f ca="1" t="shared" si="38"/>
        <v>6.34915408588337</v>
      </c>
      <c r="AE106" s="236"/>
      <c r="AF106" s="236"/>
      <c r="AG106" s="236"/>
      <c r="AH106" s="236">
        <f t="shared" si="49"/>
        <v>465</v>
      </c>
      <c r="AI106" s="236">
        <f>IF($AH106&gt;$AH105,INDEX(Spectra!106:106,1,MATCH($AI$20,Spectra!$20:$20,0)),AI105)</f>
        <v>1</v>
      </c>
      <c r="AJ106" s="236">
        <f>((Physics!$C$9*Physics!$C$10)/(Physics!$C$11*Physics!$C$12*$AH106))^($AJ$17-$AJ$18)</f>
        <v>2.34151964588445e+18</v>
      </c>
      <c r="AK106" s="236">
        <f t="shared" si="50"/>
        <v>1</v>
      </c>
      <c r="AL106" s="236">
        <f ca="1">INDEX(Photobiology!$21:$421,1+$AH106-380,10)</f>
        <v>0.0739</v>
      </c>
      <c r="AM106" s="236">
        <f ca="1" t="shared" si="51"/>
        <v>13.3319879209511</v>
      </c>
      <c r="AN106" s="236">
        <f ca="1">INDEX(Photobiology!$21:$421,1+$AH106-380,AN$14)</f>
        <v>0.643760017315039</v>
      </c>
      <c r="AO106" s="236">
        <f ca="1">INDEX(Photobiology!$21:$421,1+$AH106-380,AO$14)</f>
        <v>0.327752490154648</v>
      </c>
      <c r="AP106" s="236">
        <f ca="1">INDEX(Photobiology!$21:$421,1+$AH106-380,AP$14)</f>
        <v>0.171525225912681</v>
      </c>
      <c r="AQ106" s="236">
        <f ca="1">INDEX(Photobiology!$21:$421,1+$AH106-380,AQ$14)</f>
        <v>0.629783096631754</v>
      </c>
      <c r="AR106" s="236">
        <f ca="1">INDEX(Photobiology!$21:$421,1+$AH106-380,AR$14)</f>
        <v>0.785215746071412</v>
      </c>
      <c r="AS106" s="236">
        <f ca="1" t="shared" si="52"/>
        <v>3.12171116356013e+19</v>
      </c>
      <c r="AT106" s="236">
        <f ca="1">INDEX(Photobiology!$21:$421,1+$AH106-380,AT$14)</f>
        <v>0.609149263695951</v>
      </c>
      <c r="AU106" s="236">
        <f ca="1">INDEX(Photobiology!$21:$421,1+$AH106-380,AU$14)</f>
        <v>0.382752743406254</v>
      </c>
      <c r="AV106" s="236">
        <f ca="1">INDEX(Photobiology!$21:$421,1+$AH106-380,AV$14)</f>
        <v>0.20998975459016</v>
      </c>
      <c r="AW106" s="236">
        <f ca="1">INDEX(Photobiology!$21:$421,1+$AH106-380,AW$14)</f>
        <v>0.69036975921102</v>
      </c>
      <c r="AX106" s="236">
        <f ca="1">INDEX(Photobiology!$21:$421,1+$AH106-380,AX$14)</f>
        <v>0.825366824188853</v>
      </c>
      <c r="AY106" s="236">
        <f ca="1" t="shared" si="39"/>
        <v>13.3319879209511</v>
      </c>
      <c r="AZ106" s="236">
        <f ca="1" t="shared" si="53"/>
        <v>8.5826007748354</v>
      </c>
      <c r="BA106" s="236">
        <f ca="1" t="shared" si="40"/>
        <v>4.36959223980343</v>
      </c>
      <c r="BB106" s="236">
        <f ca="1" t="shared" si="41"/>
        <v>2.28677224000628</v>
      </c>
      <c r="BC106" s="236">
        <f ca="1" t="shared" si="42"/>
        <v>8.39626063711375</v>
      </c>
      <c r="BD106" s="236">
        <f ca="1" t="shared" si="43"/>
        <v>10.4684868419647</v>
      </c>
    </row>
    <row r="107" s="234" customFormat="1" ht="0.2" customHeight="1" spans="7:56">
      <c r="G107" s="236"/>
      <c r="H107" s="236">
        <f t="shared" si="44"/>
        <v>466</v>
      </c>
      <c r="I107" s="236">
        <f>IF($H107&gt;$H106,INDEX(Spectra!107:107,1,MATCH($I$20,Spectra!$20:$20,0)),I106)</f>
        <v>7.67584302594608</v>
      </c>
      <c r="J107" s="236">
        <f>((Physics!$C$9*Physics!$C$10)/(Physics!$C$11*Physics!$C$12*$H107))^($J$17-$J$18)</f>
        <v>2.34655517200464e+18</v>
      </c>
      <c r="K107" s="236">
        <f t="shared" si="45"/>
        <v>1</v>
      </c>
      <c r="L107" s="236">
        <f ca="1">INDEX(Photobiology!$21:$421,1+$H107-380,10)</f>
        <v>0.077016</v>
      </c>
      <c r="M107" s="236">
        <f ca="1" t="shared" si="46"/>
        <v>7.67584302594608</v>
      </c>
      <c r="N107" s="236">
        <f ca="1">INDEX(Photobiology!$21:$421,1+$H107-380,N$14)</f>
        <v>0.618602968887339</v>
      </c>
      <c r="O107" s="236">
        <f ca="1">INDEX(Photobiology!$21:$421,1+$H107-380,O$14)</f>
        <v>0.338109209231821</v>
      </c>
      <c r="P107" s="236">
        <f ca="1">INDEX(Photobiology!$21:$421,1+$H107-380,P$14)</f>
        <v>0.177224598036125</v>
      </c>
      <c r="Q107" s="236">
        <f ca="1">INDEX(Photobiology!$21:$421,1+$H107-380,Q$14)</f>
        <v>0.643287333337339</v>
      </c>
      <c r="R107" s="236">
        <f ca="1">INDEX(Photobiology!$21:$421,1+$H107-380,R$14)</f>
        <v>0.800480948240733</v>
      </c>
      <c r="S107" s="236">
        <f ca="1" t="shared" si="47"/>
        <v>1.80117891520295e+19</v>
      </c>
      <c r="T107" s="236">
        <f ca="1">INDEX(Photobiology!$21:$421,1+$H107-380,T$14)</f>
        <v>0.584088640151136</v>
      </c>
      <c r="U107" s="236">
        <f ca="1">INDEX(Photobiology!$21:$421,1+$H107-380,U$14)</f>
        <v>0.394000114845713</v>
      </c>
      <c r="V107" s="236">
        <f ca="1">INDEX(Photobiology!$21:$421,1+$H107-380,V$14)</f>
        <v>0.216501615931875</v>
      </c>
      <c r="W107" s="236">
        <f ca="1">INDEX(Photobiology!$21:$421,1+$H107-380,W$14)</f>
        <v>0.703659889193213</v>
      </c>
      <c r="X107" s="236">
        <f ca="1">INDEX(Photobiology!$21:$421,1+$H107-380,X$14)</f>
        <v>0.839606987983725</v>
      </c>
      <c r="Y107" s="236">
        <f ca="1" t="shared" si="34"/>
        <v>7.67584302594608</v>
      </c>
      <c r="Z107" s="236">
        <f ca="1" t="shared" si="48"/>
        <v>4.74829928456342</v>
      </c>
      <c r="AA107" s="236">
        <f ca="1" t="shared" si="35"/>
        <v>2.59527321569022</v>
      </c>
      <c r="AB107" s="236">
        <f ca="1" t="shared" si="36"/>
        <v>1.36034819486169</v>
      </c>
      <c r="AC107" s="236">
        <f ca="1" t="shared" si="37"/>
        <v>4.93777259127687</v>
      </c>
      <c r="AD107" s="236">
        <f ca="1" t="shared" si="38"/>
        <v>6.14436610395634</v>
      </c>
      <c r="AE107" s="236"/>
      <c r="AF107" s="236"/>
      <c r="AG107" s="236"/>
      <c r="AH107" s="236">
        <f t="shared" si="49"/>
        <v>466</v>
      </c>
      <c r="AI107" s="236">
        <f>IF($AH107&gt;$AH106,INDEX(Spectra!107:107,1,MATCH($AI$20,Spectra!$20:$20,0)),AI106)</f>
        <v>1</v>
      </c>
      <c r="AJ107" s="236">
        <f>((Physics!$C$9*Physics!$C$10)/(Physics!$C$11*Physics!$C$12*$AH107))^($AJ$17-$AJ$18)</f>
        <v>2.34655517200464e+18</v>
      </c>
      <c r="AK107" s="236">
        <f t="shared" si="50"/>
        <v>1</v>
      </c>
      <c r="AL107" s="236">
        <f ca="1">INDEX(Photobiology!$21:$421,1+$AH107-380,10)</f>
        <v>0.077016</v>
      </c>
      <c r="AM107" s="236">
        <f ca="1" t="shared" si="51"/>
        <v>13.3319879209511</v>
      </c>
      <c r="AN107" s="236">
        <f ca="1">INDEX(Photobiology!$21:$421,1+$AH107-380,AN$14)</f>
        <v>0.618602968887339</v>
      </c>
      <c r="AO107" s="236">
        <f ca="1">INDEX(Photobiology!$21:$421,1+$AH107-380,AO$14)</f>
        <v>0.338109209231821</v>
      </c>
      <c r="AP107" s="236">
        <f ca="1">INDEX(Photobiology!$21:$421,1+$AH107-380,AP$14)</f>
        <v>0.177224598036125</v>
      </c>
      <c r="AQ107" s="236">
        <f ca="1">INDEX(Photobiology!$21:$421,1+$AH107-380,AQ$14)</f>
        <v>0.643287333337339</v>
      </c>
      <c r="AR107" s="236">
        <f ca="1">INDEX(Photobiology!$21:$421,1+$AH107-380,AR$14)</f>
        <v>0.800480948240733</v>
      </c>
      <c r="AS107" s="236">
        <f ca="1" t="shared" si="52"/>
        <v>3.12842452090112e+19</v>
      </c>
      <c r="AT107" s="236">
        <f ca="1">INDEX(Photobiology!$21:$421,1+$AH107-380,AT$14)</f>
        <v>0.584088640151136</v>
      </c>
      <c r="AU107" s="236">
        <f ca="1">INDEX(Photobiology!$21:$421,1+$AH107-380,AU$14)</f>
        <v>0.394000114845713</v>
      </c>
      <c r="AV107" s="236">
        <f ca="1">INDEX(Photobiology!$21:$421,1+$AH107-380,AV$14)</f>
        <v>0.216501615931875</v>
      </c>
      <c r="AW107" s="236">
        <f ca="1">INDEX(Photobiology!$21:$421,1+$AH107-380,AW$14)</f>
        <v>0.703659889193213</v>
      </c>
      <c r="AX107" s="236">
        <f ca="1">INDEX(Photobiology!$21:$421,1+$AH107-380,AX$14)</f>
        <v>0.839606987983725</v>
      </c>
      <c r="AY107" s="236">
        <f ca="1" t="shared" si="39"/>
        <v>13.3319879209511</v>
      </c>
      <c r="AZ107" s="236">
        <f ca="1" t="shared" si="53"/>
        <v>8.24720730907052</v>
      </c>
      <c r="BA107" s="236">
        <f ca="1" t="shared" si="40"/>
        <v>4.50766789344098</v>
      </c>
      <c r="BB107" s="236">
        <f ca="1" t="shared" si="41"/>
        <v>2.36275620031304</v>
      </c>
      <c r="BC107" s="236">
        <f ca="1" t="shared" si="42"/>
        <v>8.57629895775427</v>
      </c>
      <c r="BD107" s="236">
        <f ca="1" t="shared" si="43"/>
        <v>10.672002332897</v>
      </c>
    </row>
    <row r="108" s="234" customFormat="1" ht="0.2" customHeight="1" spans="7:56">
      <c r="G108" s="236"/>
      <c r="H108" s="236">
        <f t="shared" si="44"/>
        <v>467</v>
      </c>
      <c r="I108" s="236">
        <f>IF($H108&gt;$H107,INDEX(Spectra!108:108,1,MATCH($I$20,Spectra!$20:$20,0)),I107)</f>
        <v>7.36813492519307</v>
      </c>
      <c r="J108" s="236">
        <f>((Physics!$C$9*Physics!$C$10)/(Physics!$C$11*Physics!$C$12*$H108))^($J$17-$J$18)</f>
        <v>2.35159069812482e+18</v>
      </c>
      <c r="K108" s="236">
        <f t="shared" si="45"/>
        <v>1</v>
      </c>
      <c r="L108" s="236">
        <f ca="1">INDEX(Photobiology!$21:$421,1+$H108-380,10)</f>
        <v>0.0802664</v>
      </c>
      <c r="M108" s="236">
        <f ca="1" t="shared" si="46"/>
        <v>7.36813492519307</v>
      </c>
      <c r="N108" s="236">
        <f ca="1">INDEX(Photobiology!$21:$421,1+$H108-380,N$14)</f>
        <v>0.593292693554248</v>
      </c>
      <c r="O108" s="236">
        <f ca="1">INDEX(Photobiology!$21:$421,1+$H108-380,O$14)</f>
        <v>0.348699239341837</v>
      </c>
      <c r="P108" s="236">
        <f ca="1">INDEX(Photobiology!$21:$421,1+$H108-380,P$14)</f>
        <v>0.183149189036959</v>
      </c>
      <c r="Q108" s="236">
        <f ca="1">INDEX(Photobiology!$21:$421,1+$H108-380,Q$14)</f>
        <v>0.656860278336333</v>
      </c>
      <c r="R108" s="236">
        <f ca="1">INDEX(Photobiology!$21:$421,1+$H108-380,R$14)</f>
        <v>0.815642787132787</v>
      </c>
      <c r="S108" s="236">
        <f ca="1" t="shared" si="47"/>
        <v>1.73268375526126e+19</v>
      </c>
      <c r="T108" s="236">
        <f ca="1">INDEX(Photobiology!$21:$421,1+$H108-380,T$14)</f>
        <v>0.558990974654966</v>
      </c>
      <c r="U108" s="236">
        <f ca="1">INDEX(Photobiology!$21:$421,1+$H108-380,U$14)</f>
        <v>0.405470613839687</v>
      </c>
      <c r="V108" s="236">
        <f ca="1">INDEX(Photobiology!$21:$421,1+$H108-380,V$14)</f>
        <v>0.223260132591132</v>
      </c>
      <c r="W108" s="236">
        <f ca="1">INDEX(Photobiology!$21:$421,1+$H108-380,W$14)</f>
        <v>0.716968097766651</v>
      </c>
      <c r="X108" s="236">
        <f ca="1">INDEX(Photobiology!$21:$421,1+$H108-380,X$14)</f>
        <v>0.853677982734914</v>
      </c>
      <c r="Y108" s="236">
        <f ca="1" t="shared" si="34"/>
        <v>7.36813492519307</v>
      </c>
      <c r="Z108" s="236">
        <f ca="1" t="shared" si="48"/>
        <v>4.37146061623892</v>
      </c>
      <c r="AA108" s="236">
        <f ca="1" t="shared" si="35"/>
        <v>2.56926304378285</v>
      </c>
      <c r="AB108" s="236">
        <f ca="1" t="shared" si="36"/>
        <v>1.34946793626401</v>
      </c>
      <c r="AC108" s="236">
        <f ca="1" t="shared" si="37"/>
        <v>4.83983515778198</v>
      </c>
      <c r="AD108" s="236">
        <f ca="1" t="shared" si="38"/>
        <v>6.00976610635491</v>
      </c>
      <c r="AE108" s="236"/>
      <c r="AF108" s="236"/>
      <c r="AG108" s="236"/>
      <c r="AH108" s="236">
        <f t="shared" si="49"/>
        <v>467</v>
      </c>
      <c r="AI108" s="236">
        <f>IF($AH108&gt;$AH107,INDEX(Spectra!108:108,1,MATCH($AI$20,Spectra!$20:$20,0)),AI107)</f>
        <v>1</v>
      </c>
      <c r="AJ108" s="236">
        <f>((Physics!$C$9*Physics!$C$10)/(Physics!$C$11*Physics!$C$12*$AH108))^($AJ$17-$AJ$18)</f>
        <v>2.35159069812482e+18</v>
      </c>
      <c r="AK108" s="236">
        <f t="shared" si="50"/>
        <v>1</v>
      </c>
      <c r="AL108" s="236">
        <f ca="1">INDEX(Photobiology!$21:$421,1+$AH108-380,10)</f>
        <v>0.0802664</v>
      </c>
      <c r="AM108" s="236">
        <f ca="1" t="shared" si="51"/>
        <v>13.3319879209511</v>
      </c>
      <c r="AN108" s="236">
        <f ca="1">INDEX(Photobiology!$21:$421,1+$AH108-380,AN$14)</f>
        <v>0.593292693554248</v>
      </c>
      <c r="AO108" s="236">
        <f ca="1">INDEX(Photobiology!$21:$421,1+$AH108-380,AO$14)</f>
        <v>0.348699239341837</v>
      </c>
      <c r="AP108" s="236">
        <f ca="1">INDEX(Photobiology!$21:$421,1+$AH108-380,AP$14)</f>
        <v>0.183149189036959</v>
      </c>
      <c r="AQ108" s="236">
        <f ca="1">INDEX(Photobiology!$21:$421,1+$AH108-380,AQ$14)</f>
        <v>0.656860278336333</v>
      </c>
      <c r="AR108" s="236">
        <f ca="1">INDEX(Photobiology!$21:$421,1+$AH108-380,AR$14)</f>
        <v>0.815642787132787</v>
      </c>
      <c r="AS108" s="236">
        <f ca="1" t="shared" si="52"/>
        <v>3.13513787824211e+19</v>
      </c>
      <c r="AT108" s="236">
        <f ca="1">INDEX(Photobiology!$21:$421,1+$AH108-380,AT$14)</f>
        <v>0.558990974654966</v>
      </c>
      <c r="AU108" s="236">
        <f ca="1">INDEX(Photobiology!$21:$421,1+$AH108-380,AU$14)</f>
        <v>0.405470613839687</v>
      </c>
      <c r="AV108" s="236">
        <f ca="1">INDEX(Photobiology!$21:$421,1+$AH108-380,AV$14)</f>
        <v>0.223260132591132</v>
      </c>
      <c r="AW108" s="236">
        <f ca="1">INDEX(Photobiology!$21:$421,1+$AH108-380,AW$14)</f>
        <v>0.716968097766651</v>
      </c>
      <c r="AX108" s="236">
        <f ca="1">INDEX(Photobiology!$21:$421,1+$AH108-380,AX$14)</f>
        <v>0.853677982734914</v>
      </c>
      <c r="AY108" s="236">
        <f ca="1" t="shared" si="39"/>
        <v>13.3319879209511</v>
      </c>
      <c r="AZ108" s="236">
        <f ca="1" t="shared" si="53"/>
        <v>7.9097710240538</v>
      </c>
      <c r="BA108" s="236">
        <f ca="1" t="shared" si="40"/>
        <v>4.64885404695022</v>
      </c>
      <c r="BB108" s="236">
        <f ca="1" t="shared" si="41"/>
        <v>2.44174277597273</v>
      </c>
      <c r="BC108" s="236">
        <f ca="1" t="shared" si="42"/>
        <v>8.7572532965326</v>
      </c>
      <c r="BD108" s="236">
        <f ca="1" t="shared" si="43"/>
        <v>10.8741397858652</v>
      </c>
    </row>
    <row r="109" s="234" customFormat="1" ht="0.2" customHeight="1" spans="7:56">
      <c r="G109" s="236"/>
      <c r="H109" s="236">
        <f t="shared" si="44"/>
        <v>468</v>
      </c>
      <c r="I109" s="236">
        <f>IF($H109&gt;$H108,INDEX(Spectra!109:109,1,MATCH($I$20,Spectra!$20:$20,0)),I108)</f>
        <v>7.08556600064468</v>
      </c>
      <c r="J109" s="236">
        <f>((Physics!$C$9*Physics!$C$10)/(Physics!$C$11*Physics!$C$12*$H109))^($J$17-$J$18)</f>
        <v>2.356626224245e+18</v>
      </c>
      <c r="K109" s="236">
        <f t="shared" si="45"/>
        <v>1</v>
      </c>
      <c r="L109" s="236">
        <f ca="1">INDEX(Photobiology!$21:$421,1+$H109-380,10)</f>
        <v>0.0836668</v>
      </c>
      <c r="M109" s="236">
        <f ca="1" t="shared" si="46"/>
        <v>7.08556600064468</v>
      </c>
      <c r="N109" s="236">
        <f ca="1">INDEX(Photobiology!$21:$421,1+$H109-380,N$14)</f>
        <v>0.567917171269068</v>
      </c>
      <c r="O109" s="236">
        <f ca="1">INDEX(Photobiology!$21:$421,1+$H109-380,O$14)</f>
        <v>0.359519954407475</v>
      </c>
      <c r="P109" s="236">
        <f ca="1">INDEX(Photobiology!$21:$421,1+$H109-380,P$14)</f>
        <v>0.189303655335369</v>
      </c>
      <c r="Q109" s="236">
        <f ca="1">INDEX(Photobiology!$21:$421,1+$H109-380,Q$14)</f>
        <v>0.670497248515936</v>
      </c>
      <c r="R109" s="236">
        <f ca="1">INDEX(Photobiology!$21:$421,1+$H109-380,R$14)</f>
        <v>0.830678557376</v>
      </c>
      <c r="S109" s="236">
        <f ca="1" t="shared" si="47"/>
        <v>1.6698030650738e+19</v>
      </c>
      <c r="T109" s="236">
        <f ca="1">INDEX(Photobiology!$21:$421,1+$H109-380,T$14)</f>
        <v>0.533939220851261</v>
      </c>
      <c r="U109" s="236">
        <f ca="1">INDEX(Photobiology!$21:$421,1+$H109-380,U$14)</f>
        <v>0.417159762981953</v>
      </c>
      <c r="V109" s="236">
        <f ca="1">INDEX(Photobiology!$21:$421,1+$H109-380,V$14)</f>
        <v>0.230269387523975</v>
      </c>
      <c r="W109" s="236">
        <f ca="1">INDEX(Photobiology!$21:$421,1+$H109-380,W$14)</f>
        <v>0.730289168311255</v>
      </c>
      <c r="X109" s="236">
        <f ca="1">INDEX(Photobiology!$21:$421,1+$H109-380,X$14)</f>
        <v>0.867557179465121</v>
      </c>
      <c r="Y109" s="236">
        <f ca="1" t="shared" si="34"/>
        <v>7.08556600064468</v>
      </c>
      <c r="Z109" s="236">
        <f ca="1" t="shared" si="48"/>
        <v>4.02401459992641</v>
      </c>
      <c r="AA109" s="236">
        <f ca="1" t="shared" si="35"/>
        <v>2.54740236550293</v>
      </c>
      <c r="AB109" s="236">
        <f ca="1" t="shared" si="36"/>
        <v>1.34132354404205</v>
      </c>
      <c r="AC109" s="236">
        <f ca="1" t="shared" si="37"/>
        <v>4.75085250761032</v>
      </c>
      <c r="AD109" s="236">
        <f ca="1" t="shared" si="38"/>
        <v>5.88582774360796</v>
      </c>
      <c r="AE109" s="236"/>
      <c r="AF109" s="236"/>
      <c r="AG109" s="236"/>
      <c r="AH109" s="236">
        <f t="shared" si="49"/>
        <v>468</v>
      </c>
      <c r="AI109" s="236">
        <f>IF($AH109&gt;$AH108,INDEX(Spectra!109:109,1,MATCH($AI$20,Spectra!$20:$20,0)),AI108)</f>
        <v>1</v>
      </c>
      <c r="AJ109" s="236">
        <f>((Physics!$C$9*Physics!$C$10)/(Physics!$C$11*Physics!$C$12*$AH109))^($AJ$17-$AJ$18)</f>
        <v>2.356626224245e+18</v>
      </c>
      <c r="AK109" s="236">
        <f t="shared" si="50"/>
        <v>1</v>
      </c>
      <c r="AL109" s="236">
        <f ca="1">INDEX(Photobiology!$21:$421,1+$AH109-380,10)</f>
        <v>0.0836668</v>
      </c>
      <c r="AM109" s="236">
        <f ca="1" t="shared" si="51"/>
        <v>13.3319879209511</v>
      </c>
      <c r="AN109" s="236">
        <f ca="1">INDEX(Photobiology!$21:$421,1+$AH109-380,AN$14)</f>
        <v>0.567917171269068</v>
      </c>
      <c r="AO109" s="236">
        <f ca="1">INDEX(Photobiology!$21:$421,1+$AH109-380,AO$14)</f>
        <v>0.359519954407475</v>
      </c>
      <c r="AP109" s="236">
        <f ca="1">INDEX(Photobiology!$21:$421,1+$AH109-380,AP$14)</f>
        <v>0.189303655335369</v>
      </c>
      <c r="AQ109" s="236">
        <f ca="1">INDEX(Photobiology!$21:$421,1+$AH109-380,AQ$14)</f>
        <v>0.670497248515936</v>
      </c>
      <c r="AR109" s="236">
        <f ca="1">INDEX(Photobiology!$21:$421,1+$AH109-380,AR$14)</f>
        <v>0.830678557376</v>
      </c>
      <c r="AS109" s="236">
        <f ca="1" t="shared" si="52"/>
        <v>3.1418512355831e+19</v>
      </c>
      <c r="AT109" s="236">
        <f ca="1">INDEX(Photobiology!$21:$421,1+$AH109-380,AT$14)</f>
        <v>0.533939220851261</v>
      </c>
      <c r="AU109" s="236">
        <f ca="1">INDEX(Photobiology!$21:$421,1+$AH109-380,AU$14)</f>
        <v>0.417159762981953</v>
      </c>
      <c r="AV109" s="236">
        <f ca="1">INDEX(Photobiology!$21:$421,1+$AH109-380,AV$14)</f>
        <v>0.230269387523975</v>
      </c>
      <c r="AW109" s="236">
        <f ca="1">INDEX(Photobiology!$21:$421,1+$AH109-380,AW$14)</f>
        <v>0.730289168311255</v>
      </c>
      <c r="AX109" s="236">
        <f ca="1">INDEX(Photobiology!$21:$421,1+$AH109-380,AX$14)</f>
        <v>0.867557179465121</v>
      </c>
      <c r="AY109" s="236">
        <f ca="1" t="shared" si="39"/>
        <v>13.3319879209511</v>
      </c>
      <c r="AZ109" s="236">
        <f ca="1" t="shared" si="53"/>
        <v>7.57146486745996</v>
      </c>
      <c r="BA109" s="236">
        <f ca="1" t="shared" si="40"/>
        <v>4.79311568950136</v>
      </c>
      <c r="BB109" s="236">
        <f ca="1" t="shared" si="41"/>
        <v>2.52379404632304</v>
      </c>
      <c r="BC109" s="236">
        <f ca="1" t="shared" si="42"/>
        <v>8.93906121824543</v>
      </c>
      <c r="BD109" s="236">
        <f ca="1" t="shared" si="43"/>
        <v>11.07459649313</v>
      </c>
    </row>
    <row r="110" s="234" customFormat="1" ht="0.2" customHeight="1" spans="7:56">
      <c r="G110" s="236"/>
      <c r="H110" s="236">
        <f t="shared" si="44"/>
        <v>469</v>
      </c>
      <c r="I110" s="236">
        <f>IF($H110&gt;$H109,INDEX(Spectra!110:110,1,MATCH($I$20,Spectra!$20:$20,0)),I109)</f>
        <v>6.86021736848153</v>
      </c>
      <c r="J110" s="236">
        <f>((Physics!$C$9*Physics!$C$10)/(Physics!$C$11*Physics!$C$12*$H110))^($J$17-$J$18)</f>
        <v>2.36166175036518e+18</v>
      </c>
      <c r="K110" s="236">
        <f t="shared" si="45"/>
        <v>1</v>
      </c>
      <c r="L110" s="236">
        <f ca="1">INDEX(Photobiology!$21:$421,1+$H110-380,10)</f>
        <v>0.0872328</v>
      </c>
      <c r="M110" s="236">
        <f ca="1" t="shared" si="46"/>
        <v>6.86021736848153</v>
      </c>
      <c r="N110" s="236">
        <f ca="1">INDEX(Photobiology!$21:$421,1+$H110-380,N$14)</f>
        <v>0.542561533588779</v>
      </c>
      <c r="O110" s="236">
        <f ca="1">INDEX(Photobiology!$21:$421,1+$H110-380,O$14)</f>
        <v>0.37056892701278</v>
      </c>
      <c r="P110" s="236">
        <f ca="1">INDEX(Photobiology!$21:$421,1+$H110-380,P$14)</f>
        <v>0.195690165258544</v>
      </c>
      <c r="Q110" s="236">
        <f ca="1">INDEX(Photobiology!$21:$421,1+$H110-380,Q$14)</f>
        <v>0.684190437452311</v>
      </c>
      <c r="R110" s="236">
        <f ca="1">INDEX(Photobiology!$21:$421,1+$H110-380,R$14)</f>
        <v>0.845570844554139</v>
      </c>
      <c r="S110" s="236">
        <f ca="1" t="shared" si="47"/>
        <v>1.62015129583337e+19</v>
      </c>
      <c r="T110" s="236">
        <f ca="1">INDEX(Photobiology!$21:$421,1+$H110-380,T$14)</f>
        <v>0.509012952620603</v>
      </c>
      <c r="U110" s="236">
        <f ca="1">INDEX(Photobiology!$21:$421,1+$H110-380,U$14)</f>
        <v>0.429063353073134</v>
      </c>
      <c r="V110" s="236">
        <f ca="1">INDEX(Photobiology!$21:$421,1+$H110-380,V$14)</f>
        <v>0.237530408795076</v>
      </c>
      <c r="W110" s="236">
        <f ca="1">INDEX(Photobiology!$21:$421,1+$H110-380,W$14)</f>
        <v>0.743614534117928</v>
      </c>
      <c r="X110" s="236">
        <f ca="1">INDEX(Photobiology!$21:$421,1+$H110-380,X$14)</f>
        <v>0.881227656263951</v>
      </c>
      <c r="Y110" s="236">
        <f ca="1" t="shared" si="34"/>
        <v>6.86021736848153</v>
      </c>
      <c r="Z110" s="236">
        <f ca="1" t="shared" si="48"/>
        <v>3.72209005619572</v>
      </c>
      <c r="AA110" s="236">
        <f ca="1" t="shared" si="35"/>
        <v>2.54218338931264</v>
      </c>
      <c r="AB110" s="236">
        <f ca="1" t="shared" si="36"/>
        <v>1.34247707054768</v>
      </c>
      <c r="AC110" s="236">
        <f ca="1" t="shared" si="37"/>
        <v>4.69369512235932</v>
      </c>
      <c r="AD110" s="236">
        <f ca="1" t="shared" si="38"/>
        <v>5.8007997940919</v>
      </c>
      <c r="AE110" s="236"/>
      <c r="AF110" s="236"/>
      <c r="AG110" s="236"/>
      <c r="AH110" s="236">
        <f t="shared" si="49"/>
        <v>469</v>
      </c>
      <c r="AI110" s="236">
        <f>IF($AH110&gt;$AH109,INDEX(Spectra!110:110,1,MATCH($AI$20,Spectra!$20:$20,0)),AI109)</f>
        <v>1</v>
      </c>
      <c r="AJ110" s="236">
        <f>((Physics!$C$9*Physics!$C$10)/(Physics!$C$11*Physics!$C$12*$AH110))^($AJ$17-$AJ$18)</f>
        <v>2.36166175036518e+18</v>
      </c>
      <c r="AK110" s="236">
        <f t="shared" si="50"/>
        <v>1</v>
      </c>
      <c r="AL110" s="236">
        <f ca="1">INDEX(Photobiology!$21:$421,1+$AH110-380,10)</f>
        <v>0.0872328</v>
      </c>
      <c r="AM110" s="236">
        <f ca="1" t="shared" si="51"/>
        <v>13.3319879209511</v>
      </c>
      <c r="AN110" s="236">
        <f ca="1">INDEX(Photobiology!$21:$421,1+$AH110-380,AN$14)</f>
        <v>0.542561533588779</v>
      </c>
      <c r="AO110" s="236">
        <f ca="1">INDEX(Photobiology!$21:$421,1+$AH110-380,AO$14)</f>
        <v>0.37056892701278</v>
      </c>
      <c r="AP110" s="236">
        <f ca="1">INDEX(Photobiology!$21:$421,1+$AH110-380,AP$14)</f>
        <v>0.195690165258544</v>
      </c>
      <c r="AQ110" s="236">
        <f ca="1">INDEX(Photobiology!$21:$421,1+$AH110-380,AQ$14)</f>
        <v>0.684190437452311</v>
      </c>
      <c r="AR110" s="236">
        <f ca="1">INDEX(Photobiology!$21:$421,1+$AH110-380,AR$14)</f>
        <v>0.845570844554139</v>
      </c>
      <c r="AS110" s="236">
        <f ca="1" t="shared" si="52"/>
        <v>3.14856459292409e+19</v>
      </c>
      <c r="AT110" s="236">
        <f ca="1">INDEX(Photobiology!$21:$421,1+$AH110-380,AT$14)</f>
        <v>0.509012952620603</v>
      </c>
      <c r="AU110" s="236">
        <f ca="1">INDEX(Photobiology!$21:$421,1+$AH110-380,AU$14)</f>
        <v>0.429063353073134</v>
      </c>
      <c r="AV110" s="236">
        <f ca="1">INDEX(Photobiology!$21:$421,1+$AH110-380,AV$14)</f>
        <v>0.237530408795076</v>
      </c>
      <c r="AW110" s="236">
        <f ca="1">INDEX(Photobiology!$21:$421,1+$AH110-380,AW$14)</f>
        <v>0.743614534117928</v>
      </c>
      <c r="AX110" s="236">
        <f ca="1">INDEX(Photobiology!$21:$421,1+$AH110-380,AX$14)</f>
        <v>0.881227656263951</v>
      </c>
      <c r="AY110" s="236">
        <f ca="1" t="shared" si="39"/>
        <v>13.3319879209511</v>
      </c>
      <c r="AZ110" s="236">
        <f ca="1" t="shared" si="53"/>
        <v>7.23342381217833</v>
      </c>
      <c r="BA110" s="236">
        <f ca="1" t="shared" si="40"/>
        <v>4.94042045881421</v>
      </c>
      <c r="BB110" s="236">
        <f ca="1" t="shared" si="41"/>
        <v>2.60893891947584</v>
      </c>
      <c r="BC110" s="236">
        <f ca="1" t="shared" si="42"/>
        <v>9.12161864774449</v>
      </c>
      <c r="BD110" s="236">
        <f ca="1" t="shared" si="43"/>
        <v>11.2731402859042</v>
      </c>
    </row>
    <row r="111" s="234" customFormat="1" ht="0.2" customHeight="1" spans="7:56">
      <c r="G111" s="236"/>
      <c r="H111" s="236">
        <f t="shared" si="44"/>
        <v>470</v>
      </c>
      <c r="I111" s="236">
        <f>IF($H111&gt;$H110,INDEX(Spectra!111:111,1,MATCH($I$20,Spectra!$20:$20,0)),I110)</f>
        <v>6.61617290735099</v>
      </c>
      <c r="J111" s="236">
        <f>((Physics!$C$9*Physics!$C$10)/(Physics!$C$11*Physics!$C$12*$H111))^($J$17-$J$18)</f>
        <v>2.36669727648536e+18</v>
      </c>
      <c r="K111" s="236">
        <f t="shared" si="45"/>
        <v>1</v>
      </c>
      <c r="L111" s="236">
        <f ca="1">INDEX(Photobiology!$21:$421,1+$H111-380,10)</f>
        <v>0.09098</v>
      </c>
      <c r="M111" s="236">
        <f ca="1" t="shared" si="46"/>
        <v>6.61617290735099</v>
      </c>
      <c r="N111" s="236">
        <f ca="1">INDEX(Photobiology!$21:$421,1+$H111-380,N$14)</f>
        <v>0.517314915023402</v>
      </c>
      <c r="O111" s="236">
        <f ca="1">INDEX(Photobiology!$21:$421,1+$H111-380,O$14)</f>
        <v>0.381844904879891</v>
      </c>
      <c r="P111" s="236">
        <f ca="1">INDEX(Photobiology!$21:$421,1+$H111-380,P$14)</f>
        <v>0.202312631951279</v>
      </c>
      <c r="Q111" s="236">
        <f ca="1">INDEX(Photobiology!$21:$421,1+$H111-380,Q$14)</f>
        <v>0.69793342855282</v>
      </c>
      <c r="R111" s="236">
        <f ca="1">INDEX(Photobiology!$21:$421,1+$H111-380,R$14)</f>
        <v>0.860290248212551</v>
      </c>
      <c r="S111" s="236">
        <f ca="1" t="shared" si="47"/>
        <v>1.56584784005838e+19</v>
      </c>
      <c r="T111" s="236">
        <f ca="1">INDEX(Photobiology!$21:$421,1+$H111-380,T$14)</f>
        <v>0.484294814064461</v>
      </c>
      <c r="U111" s="236">
        <f ca="1">INDEX(Photobiology!$21:$421,1+$H111-380,U$14)</f>
        <v>0.441178568475887</v>
      </c>
      <c r="V111" s="236">
        <f ca="1">INDEX(Photobiology!$21:$421,1+$H111-380,V$14)</f>
        <v>0.245046329088148</v>
      </c>
      <c r="W111" s="236">
        <f ca="1">INDEX(Photobiology!$21:$421,1+$H111-380,W$14)</f>
        <v>0.756937208714238</v>
      </c>
      <c r="X111" s="236">
        <f ca="1">INDEX(Photobiology!$21:$421,1+$H111-380,X$14)</f>
        <v>0.894660170338129</v>
      </c>
      <c r="Y111" s="236">
        <f ca="1" t="shared" si="34"/>
        <v>6.61617290735099</v>
      </c>
      <c r="Z111" s="236">
        <f ca="1" t="shared" si="48"/>
        <v>3.42264492534641</v>
      </c>
      <c r="AA111" s="236">
        <f ca="1" t="shared" si="35"/>
        <v>2.52635191447635</v>
      </c>
      <c r="AB111" s="236">
        <f ca="1" t="shared" si="36"/>
        <v>1.33853535433092</v>
      </c>
      <c r="AC111" s="236">
        <f ca="1" t="shared" si="37"/>
        <v>4.61764824112576</v>
      </c>
      <c r="AD111" s="236">
        <f ca="1" t="shared" si="38"/>
        <v>5.69182903268214</v>
      </c>
      <c r="AE111" s="236"/>
      <c r="AF111" s="236"/>
      <c r="AG111" s="236"/>
      <c r="AH111" s="236">
        <f t="shared" si="49"/>
        <v>470</v>
      </c>
      <c r="AI111" s="236">
        <f>IF($AH111&gt;$AH110,INDEX(Spectra!111:111,1,MATCH($AI$20,Spectra!$20:$20,0)),AI110)</f>
        <v>1</v>
      </c>
      <c r="AJ111" s="236">
        <f>((Physics!$C$9*Physics!$C$10)/(Physics!$C$11*Physics!$C$12*$AH111))^($AJ$17-$AJ$18)</f>
        <v>2.36669727648536e+18</v>
      </c>
      <c r="AK111" s="236">
        <f t="shared" si="50"/>
        <v>1</v>
      </c>
      <c r="AL111" s="236">
        <f ca="1">INDEX(Photobiology!$21:$421,1+$AH111-380,10)</f>
        <v>0.09098</v>
      </c>
      <c r="AM111" s="236">
        <f ca="1" t="shared" si="51"/>
        <v>13.3319879209511</v>
      </c>
      <c r="AN111" s="236">
        <f ca="1">INDEX(Photobiology!$21:$421,1+$AH111-380,AN$14)</f>
        <v>0.517314915023402</v>
      </c>
      <c r="AO111" s="236">
        <f ca="1">INDEX(Photobiology!$21:$421,1+$AH111-380,AO$14)</f>
        <v>0.381844904879891</v>
      </c>
      <c r="AP111" s="236">
        <f ca="1">INDEX(Photobiology!$21:$421,1+$AH111-380,AP$14)</f>
        <v>0.202312631951279</v>
      </c>
      <c r="AQ111" s="236">
        <f ca="1">INDEX(Photobiology!$21:$421,1+$AH111-380,AQ$14)</f>
        <v>0.69793342855282</v>
      </c>
      <c r="AR111" s="236">
        <f ca="1">INDEX(Photobiology!$21:$421,1+$AH111-380,AR$14)</f>
        <v>0.860290248212551</v>
      </c>
      <c r="AS111" s="236">
        <f ca="1" t="shared" si="52"/>
        <v>3.15527795026508e+19</v>
      </c>
      <c r="AT111" s="236">
        <f ca="1">INDEX(Photobiology!$21:$421,1+$AH111-380,AT$14)</f>
        <v>0.484294814064461</v>
      </c>
      <c r="AU111" s="236">
        <f ca="1">INDEX(Photobiology!$21:$421,1+$AH111-380,AU$14)</f>
        <v>0.441178568475887</v>
      </c>
      <c r="AV111" s="236">
        <f ca="1">INDEX(Photobiology!$21:$421,1+$AH111-380,AV$14)</f>
        <v>0.245046329088148</v>
      </c>
      <c r="AW111" s="236">
        <f ca="1">INDEX(Photobiology!$21:$421,1+$AH111-380,AW$14)</f>
        <v>0.756937208714238</v>
      </c>
      <c r="AX111" s="236">
        <f ca="1">INDEX(Photobiology!$21:$421,1+$AH111-380,AX$14)</f>
        <v>0.894660170338129</v>
      </c>
      <c r="AY111" s="236">
        <f ca="1" t="shared" si="39"/>
        <v>13.3319879209511</v>
      </c>
      <c r="AZ111" s="236">
        <f ca="1" t="shared" si="53"/>
        <v>6.89683619841986</v>
      </c>
      <c r="BA111" s="236">
        <f ca="1" t="shared" si="40"/>
        <v>5.09075165953544</v>
      </c>
      <c r="BB111" s="236">
        <f ca="1" t="shared" si="41"/>
        <v>2.69722956543029</v>
      </c>
      <c r="BC111" s="236">
        <f ca="1" t="shared" si="42"/>
        <v>9.30484003909421</v>
      </c>
      <c r="BD111" s="236">
        <f ca="1" t="shared" si="43"/>
        <v>11.4693791976818</v>
      </c>
    </row>
    <row r="112" s="234" customFormat="1" ht="0.2" customHeight="1" spans="7:56">
      <c r="G112" s="236"/>
      <c r="H112" s="236">
        <f t="shared" si="44"/>
        <v>471</v>
      </c>
      <c r="I112" s="236">
        <f>IF($H112&gt;$H111,INDEX(Spectra!112:112,1,MATCH($I$20,Spectra!$20:$20,0)),I111)</f>
        <v>6.36435280141837</v>
      </c>
      <c r="J112" s="236">
        <f>((Physics!$C$9*Physics!$C$10)/(Physics!$C$11*Physics!$C$12*$H112))^($J$17-$J$18)</f>
        <v>2.37173280260554e+18</v>
      </c>
      <c r="K112" s="236">
        <f t="shared" si="45"/>
        <v>1</v>
      </c>
      <c r="L112" s="236">
        <f ca="1">INDEX(Photobiology!$21:$421,1+$H112-380,10)</f>
        <v>0.09491755</v>
      </c>
      <c r="M112" s="236">
        <f ca="1" t="shared" si="46"/>
        <v>6.36435280141837</v>
      </c>
      <c r="N112" s="236">
        <f ca="1">INDEX(Photobiology!$21:$421,1+$H112-380,N$14)</f>
        <v>0.490905615443493</v>
      </c>
      <c r="O112" s="236">
        <f ca="1">INDEX(Photobiology!$21:$421,1+$H112-380,O$14)</f>
        <v>0.392257268698538</v>
      </c>
      <c r="P112" s="236">
        <f ca="1">INDEX(Photobiology!$21:$421,1+$H112-380,P$14)</f>
        <v>0.208596972045947</v>
      </c>
      <c r="Q112" s="236">
        <f ca="1">INDEX(Photobiology!$21:$421,1+$H112-380,Q$14)</f>
        <v>0.709759149956019</v>
      </c>
      <c r="R112" s="236">
        <f ca="1">INDEX(Photobiology!$21:$421,1+$H112-380,R$14)</f>
        <v>0.872404706760567</v>
      </c>
      <c r="S112" s="236">
        <f ca="1" t="shared" si="47"/>
        <v>1.50945443064784e+19</v>
      </c>
      <c r="T112" s="236">
        <f ca="1">INDEX(Photobiology!$21:$421,1+$H112-380,T$14)</f>
        <v>0.458595479395195</v>
      </c>
      <c r="U112" s="236">
        <f ca="1">INDEX(Photobiology!$21:$421,1+$H112-380,U$14)</f>
        <v>0.452246649431326</v>
      </c>
      <c r="V112" s="236">
        <f ca="1">INDEX(Photobiology!$21:$421,1+$H112-380,V$14)</f>
        <v>0.252121656431337</v>
      </c>
      <c r="W112" s="236">
        <f ca="1">INDEX(Photobiology!$21:$421,1+$H112-380,W$14)</f>
        <v>0.768128369196241</v>
      </c>
      <c r="X112" s="236">
        <f ca="1">INDEX(Photobiology!$21:$421,1+$H112-380,X$14)</f>
        <v>0.905332381078954</v>
      </c>
      <c r="Y112" s="236">
        <f ca="1" t="shared" si="34"/>
        <v>6.36435280141837</v>
      </c>
      <c r="Z112" s="236">
        <f ca="1" t="shared" si="48"/>
        <v>3.1242965288798</v>
      </c>
      <c r="AA112" s="236">
        <f ca="1" t="shared" si="35"/>
        <v>2.49646364691826</v>
      </c>
      <c r="AB112" s="236">
        <f ca="1" t="shared" si="36"/>
        <v>1.32758472340801</v>
      </c>
      <c r="AC112" s="236">
        <f ca="1" t="shared" si="37"/>
        <v>4.51715763435491</v>
      </c>
      <c r="AD112" s="236">
        <f ca="1" t="shared" si="38"/>
        <v>5.55229133944219</v>
      </c>
      <c r="AE112" s="236"/>
      <c r="AF112" s="236"/>
      <c r="AG112" s="236"/>
      <c r="AH112" s="236">
        <f t="shared" si="49"/>
        <v>471</v>
      </c>
      <c r="AI112" s="236">
        <f>IF($AH112&gt;$AH111,INDEX(Spectra!112:112,1,MATCH($AI$20,Spectra!$20:$20,0)),AI111)</f>
        <v>1</v>
      </c>
      <c r="AJ112" s="236">
        <f>((Physics!$C$9*Physics!$C$10)/(Physics!$C$11*Physics!$C$12*$AH112))^($AJ$17-$AJ$18)</f>
        <v>2.37173280260554e+18</v>
      </c>
      <c r="AK112" s="236">
        <f t="shared" si="50"/>
        <v>1</v>
      </c>
      <c r="AL112" s="236">
        <f ca="1">INDEX(Photobiology!$21:$421,1+$AH112-380,10)</f>
        <v>0.09491755</v>
      </c>
      <c r="AM112" s="236">
        <f ca="1" t="shared" si="51"/>
        <v>13.3319879209511</v>
      </c>
      <c r="AN112" s="236">
        <f ca="1">INDEX(Photobiology!$21:$421,1+$AH112-380,AN$14)</f>
        <v>0.490905615443493</v>
      </c>
      <c r="AO112" s="236">
        <f ca="1">INDEX(Photobiology!$21:$421,1+$AH112-380,AO$14)</f>
        <v>0.392257268698538</v>
      </c>
      <c r="AP112" s="236">
        <f ca="1">INDEX(Photobiology!$21:$421,1+$AH112-380,AP$14)</f>
        <v>0.208596972045947</v>
      </c>
      <c r="AQ112" s="236">
        <f ca="1">INDEX(Photobiology!$21:$421,1+$AH112-380,AQ$14)</f>
        <v>0.709759149956019</v>
      </c>
      <c r="AR112" s="236">
        <f ca="1">INDEX(Photobiology!$21:$421,1+$AH112-380,AR$14)</f>
        <v>0.872404706760567</v>
      </c>
      <c r="AS112" s="236">
        <f ca="1" t="shared" si="52"/>
        <v>3.16199130760607e+19</v>
      </c>
      <c r="AT112" s="236">
        <f ca="1">INDEX(Photobiology!$21:$421,1+$AH112-380,AT$14)</f>
        <v>0.458595479395195</v>
      </c>
      <c r="AU112" s="236">
        <f ca="1">INDEX(Photobiology!$21:$421,1+$AH112-380,AU$14)</f>
        <v>0.452246649431326</v>
      </c>
      <c r="AV112" s="236">
        <f ca="1">INDEX(Photobiology!$21:$421,1+$AH112-380,AV$14)</f>
        <v>0.252121656431337</v>
      </c>
      <c r="AW112" s="236">
        <f ca="1">INDEX(Photobiology!$21:$421,1+$AH112-380,AW$14)</f>
        <v>0.768128369196241</v>
      </c>
      <c r="AX112" s="236">
        <f ca="1">INDEX(Photobiology!$21:$421,1+$AH112-380,AX$14)</f>
        <v>0.905332381078954</v>
      </c>
      <c r="AY112" s="236">
        <f ca="1" t="shared" si="39"/>
        <v>13.3319879209511</v>
      </c>
      <c r="AZ112" s="236">
        <f ca="1" t="shared" si="53"/>
        <v>6.54474773541973</v>
      </c>
      <c r="BA112" s="236">
        <f ca="1" t="shared" si="40"/>
        <v>5.22956916819419</v>
      </c>
      <c r="BB112" s="236">
        <f ca="1" t="shared" si="41"/>
        <v>2.78101231166355</v>
      </c>
      <c r="BC112" s="236">
        <f ca="1" t="shared" si="42"/>
        <v>9.46250041399819</v>
      </c>
      <c r="BD112" s="236">
        <f ca="1" t="shared" si="43"/>
        <v>11.6308890127128</v>
      </c>
    </row>
    <row r="113" s="234" customFormat="1" ht="0.2" customHeight="1" spans="7:56">
      <c r="G113" s="236"/>
      <c r="H113" s="236">
        <f t="shared" si="44"/>
        <v>472</v>
      </c>
      <c r="I113" s="236">
        <f>IF($H113&gt;$H112,INDEX(Spectra!113:113,1,MATCH($I$20,Spectra!$20:$20,0)),I112)</f>
        <v>6.09283931958187</v>
      </c>
      <c r="J113" s="236">
        <f>((Physics!$C$9*Physics!$C$10)/(Physics!$C$11*Physics!$C$12*$H113))^($J$17-$J$18)</f>
        <v>2.37676832872573e+18</v>
      </c>
      <c r="K113" s="236">
        <f t="shared" si="45"/>
        <v>1</v>
      </c>
      <c r="L113" s="236">
        <f ca="1">INDEX(Photobiology!$21:$421,1+$H113-380,10)</f>
        <v>0.09904584</v>
      </c>
      <c r="M113" s="236">
        <f ca="1" t="shared" si="46"/>
        <v>6.09283931958187</v>
      </c>
      <c r="N113" s="236">
        <f ca="1">INDEX(Photobiology!$21:$421,1+$H113-380,N$14)</f>
        <v>0.46491654316969</v>
      </c>
      <c r="O113" s="236">
        <f ca="1">INDEX(Photobiology!$21:$421,1+$H113-380,O$14)</f>
        <v>0.402829252076416</v>
      </c>
      <c r="P113" s="236">
        <f ca="1">INDEX(Photobiology!$21:$421,1+$H113-380,P$14)</f>
        <v>0.21508493868653</v>
      </c>
      <c r="Q113" s="236">
        <f ca="1">INDEX(Photobiology!$21:$421,1+$H113-380,Q$14)</f>
        <v>0.721550945313899</v>
      </c>
      <c r="R113" s="236">
        <f ca="1">INDEX(Photobiology!$21:$421,1+$H113-380,R$14)</f>
        <v>0.884229500185674</v>
      </c>
      <c r="S113" s="236">
        <f ca="1" t="shared" si="47"/>
        <v>1.4481267526797e+19</v>
      </c>
      <c r="T113" s="236">
        <f ca="1">INDEX(Photobiology!$21:$421,1+$H113-380,T$14)</f>
        <v>0.433396777531067</v>
      </c>
      <c r="U113" s="236">
        <f ca="1">INDEX(Photobiology!$21:$421,1+$H113-380,U$14)</f>
        <v>0.463451472622232</v>
      </c>
      <c r="V113" s="236">
        <f ca="1">INDEX(Photobiology!$21:$421,1+$H113-380,V$14)</f>
        <v>0.2594125962745</v>
      </c>
      <c r="W113" s="236">
        <f ca="1">INDEX(Photobiology!$21:$421,1+$H113-380,W$14)</f>
        <v>0.779235471237323</v>
      </c>
      <c r="X113" s="236">
        <f ca="1">INDEX(Photobiology!$21:$421,1+$H113-380,X$14)</f>
        <v>0.91565940932744</v>
      </c>
      <c r="Y113" s="236">
        <f ca="1" t="shared" si="34"/>
        <v>6.09283931958187</v>
      </c>
      <c r="Z113" s="236">
        <f ca="1" t="shared" si="48"/>
        <v>2.83266179454837</v>
      </c>
      <c r="AA113" s="236">
        <f ca="1" t="shared" si="35"/>
        <v>2.45437390612894</v>
      </c>
      <c r="AB113" s="236">
        <f ca="1" t="shared" si="36"/>
        <v>1.31047797147915</v>
      </c>
      <c r="AC113" s="236">
        <f ca="1" t="shared" si="37"/>
        <v>4.39629397068999</v>
      </c>
      <c r="AD113" s="236">
        <f ca="1" t="shared" si="38"/>
        <v>5.3874682662655</v>
      </c>
      <c r="AE113" s="236"/>
      <c r="AF113" s="236"/>
      <c r="AG113" s="236"/>
      <c r="AH113" s="236">
        <f t="shared" si="49"/>
        <v>472</v>
      </c>
      <c r="AI113" s="236">
        <f>IF($AH113&gt;$AH112,INDEX(Spectra!113:113,1,MATCH($AI$20,Spectra!$20:$20,0)),AI112)</f>
        <v>1</v>
      </c>
      <c r="AJ113" s="236">
        <f>((Physics!$C$9*Physics!$C$10)/(Physics!$C$11*Physics!$C$12*$AH113))^($AJ$17-$AJ$18)</f>
        <v>2.37676832872573e+18</v>
      </c>
      <c r="AK113" s="236">
        <f t="shared" si="50"/>
        <v>1</v>
      </c>
      <c r="AL113" s="236">
        <f ca="1">INDEX(Photobiology!$21:$421,1+$AH113-380,10)</f>
        <v>0.09904584</v>
      </c>
      <c r="AM113" s="236">
        <f ca="1" t="shared" si="51"/>
        <v>13.3319879209511</v>
      </c>
      <c r="AN113" s="236">
        <f ca="1">INDEX(Photobiology!$21:$421,1+$AH113-380,AN$14)</f>
        <v>0.46491654316969</v>
      </c>
      <c r="AO113" s="236">
        <f ca="1">INDEX(Photobiology!$21:$421,1+$AH113-380,AO$14)</f>
        <v>0.402829252076416</v>
      </c>
      <c r="AP113" s="236">
        <f ca="1">INDEX(Photobiology!$21:$421,1+$AH113-380,AP$14)</f>
        <v>0.21508493868653</v>
      </c>
      <c r="AQ113" s="236">
        <f ca="1">INDEX(Photobiology!$21:$421,1+$AH113-380,AQ$14)</f>
        <v>0.721550945313899</v>
      </c>
      <c r="AR113" s="236">
        <f ca="1">INDEX(Photobiology!$21:$421,1+$AH113-380,AR$14)</f>
        <v>0.884229500185674</v>
      </c>
      <c r="AS113" s="236">
        <f ca="1" t="shared" si="52"/>
        <v>3.16870466494706e+19</v>
      </c>
      <c r="AT113" s="236">
        <f ca="1">INDEX(Photobiology!$21:$421,1+$AH113-380,AT$14)</f>
        <v>0.433396777531067</v>
      </c>
      <c r="AU113" s="236">
        <f ca="1">INDEX(Photobiology!$21:$421,1+$AH113-380,AU$14)</f>
        <v>0.463451472622232</v>
      </c>
      <c r="AV113" s="236">
        <f ca="1">INDEX(Photobiology!$21:$421,1+$AH113-380,AV$14)</f>
        <v>0.2594125962745</v>
      </c>
      <c r="AW113" s="236">
        <f ca="1">INDEX(Photobiology!$21:$421,1+$AH113-380,AW$14)</f>
        <v>0.779235471237323</v>
      </c>
      <c r="AX113" s="236">
        <f ca="1">INDEX(Photobiology!$21:$421,1+$AH113-380,AX$14)</f>
        <v>0.91565940932744</v>
      </c>
      <c r="AY113" s="236">
        <f ca="1" t="shared" si="39"/>
        <v>13.3319879209511</v>
      </c>
      <c r="AZ113" s="236">
        <f ca="1" t="shared" si="53"/>
        <v>6.19826173778867</v>
      </c>
      <c r="BA113" s="236">
        <f ca="1" t="shared" si="40"/>
        <v>5.37051472288856</v>
      </c>
      <c r="BB113" s="236">
        <f ca="1" t="shared" si="41"/>
        <v>2.86750980454733</v>
      </c>
      <c r="BC113" s="236">
        <f ca="1" t="shared" si="42"/>
        <v>9.61970848727578</v>
      </c>
      <c r="BD113" s="236">
        <f ca="1" t="shared" si="43"/>
        <v>11.7885370158241</v>
      </c>
    </row>
    <row r="114" s="234" customFormat="1" ht="0.2" customHeight="1" spans="7:56">
      <c r="G114" s="236"/>
      <c r="H114" s="236">
        <f t="shared" si="44"/>
        <v>473</v>
      </c>
      <c r="I114" s="236">
        <f>IF($H114&gt;$H113,INDEX(Spectra!114:114,1,MATCH($I$20,Spectra!$20:$20,0)),I113)</f>
        <v>5.80279544592525</v>
      </c>
      <c r="J114" s="236">
        <f>((Physics!$C$9*Physics!$C$10)/(Physics!$C$11*Physics!$C$12*$H114))^($J$17-$J$18)</f>
        <v>2.38180385484591e+18</v>
      </c>
      <c r="K114" s="236">
        <f t="shared" si="45"/>
        <v>1</v>
      </c>
      <c r="L114" s="236">
        <f ca="1">INDEX(Photobiology!$21:$421,1+$H114-380,10)</f>
        <v>0.1033674</v>
      </c>
      <c r="M114" s="236">
        <f ca="1" t="shared" si="46"/>
        <v>5.80279544592525</v>
      </c>
      <c r="N114" s="236">
        <f ca="1">INDEX(Photobiology!$21:$421,1+$H114-380,N$14)</f>
        <v>0.439424229606703</v>
      </c>
      <c r="O114" s="236">
        <f ca="1">INDEX(Photobiology!$21:$421,1+$H114-380,O$14)</f>
        <v>0.413554737237864</v>
      </c>
      <c r="P114" s="236">
        <f ca="1">INDEX(Photobiology!$21:$421,1+$H114-380,P$14)</f>
        <v>0.221778274391186</v>
      </c>
      <c r="Q114" s="236">
        <f ca="1">INDEX(Photobiology!$21:$421,1+$H114-380,Q$14)</f>
        <v>0.733305597358699</v>
      </c>
      <c r="R114" s="236">
        <f ca="1">INDEX(Photobiology!$21:$421,1+$H114-380,R$14)</f>
        <v>0.895740065130865</v>
      </c>
      <c r="S114" s="236">
        <f ca="1" t="shared" si="47"/>
        <v>1.38211205619871e+19</v>
      </c>
      <c r="T114" s="236">
        <f ca="1">INDEX(Photobiology!$21:$421,1+$H114-380,T$14)</f>
        <v>0.408766725215538</v>
      </c>
      <c r="U114" s="236">
        <f ca="1">INDEX(Photobiology!$21:$421,1+$H114-380,U$14)</f>
        <v>0.474785147195638</v>
      </c>
      <c r="V114" s="236">
        <f ca="1">INDEX(Photobiology!$21:$421,1+$H114-380,V$14)</f>
        <v>0.266919878293508</v>
      </c>
      <c r="W114" s="236">
        <f ca="1">INDEX(Photobiology!$21:$421,1+$H114-380,W$14)</f>
        <v>0.790255580850472</v>
      </c>
      <c r="X114" s="236">
        <f ca="1">INDEX(Photobiology!$21:$421,1+$H114-380,X$14)</f>
        <v>0.925618061717852</v>
      </c>
      <c r="Y114" s="236">
        <f ca="1" t="shared" si="34"/>
        <v>5.80279544592525</v>
      </c>
      <c r="Z114" s="236">
        <f ca="1" t="shared" si="48"/>
        <v>2.54988891839099</v>
      </c>
      <c r="AA114" s="236">
        <f ca="1" t="shared" si="35"/>
        <v>2.39977354588469</v>
      </c>
      <c r="AB114" s="236">
        <f ca="1" t="shared" si="36"/>
        <v>1.28693396064233</v>
      </c>
      <c r="AC114" s="236">
        <f ca="1" t="shared" si="37"/>
        <v>4.25522238082455</v>
      </c>
      <c r="AD114" s="236">
        <f ca="1" t="shared" si="38"/>
        <v>5.19779637067417</v>
      </c>
      <c r="AE114" s="236"/>
      <c r="AF114" s="236"/>
      <c r="AG114" s="236"/>
      <c r="AH114" s="236">
        <f t="shared" si="49"/>
        <v>473</v>
      </c>
      <c r="AI114" s="236">
        <f>IF($AH114&gt;$AH113,INDEX(Spectra!114:114,1,MATCH($AI$20,Spectra!$20:$20,0)),AI113)</f>
        <v>1</v>
      </c>
      <c r="AJ114" s="236">
        <f>((Physics!$C$9*Physics!$C$10)/(Physics!$C$11*Physics!$C$12*$AH114))^($AJ$17-$AJ$18)</f>
        <v>2.38180385484591e+18</v>
      </c>
      <c r="AK114" s="236">
        <f t="shared" si="50"/>
        <v>1</v>
      </c>
      <c r="AL114" s="236">
        <f ca="1">INDEX(Photobiology!$21:$421,1+$AH114-380,10)</f>
        <v>0.1033674</v>
      </c>
      <c r="AM114" s="236">
        <f ca="1" t="shared" si="51"/>
        <v>13.3319879209511</v>
      </c>
      <c r="AN114" s="236">
        <f ca="1">INDEX(Photobiology!$21:$421,1+$AH114-380,AN$14)</f>
        <v>0.439424229606703</v>
      </c>
      <c r="AO114" s="236">
        <f ca="1">INDEX(Photobiology!$21:$421,1+$AH114-380,AO$14)</f>
        <v>0.413554737237864</v>
      </c>
      <c r="AP114" s="236">
        <f ca="1">INDEX(Photobiology!$21:$421,1+$AH114-380,AP$14)</f>
        <v>0.221778274391186</v>
      </c>
      <c r="AQ114" s="236">
        <f ca="1">INDEX(Photobiology!$21:$421,1+$AH114-380,AQ$14)</f>
        <v>0.733305597358699</v>
      </c>
      <c r="AR114" s="236">
        <f ca="1">INDEX(Photobiology!$21:$421,1+$AH114-380,AR$14)</f>
        <v>0.895740065130865</v>
      </c>
      <c r="AS114" s="236">
        <f ca="1" t="shared" si="52"/>
        <v>3.17541802228805e+19</v>
      </c>
      <c r="AT114" s="236">
        <f ca="1">INDEX(Photobiology!$21:$421,1+$AH114-380,AT$14)</f>
        <v>0.408766725215538</v>
      </c>
      <c r="AU114" s="236">
        <f ca="1">INDEX(Photobiology!$21:$421,1+$AH114-380,AU$14)</f>
        <v>0.474785147195638</v>
      </c>
      <c r="AV114" s="236">
        <f ca="1">INDEX(Photobiology!$21:$421,1+$AH114-380,AV$14)</f>
        <v>0.266919878293508</v>
      </c>
      <c r="AW114" s="236">
        <f ca="1">INDEX(Photobiology!$21:$421,1+$AH114-380,AW$14)</f>
        <v>0.790255580850472</v>
      </c>
      <c r="AX114" s="236">
        <f ca="1">INDEX(Photobiology!$21:$421,1+$AH114-380,AX$14)</f>
        <v>0.925618061717852</v>
      </c>
      <c r="AY114" s="236">
        <f ca="1" t="shared" si="39"/>
        <v>13.3319879209511</v>
      </c>
      <c r="AZ114" s="236">
        <f ca="1" t="shared" si="53"/>
        <v>5.85839852128983</v>
      </c>
      <c r="BA114" s="236">
        <f ca="1" t="shared" si="40"/>
        <v>5.51350676150733</v>
      </c>
      <c r="BB114" s="236">
        <f ca="1" t="shared" si="41"/>
        <v>2.95674527531268</v>
      </c>
      <c r="BC114" s="236">
        <f ca="1" t="shared" si="42"/>
        <v>9.77642136635204</v>
      </c>
      <c r="BD114" s="236">
        <f ca="1" t="shared" si="43"/>
        <v>11.9419957286367</v>
      </c>
    </row>
    <row r="115" s="234" customFormat="1" ht="0.2" customHeight="1" spans="7:56">
      <c r="G115" s="236"/>
      <c r="H115" s="236">
        <f t="shared" si="44"/>
        <v>474</v>
      </c>
      <c r="I115" s="236">
        <f>IF($H115&gt;$H114,INDEX(Spectra!115:115,1,MATCH($I$20,Spectra!$20:$20,0)),I114)</f>
        <v>5.51008184005896</v>
      </c>
      <c r="J115" s="236">
        <f>((Physics!$C$9*Physics!$C$10)/(Physics!$C$11*Physics!$C$12*$H115))^($J$17-$J$18)</f>
        <v>2.38683938096609e+18</v>
      </c>
      <c r="K115" s="236">
        <f t="shared" si="45"/>
        <v>1</v>
      </c>
      <c r="L115" s="236">
        <f ca="1">INDEX(Photobiology!$21:$421,1+$H115-380,10)</f>
        <v>0.1078846</v>
      </c>
      <c r="M115" s="236">
        <f ca="1" t="shared" si="46"/>
        <v>5.51008184005896</v>
      </c>
      <c r="N115" s="236">
        <f ca="1">INDEX(Photobiology!$21:$421,1+$H115-380,N$14)</f>
        <v>0.414505216054957</v>
      </c>
      <c r="O115" s="236">
        <f ca="1">INDEX(Photobiology!$21:$421,1+$H115-380,O$14)</f>
        <v>0.424427973537665</v>
      </c>
      <c r="P115" s="236">
        <f ca="1">INDEX(Photobiology!$21:$421,1+$H115-380,P$14)</f>
        <v>0.228676744047114</v>
      </c>
      <c r="Q115" s="236">
        <f ca="1">INDEX(Photobiology!$21:$421,1+$H115-380,Q$14)</f>
        <v>0.745014971103988</v>
      </c>
      <c r="R115" s="236">
        <f ca="1">INDEX(Photobiology!$21:$421,1+$H115-380,R$14)</f>
        <v>0.906915866606049</v>
      </c>
      <c r="S115" s="236">
        <f ca="1" t="shared" si="47"/>
        <v>1.31516803281988e+19</v>
      </c>
      <c r="T115" s="236">
        <f ca="1">INDEX(Photobiology!$21:$421,1+$H115-380,T$14)</f>
        <v>0.384772774397006</v>
      </c>
      <c r="U115" s="236">
        <f ca="1">INDEX(Photobiology!$21:$421,1+$H115-380,U$14)</f>
        <v>0.486240269486167</v>
      </c>
      <c r="V115" s="236">
        <f ca="1">INDEX(Photobiology!$21:$421,1+$H115-380,V$14)</f>
        <v>0.274641850862499</v>
      </c>
      <c r="W115" s="236">
        <f ca="1">INDEX(Photobiology!$21:$421,1+$H115-380,W$14)</f>
        <v>0.801180500350168</v>
      </c>
      <c r="X115" s="236">
        <f ca="1">INDEX(Photobiology!$21:$421,1+$H115-380,X$14)</f>
        <v>0.93518949456265</v>
      </c>
      <c r="Y115" s="236">
        <f ca="1" t="shared" si="34"/>
        <v>5.51008184005896</v>
      </c>
      <c r="Z115" s="236">
        <f ca="1" t="shared" si="48"/>
        <v>2.28395766359413</v>
      </c>
      <c r="AA115" s="236">
        <f ca="1" t="shared" si="35"/>
        <v>2.33863286940291</v>
      </c>
      <c r="AB115" s="236">
        <f ca="1" t="shared" si="36"/>
        <v>1.26002757461781</v>
      </c>
      <c r="AC115" s="236">
        <f ca="1" t="shared" si="37"/>
        <v>4.10509346285213</v>
      </c>
      <c r="AD115" s="236">
        <f ca="1" t="shared" si="38"/>
        <v>4.99718064704732</v>
      </c>
      <c r="AE115" s="236"/>
      <c r="AF115" s="236"/>
      <c r="AG115" s="236"/>
      <c r="AH115" s="236">
        <f t="shared" si="49"/>
        <v>474</v>
      </c>
      <c r="AI115" s="236">
        <f>IF($AH115&gt;$AH114,INDEX(Spectra!115:115,1,MATCH($AI$20,Spectra!$20:$20,0)),AI114)</f>
        <v>1</v>
      </c>
      <c r="AJ115" s="236">
        <f>((Physics!$C$9*Physics!$C$10)/(Physics!$C$11*Physics!$C$12*$AH115))^($AJ$17-$AJ$18)</f>
        <v>2.38683938096609e+18</v>
      </c>
      <c r="AK115" s="236">
        <f t="shared" si="50"/>
        <v>1</v>
      </c>
      <c r="AL115" s="236">
        <f ca="1">INDEX(Photobiology!$21:$421,1+$AH115-380,10)</f>
        <v>0.1078846</v>
      </c>
      <c r="AM115" s="236">
        <f ca="1" t="shared" si="51"/>
        <v>13.3319879209511</v>
      </c>
      <c r="AN115" s="236">
        <f ca="1">INDEX(Photobiology!$21:$421,1+$AH115-380,AN$14)</f>
        <v>0.414505216054957</v>
      </c>
      <c r="AO115" s="236">
        <f ca="1">INDEX(Photobiology!$21:$421,1+$AH115-380,AO$14)</f>
        <v>0.424427973537665</v>
      </c>
      <c r="AP115" s="236">
        <f ca="1">INDEX(Photobiology!$21:$421,1+$AH115-380,AP$14)</f>
        <v>0.228676744047114</v>
      </c>
      <c r="AQ115" s="236">
        <f ca="1">INDEX(Photobiology!$21:$421,1+$AH115-380,AQ$14)</f>
        <v>0.745014971103988</v>
      </c>
      <c r="AR115" s="236">
        <f ca="1">INDEX(Photobiology!$21:$421,1+$AH115-380,AR$14)</f>
        <v>0.906915866606049</v>
      </c>
      <c r="AS115" s="236">
        <f ca="1" t="shared" si="52"/>
        <v>3.18213137962904e+19</v>
      </c>
      <c r="AT115" s="236">
        <f ca="1">INDEX(Photobiology!$21:$421,1+$AH115-380,AT$14)</f>
        <v>0.384772774397006</v>
      </c>
      <c r="AU115" s="236">
        <f ca="1">INDEX(Photobiology!$21:$421,1+$AH115-380,AU$14)</f>
        <v>0.486240269486167</v>
      </c>
      <c r="AV115" s="236">
        <f ca="1">INDEX(Photobiology!$21:$421,1+$AH115-380,AV$14)</f>
        <v>0.274641850862499</v>
      </c>
      <c r="AW115" s="236">
        <f ca="1">INDEX(Photobiology!$21:$421,1+$AH115-380,AW$14)</f>
        <v>0.801180500350168</v>
      </c>
      <c r="AX115" s="236">
        <f ca="1">INDEX(Photobiology!$21:$421,1+$AH115-380,AX$14)</f>
        <v>0.93518949456265</v>
      </c>
      <c r="AY115" s="236">
        <f ca="1" t="shared" si="39"/>
        <v>13.3319879209511</v>
      </c>
      <c r="AZ115" s="236">
        <f ca="1" t="shared" si="53"/>
        <v>5.52617853361593</v>
      </c>
      <c r="BA115" s="236">
        <f ca="1" t="shared" si="40"/>
        <v>5.65846861651792</v>
      </c>
      <c r="BB115" s="236">
        <f ca="1" t="shared" si="41"/>
        <v>3.04871558943856</v>
      </c>
      <c r="BC115" s="236">
        <f ca="1" t="shared" si="42"/>
        <v>9.93253059568613</v>
      </c>
      <c r="BD115" s="236">
        <f ca="1" t="shared" si="43"/>
        <v>12.0909913789108</v>
      </c>
    </row>
    <row r="116" s="234" customFormat="1" ht="0.2" customHeight="1" spans="7:56">
      <c r="G116" s="236"/>
      <c r="H116" s="236">
        <f t="shared" si="44"/>
        <v>475</v>
      </c>
      <c r="I116" s="236">
        <f>IF($H116&gt;$H115,INDEX(Spectra!116:116,1,MATCH($I$20,Spectra!$20:$20,0)),I115)</f>
        <v>5.21613721989162</v>
      </c>
      <c r="J116" s="236">
        <f>((Physics!$C$9*Physics!$C$10)/(Physics!$C$11*Physics!$C$12*$H116))^($J$17-$J$18)</f>
        <v>2.39187490708627e+18</v>
      </c>
      <c r="K116" s="236">
        <f t="shared" si="45"/>
        <v>1</v>
      </c>
      <c r="L116" s="236">
        <f ca="1">INDEX(Photobiology!$21:$421,1+$H116-380,10)</f>
        <v>0.1126</v>
      </c>
      <c r="M116" s="236">
        <f ca="1" t="shared" si="46"/>
        <v>5.21613721989162</v>
      </c>
      <c r="N116" s="236">
        <f ca="1">INDEX(Photobiology!$21:$421,1+$H116-380,N$14)</f>
        <v>0.390224919772631</v>
      </c>
      <c r="O116" s="236">
        <f ca="1">INDEX(Photobiology!$21:$421,1+$H116-380,O$14)</f>
        <v>0.43544669635854</v>
      </c>
      <c r="P116" s="236">
        <f ca="1">INDEX(Photobiology!$21:$421,1+$H116-380,P$14)</f>
        <v>0.235780562794596</v>
      </c>
      <c r="Q116" s="236">
        <f ca="1">INDEX(Photobiology!$21:$421,1+$H116-380,Q$14)</f>
        <v>0.756672586164253</v>
      </c>
      <c r="R116" s="236">
        <f ca="1">INDEX(Photobiology!$21:$421,1+$H116-380,R$14)</f>
        <v>0.917734376892116</v>
      </c>
      <c r="S116" s="236">
        <f ca="1" t="shared" si="47"/>
        <v>1.24763477281775e+19</v>
      </c>
      <c r="T116" s="236">
        <f ca="1">INDEX(Photobiology!$21:$421,1+$H116-380,T$14)</f>
        <v>0.36147150463149</v>
      </c>
      <c r="U116" s="236">
        <f ca="1">INDEX(Photobiology!$21:$421,1+$H116-380,U$14)</f>
        <v>0.497813483488859</v>
      </c>
      <c r="V116" s="236">
        <f ca="1">INDEX(Photobiology!$21:$421,1+$H116-380,V$14)</f>
        <v>0.282577415881685</v>
      </c>
      <c r="W116" s="236">
        <f ca="1">INDEX(Photobiology!$21:$421,1+$H116-380,W$14)</f>
        <v>0.812003876676784</v>
      </c>
      <c r="X116" s="236">
        <f ca="1">INDEX(Photobiology!$21:$421,1+$H116-380,X$14)</f>
        <v>0.944352972330484</v>
      </c>
      <c r="Y116" s="236">
        <f ca="1" t="shared" si="34"/>
        <v>5.21613721989162</v>
      </c>
      <c r="Z116" s="236">
        <f ca="1" t="shared" si="48"/>
        <v>2.03546672815524</v>
      </c>
      <c r="AA116" s="236">
        <f ca="1" t="shared" si="35"/>
        <v>2.27134972015463</v>
      </c>
      <c r="AB116" s="236">
        <f ca="1" t="shared" si="36"/>
        <v>1.22986376931989</v>
      </c>
      <c r="AC116" s="236">
        <f ca="1" t="shared" si="37"/>
        <v>3.94690803996301</v>
      </c>
      <c r="AD116" s="236">
        <f ca="1" t="shared" si="38"/>
        <v>4.78702844128101</v>
      </c>
      <c r="AE116" s="236"/>
      <c r="AF116" s="236"/>
      <c r="AG116" s="236"/>
      <c r="AH116" s="236">
        <f t="shared" si="49"/>
        <v>475</v>
      </c>
      <c r="AI116" s="236">
        <f>IF($AH116&gt;$AH115,INDEX(Spectra!116:116,1,MATCH($AI$20,Spectra!$20:$20,0)),AI115)</f>
        <v>1</v>
      </c>
      <c r="AJ116" s="236">
        <f>((Physics!$C$9*Physics!$C$10)/(Physics!$C$11*Physics!$C$12*$AH116))^($AJ$17-$AJ$18)</f>
        <v>2.39187490708627e+18</v>
      </c>
      <c r="AK116" s="236">
        <f t="shared" si="50"/>
        <v>1</v>
      </c>
      <c r="AL116" s="236">
        <f ca="1">INDEX(Photobiology!$21:$421,1+$AH116-380,10)</f>
        <v>0.1126</v>
      </c>
      <c r="AM116" s="236">
        <f ca="1" t="shared" si="51"/>
        <v>13.3319879209511</v>
      </c>
      <c r="AN116" s="236">
        <f ca="1">INDEX(Photobiology!$21:$421,1+$AH116-380,AN$14)</f>
        <v>0.390224919772631</v>
      </c>
      <c r="AO116" s="236">
        <f ca="1">INDEX(Photobiology!$21:$421,1+$AH116-380,AO$14)</f>
        <v>0.43544669635854</v>
      </c>
      <c r="AP116" s="236">
        <f ca="1">INDEX(Photobiology!$21:$421,1+$AH116-380,AP$14)</f>
        <v>0.235780562794596</v>
      </c>
      <c r="AQ116" s="236">
        <f ca="1">INDEX(Photobiology!$21:$421,1+$AH116-380,AQ$14)</f>
        <v>0.756672586164253</v>
      </c>
      <c r="AR116" s="236">
        <f ca="1">INDEX(Photobiology!$21:$421,1+$AH116-380,AR$14)</f>
        <v>0.917734376892116</v>
      </c>
      <c r="AS116" s="236">
        <f ca="1" t="shared" si="52"/>
        <v>3.18884473697003e+19</v>
      </c>
      <c r="AT116" s="236">
        <f ca="1">INDEX(Photobiology!$21:$421,1+$AH116-380,AT$14)</f>
        <v>0.36147150463149</v>
      </c>
      <c r="AU116" s="236">
        <f ca="1">INDEX(Photobiology!$21:$421,1+$AH116-380,AU$14)</f>
        <v>0.497813483488859</v>
      </c>
      <c r="AV116" s="236">
        <f ca="1">INDEX(Photobiology!$21:$421,1+$AH116-380,AV$14)</f>
        <v>0.282577415881685</v>
      </c>
      <c r="AW116" s="236">
        <f ca="1">INDEX(Photobiology!$21:$421,1+$AH116-380,AW$14)</f>
        <v>0.812003876676784</v>
      </c>
      <c r="AX116" s="236">
        <f ca="1">INDEX(Photobiology!$21:$421,1+$AH116-380,AX$14)</f>
        <v>0.944352972330484</v>
      </c>
      <c r="AY116" s="236">
        <f ca="1" t="shared" si="39"/>
        <v>13.3319879209511</v>
      </c>
      <c r="AZ116" s="236">
        <f ca="1" t="shared" si="53"/>
        <v>5.20247391686284</v>
      </c>
      <c r="BA116" s="236">
        <f ca="1" t="shared" si="40"/>
        <v>5.80537009607013</v>
      </c>
      <c r="BB116" s="236">
        <f ca="1" t="shared" si="41"/>
        <v>3.14342361517262</v>
      </c>
      <c r="BC116" s="236">
        <f ca="1" t="shared" si="42"/>
        <v>10.0879497788567</v>
      </c>
      <c r="BD116" s="236">
        <f ca="1" t="shared" si="43"/>
        <v>12.2352236273673</v>
      </c>
    </row>
    <row r="117" s="234" customFormat="1" ht="0.2" customHeight="1" spans="7:56">
      <c r="G117" s="236"/>
      <c r="H117" s="236">
        <f t="shared" si="44"/>
        <v>476</v>
      </c>
      <c r="I117" s="236">
        <f>IF($H117&gt;$H116,INDEX(Spectra!117:117,1,MATCH($I$20,Spectra!$20:$20,0)),I116)</f>
        <v>4.94696467848443</v>
      </c>
      <c r="J117" s="236">
        <f>((Physics!$C$9*Physics!$C$10)/(Physics!$C$11*Physics!$C$12*$H117))^($J$17-$J$18)</f>
        <v>2.39691043320645e+18</v>
      </c>
      <c r="K117" s="236">
        <f t="shared" si="45"/>
        <v>1</v>
      </c>
      <c r="L117" s="236">
        <f ca="1">INDEX(Photobiology!$21:$421,1+$H117-380,10)</f>
        <v>0.117532</v>
      </c>
      <c r="M117" s="236">
        <f ca="1" t="shared" si="46"/>
        <v>4.94696467848443</v>
      </c>
      <c r="N117" s="236">
        <f ca="1">INDEX(Photobiology!$21:$421,1+$H117-380,N$14)</f>
        <v>0.366646041086794</v>
      </c>
      <c r="O117" s="236">
        <f ca="1">INDEX(Photobiology!$21:$421,1+$H117-380,O$14)</f>
        <v>0.446603374250327</v>
      </c>
      <c r="P117" s="236">
        <f ca="1">INDEX(Photobiology!$21:$421,1+$H117-380,P$14)</f>
        <v>0.243090507329718</v>
      </c>
      <c r="Q117" s="236">
        <f ca="1">INDEX(Photobiology!$21:$421,1+$H117-380,Q$14)</f>
        <v>0.768271990395513</v>
      </c>
      <c r="R117" s="236">
        <f ca="1">INDEX(Photobiology!$21:$421,1+$H117-380,R$14)</f>
        <v>0.928168873297389</v>
      </c>
      <c r="S117" s="236">
        <f ca="1" t="shared" si="47"/>
        <v>1.18574312505631e+19</v>
      </c>
      <c r="T117" s="236">
        <f ca="1">INDEX(Photobiology!$21:$421,1+$H117-380,T$14)</f>
        <v>0.338916508567625</v>
      </c>
      <c r="U117" s="236">
        <f ca="1">INDEX(Photobiology!$21:$421,1+$H117-380,U$14)</f>
        <v>0.509495452875779</v>
      </c>
      <c r="V117" s="236">
        <f ca="1">INDEX(Photobiology!$21:$421,1+$H117-380,V$14)</f>
        <v>0.29072615607644</v>
      </c>
      <c r="W117" s="236">
        <f ca="1">INDEX(Photobiology!$21:$421,1+$H117-380,W$14)</f>
        <v>0.822719440400759</v>
      </c>
      <c r="X117" s="236">
        <f ca="1">INDEX(Photobiology!$21:$421,1+$H117-380,X$14)</f>
        <v>0.953083626160332</v>
      </c>
      <c r="Y117" s="236">
        <f ca="1" t="shared" si="34"/>
        <v>4.94696467848443</v>
      </c>
      <c r="Z117" s="236">
        <f ca="1" t="shared" si="48"/>
        <v>1.81378501476252</v>
      </c>
      <c r="AA117" s="236">
        <f ca="1" t="shared" si="35"/>
        <v>2.20933111770833</v>
      </c>
      <c r="AB117" s="236">
        <f ca="1" t="shared" si="36"/>
        <v>1.20256015343498</v>
      </c>
      <c r="AC117" s="236">
        <f ca="1" t="shared" si="37"/>
        <v>3.80061439995553</v>
      </c>
      <c r="AD117" s="236">
        <f ca="1" t="shared" si="38"/>
        <v>4.59161863187087</v>
      </c>
      <c r="AE117" s="236"/>
      <c r="AF117" s="236"/>
      <c r="AG117" s="236"/>
      <c r="AH117" s="236">
        <f t="shared" si="49"/>
        <v>476</v>
      </c>
      <c r="AI117" s="236">
        <f>IF($AH117&gt;$AH116,INDEX(Spectra!117:117,1,MATCH($AI$20,Spectra!$20:$20,0)),AI116)</f>
        <v>1</v>
      </c>
      <c r="AJ117" s="236">
        <f>((Physics!$C$9*Physics!$C$10)/(Physics!$C$11*Physics!$C$12*$AH117))^($AJ$17-$AJ$18)</f>
        <v>2.39691043320645e+18</v>
      </c>
      <c r="AK117" s="236">
        <f t="shared" si="50"/>
        <v>1</v>
      </c>
      <c r="AL117" s="236">
        <f ca="1">INDEX(Photobiology!$21:$421,1+$AH117-380,10)</f>
        <v>0.117532</v>
      </c>
      <c r="AM117" s="236">
        <f ca="1" t="shared" si="51"/>
        <v>13.3319879209511</v>
      </c>
      <c r="AN117" s="236">
        <f ca="1">INDEX(Photobiology!$21:$421,1+$AH117-380,AN$14)</f>
        <v>0.366646041086794</v>
      </c>
      <c r="AO117" s="236">
        <f ca="1">INDEX(Photobiology!$21:$421,1+$AH117-380,AO$14)</f>
        <v>0.446603374250327</v>
      </c>
      <c r="AP117" s="236">
        <f ca="1">INDEX(Photobiology!$21:$421,1+$AH117-380,AP$14)</f>
        <v>0.243090507329718</v>
      </c>
      <c r="AQ117" s="236">
        <f ca="1">INDEX(Photobiology!$21:$421,1+$AH117-380,AQ$14)</f>
        <v>0.768271990395513</v>
      </c>
      <c r="AR117" s="236">
        <f ca="1">INDEX(Photobiology!$21:$421,1+$AH117-380,AR$14)</f>
        <v>0.928168873297389</v>
      </c>
      <c r="AS117" s="236">
        <f ca="1" t="shared" si="52"/>
        <v>3.19555809431102e+19</v>
      </c>
      <c r="AT117" s="236">
        <f ca="1">INDEX(Photobiology!$21:$421,1+$AH117-380,AT$14)</f>
        <v>0.338916508567625</v>
      </c>
      <c r="AU117" s="236">
        <f ca="1">INDEX(Photobiology!$21:$421,1+$AH117-380,AU$14)</f>
        <v>0.509495452875779</v>
      </c>
      <c r="AV117" s="236">
        <f ca="1">INDEX(Photobiology!$21:$421,1+$AH117-380,AV$14)</f>
        <v>0.29072615607644</v>
      </c>
      <c r="AW117" s="236">
        <f ca="1">INDEX(Photobiology!$21:$421,1+$AH117-380,AW$14)</f>
        <v>0.822719440400759</v>
      </c>
      <c r="AX117" s="236">
        <f ca="1">INDEX(Photobiology!$21:$421,1+$AH117-380,AX$14)</f>
        <v>0.953083626160332</v>
      </c>
      <c r="AY117" s="236">
        <f ca="1" t="shared" si="39"/>
        <v>13.3319879209511</v>
      </c>
      <c r="AZ117" s="236">
        <f ca="1" t="shared" si="53"/>
        <v>4.88812059103369</v>
      </c>
      <c r="BA117" s="236">
        <f ca="1" t="shared" si="40"/>
        <v>5.95411079096138</v>
      </c>
      <c r="BB117" s="236">
        <f ca="1" t="shared" si="41"/>
        <v>3.24087970741768</v>
      </c>
      <c r="BC117" s="236">
        <f ca="1" t="shared" si="42"/>
        <v>10.2425928959581</v>
      </c>
      <c r="BD117" s="236">
        <f ca="1" t="shared" si="43"/>
        <v>12.3743362074036</v>
      </c>
    </row>
    <row r="118" s="234" customFormat="1" ht="0.2" customHeight="1" spans="7:56">
      <c r="G118" s="236"/>
      <c r="H118" s="236">
        <f t="shared" si="44"/>
        <v>477</v>
      </c>
      <c r="I118" s="236">
        <f>IF($H118&gt;$H117,INDEX(Spectra!118:118,1,MATCH($I$20,Spectra!$20:$20,0)),I117)</f>
        <v>4.7080347802498</v>
      </c>
      <c r="J118" s="236">
        <f>((Physics!$C$9*Physics!$C$10)/(Physics!$C$11*Physics!$C$12*$H118))^($J$17-$J$18)</f>
        <v>2.40194595932663e+18</v>
      </c>
      <c r="K118" s="236">
        <f t="shared" si="45"/>
        <v>1</v>
      </c>
      <c r="L118" s="236">
        <f ca="1">INDEX(Photobiology!$21:$421,1+$H118-380,10)</f>
        <v>0.1226744</v>
      </c>
      <c r="M118" s="236">
        <f ca="1" t="shared" si="46"/>
        <v>4.7080347802498</v>
      </c>
      <c r="N118" s="236">
        <f ca="1">INDEX(Photobiology!$21:$421,1+$H118-380,N$14)</f>
        <v>0.343823850740512</v>
      </c>
      <c r="O118" s="236">
        <f ca="1">INDEX(Photobiology!$21:$421,1+$H118-380,O$14)</f>
        <v>0.457892995425473</v>
      </c>
      <c r="P118" s="236">
        <f ca="1">INDEX(Photobiology!$21:$421,1+$H118-380,P$14)</f>
        <v>0.250605731880197</v>
      </c>
      <c r="Q118" s="236">
        <f ca="1">INDEX(Photobiology!$21:$421,1+$H118-380,Q$14)</f>
        <v>0.779804972175817</v>
      </c>
      <c r="R118" s="236">
        <f ca="1">INDEX(Photobiology!$21:$421,1+$H118-380,R$14)</f>
        <v>0.938196913797383</v>
      </c>
      <c r="S118" s="236">
        <f ca="1" t="shared" si="47"/>
        <v>1.13084451167902e+19</v>
      </c>
      <c r="T118" s="236">
        <f ca="1">INDEX(Photobiology!$21:$421,1+$H118-380,T$14)</f>
        <v>0.31715407615477</v>
      </c>
      <c r="U118" s="236">
        <f ca="1">INDEX(Photobiology!$21:$421,1+$H118-380,U$14)</f>
        <v>0.521279788074213</v>
      </c>
      <c r="V118" s="236">
        <f ca="1">INDEX(Photobiology!$21:$421,1+$H118-380,V$14)</f>
        <v>0.29908572133441</v>
      </c>
      <c r="W118" s="236">
        <f ca="1">INDEX(Photobiology!$21:$421,1+$H118-380,W$14)</f>
        <v>0.833319094444205</v>
      </c>
      <c r="X118" s="236">
        <f ca="1">INDEX(Photobiology!$21:$421,1+$H118-380,X$14)</f>
        <v>0.961361182092794</v>
      </c>
      <c r="Y118" s="236">
        <f ca="1" t="shared" si="34"/>
        <v>4.7080347802498</v>
      </c>
      <c r="Z118" s="236">
        <f ca="1" t="shared" si="48"/>
        <v>1.61873464756575</v>
      </c>
      <c r="AA118" s="236">
        <f ca="1" t="shared" si="35"/>
        <v>2.15577614809589</v>
      </c>
      <c r="AB118" s="236">
        <f ca="1" t="shared" si="36"/>
        <v>1.17986050182192</v>
      </c>
      <c r="AC118" s="236">
        <f ca="1" t="shared" si="37"/>
        <v>3.67134893081547</v>
      </c>
      <c r="AD118" s="236">
        <f ca="1" t="shared" si="38"/>
        <v>4.4170637008811</v>
      </c>
      <c r="AE118" s="236"/>
      <c r="AF118" s="236"/>
      <c r="AG118" s="236"/>
      <c r="AH118" s="236">
        <f t="shared" si="49"/>
        <v>477</v>
      </c>
      <c r="AI118" s="236">
        <f>IF($AH118&gt;$AH117,INDEX(Spectra!118:118,1,MATCH($AI$20,Spectra!$20:$20,0)),AI117)</f>
        <v>1</v>
      </c>
      <c r="AJ118" s="236">
        <f>((Physics!$C$9*Physics!$C$10)/(Physics!$C$11*Physics!$C$12*$AH118))^($AJ$17-$AJ$18)</f>
        <v>2.40194595932663e+18</v>
      </c>
      <c r="AK118" s="236">
        <f t="shared" si="50"/>
        <v>1</v>
      </c>
      <c r="AL118" s="236">
        <f ca="1">INDEX(Photobiology!$21:$421,1+$AH118-380,10)</f>
        <v>0.1226744</v>
      </c>
      <c r="AM118" s="236">
        <f ca="1" t="shared" si="51"/>
        <v>13.3319879209511</v>
      </c>
      <c r="AN118" s="236">
        <f ca="1">INDEX(Photobiology!$21:$421,1+$AH118-380,AN$14)</f>
        <v>0.343823850740512</v>
      </c>
      <c r="AO118" s="236">
        <f ca="1">INDEX(Photobiology!$21:$421,1+$AH118-380,AO$14)</f>
        <v>0.457892995425473</v>
      </c>
      <c r="AP118" s="236">
        <f ca="1">INDEX(Photobiology!$21:$421,1+$AH118-380,AP$14)</f>
        <v>0.250605731880197</v>
      </c>
      <c r="AQ118" s="236">
        <f ca="1">INDEX(Photobiology!$21:$421,1+$AH118-380,AQ$14)</f>
        <v>0.779804972175817</v>
      </c>
      <c r="AR118" s="236">
        <f ca="1">INDEX(Photobiology!$21:$421,1+$AH118-380,AR$14)</f>
        <v>0.938196913797383</v>
      </c>
      <c r="AS118" s="236">
        <f ca="1" t="shared" si="52"/>
        <v>3.20227145165201e+19</v>
      </c>
      <c r="AT118" s="236">
        <f ca="1">INDEX(Photobiology!$21:$421,1+$AH118-380,AT$14)</f>
        <v>0.31715407615477</v>
      </c>
      <c r="AU118" s="236">
        <f ca="1">INDEX(Photobiology!$21:$421,1+$AH118-380,AU$14)</f>
        <v>0.521279788074213</v>
      </c>
      <c r="AV118" s="236">
        <f ca="1">INDEX(Photobiology!$21:$421,1+$AH118-380,AV$14)</f>
        <v>0.29908572133441</v>
      </c>
      <c r="AW118" s="236">
        <f ca="1">INDEX(Photobiology!$21:$421,1+$AH118-380,AW$14)</f>
        <v>0.833319094444205</v>
      </c>
      <c r="AX118" s="236">
        <f ca="1">INDEX(Photobiology!$21:$421,1+$AH118-380,AX$14)</f>
        <v>0.961361182092794</v>
      </c>
      <c r="AY118" s="236">
        <f ca="1" t="shared" si="39"/>
        <v>13.3319879209511</v>
      </c>
      <c r="AZ118" s="236">
        <f ca="1" t="shared" si="53"/>
        <v>4.58385542500741</v>
      </c>
      <c r="BA118" s="236">
        <f ca="1" t="shared" si="40"/>
        <v>6.10462388410054</v>
      </c>
      <c r="BB118" s="236">
        <f ca="1" t="shared" si="41"/>
        <v>3.34107259034791</v>
      </c>
      <c r="BC118" s="236">
        <f ca="1" t="shared" si="42"/>
        <v>10.3963504697456</v>
      </c>
      <c r="BD118" s="236">
        <f ca="1" t="shared" si="43"/>
        <v>12.5080299222203</v>
      </c>
    </row>
    <row r="119" s="234" customFormat="1" ht="0.2" customHeight="1" spans="7:56">
      <c r="G119" s="236"/>
      <c r="H119" s="236">
        <f t="shared" si="44"/>
        <v>478</v>
      </c>
      <c r="I119" s="236">
        <f>IF($H119&gt;$H118,INDEX(Spectra!119:119,1,MATCH($I$20,Spectra!$20:$20,0)),I118)</f>
        <v>4.48231194791477</v>
      </c>
      <c r="J119" s="236">
        <f>((Physics!$C$9*Physics!$C$10)/(Physics!$C$11*Physics!$C$12*$H119))^($J$17-$J$18)</f>
        <v>2.40698148544682e+18</v>
      </c>
      <c r="K119" s="236">
        <f t="shared" si="45"/>
        <v>1</v>
      </c>
      <c r="L119" s="236">
        <f ca="1">INDEX(Photobiology!$21:$421,1+$H119-380,10)</f>
        <v>0.1279928</v>
      </c>
      <c r="M119" s="236">
        <f ca="1" t="shared" si="46"/>
        <v>4.48231194791477</v>
      </c>
      <c r="N119" s="236">
        <f ca="1">INDEX(Photobiology!$21:$421,1+$H119-380,N$14)</f>
        <v>0.321805898365846</v>
      </c>
      <c r="O119" s="236">
        <f ca="1">INDEX(Photobiology!$21:$421,1+$H119-380,O$14)</f>
        <v>0.469311287886988</v>
      </c>
      <c r="P119" s="236">
        <f ca="1">INDEX(Photobiology!$21:$421,1+$H119-380,P$14)</f>
        <v>0.258326523884836</v>
      </c>
      <c r="Q119" s="236">
        <f ca="1">INDEX(Photobiology!$21:$421,1+$H119-380,Q$14)</f>
        <v>0.791266902090284</v>
      </c>
      <c r="R119" s="236">
        <f ca="1">INDEX(Photobiology!$21:$421,1+$H119-380,R$14)</f>
        <v>0.947794098042365</v>
      </c>
      <c r="S119" s="236">
        <f ca="1" t="shared" si="47"/>
        <v>1.07888418706279e+19</v>
      </c>
      <c r="T119" s="236">
        <f ca="1">INDEX(Photobiology!$21:$421,1+$H119-380,T$14)</f>
        <v>0.296223002679858</v>
      </c>
      <c r="U119" s="236">
        <f ca="1">INDEX(Photobiology!$21:$421,1+$H119-380,U$14)</f>
        <v>0.533160993419596</v>
      </c>
      <c r="V119" s="236">
        <f ca="1">INDEX(Photobiology!$21:$421,1+$H119-380,V$14)</f>
        <v>0.307655130812271</v>
      </c>
      <c r="W119" s="236">
        <f ca="1">INDEX(Photobiology!$21:$421,1+$H119-380,W$14)</f>
        <v>0.843798629514823</v>
      </c>
      <c r="X119" s="236">
        <f ca="1">INDEX(Photobiology!$21:$421,1+$H119-380,X$14)</f>
        <v>0.969163533346418</v>
      </c>
      <c r="Y119" s="236">
        <f ca="1" t="shared" si="34"/>
        <v>4.48231194791477</v>
      </c>
      <c r="Z119" s="236">
        <f ca="1" t="shared" si="48"/>
        <v>1.44243442315468</v>
      </c>
      <c r="AA119" s="236">
        <f ca="1" t="shared" si="35"/>
        <v>2.10359959298711</v>
      </c>
      <c r="AB119" s="236">
        <f ca="1" t="shared" si="36"/>
        <v>1.15790006447229</v>
      </c>
      <c r="AC119" s="236">
        <f ca="1" t="shared" si="37"/>
        <v>3.54670508922879</v>
      </c>
      <c r="AD119" s="236">
        <f ca="1" t="shared" si="38"/>
        <v>4.2483088098184</v>
      </c>
      <c r="AE119" s="236"/>
      <c r="AF119" s="236"/>
      <c r="AG119" s="236"/>
      <c r="AH119" s="236">
        <f t="shared" si="49"/>
        <v>478</v>
      </c>
      <c r="AI119" s="236">
        <f>IF($AH119&gt;$AH118,INDEX(Spectra!119:119,1,MATCH($AI$20,Spectra!$20:$20,0)),AI118)</f>
        <v>1</v>
      </c>
      <c r="AJ119" s="236">
        <f>((Physics!$C$9*Physics!$C$10)/(Physics!$C$11*Physics!$C$12*$AH119))^($AJ$17-$AJ$18)</f>
        <v>2.40698148544682e+18</v>
      </c>
      <c r="AK119" s="236">
        <f t="shared" si="50"/>
        <v>1</v>
      </c>
      <c r="AL119" s="236">
        <f ca="1">INDEX(Photobiology!$21:$421,1+$AH119-380,10)</f>
        <v>0.1279928</v>
      </c>
      <c r="AM119" s="236">
        <f ca="1" t="shared" si="51"/>
        <v>13.3319879209511</v>
      </c>
      <c r="AN119" s="236">
        <f ca="1">INDEX(Photobiology!$21:$421,1+$AH119-380,AN$14)</f>
        <v>0.321805898365846</v>
      </c>
      <c r="AO119" s="236">
        <f ca="1">INDEX(Photobiology!$21:$421,1+$AH119-380,AO$14)</f>
        <v>0.469311287886988</v>
      </c>
      <c r="AP119" s="236">
        <f ca="1">INDEX(Photobiology!$21:$421,1+$AH119-380,AP$14)</f>
        <v>0.258326523884836</v>
      </c>
      <c r="AQ119" s="236">
        <f ca="1">INDEX(Photobiology!$21:$421,1+$AH119-380,AQ$14)</f>
        <v>0.791266902090284</v>
      </c>
      <c r="AR119" s="236">
        <f ca="1">INDEX(Photobiology!$21:$421,1+$AH119-380,AR$14)</f>
        <v>0.947794098042365</v>
      </c>
      <c r="AS119" s="236">
        <f ca="1" t="shared" si="52"/>
        <v>3.208984808993e+19</v>
      </c>
      <c r="AT119" s="236">
        <f ca="1">INDEX(Photobiology!$21:$421,1+$AH119-380,AT$14)</f>
        <v>0.296223002679858</v>
      </c>
      <c r="AU119" s="236">
        <f ca="1">INDEX(Photobiology!$21:$421,1+$AH119-380,AU$14)</f>
        <v>0.533160993419596</v>
      </c>
      <c r="AV119" s="236">
        <f ca="1">INDEX(Photobiology!$21:$421,1+$AH119-380,AV$14)</f>
        <v>0.307655130812271</v>
      </c>
      <c r="AW119" s="236">
        <f ca="1">INDEX(Photobiology!$21:$421,1+$AH119-380,AW$14)</f>
        <v>0.843798629514823</v>
      </c>
      <c r="AX119" s="236">
        <f ca="1">INDEX(Photobiology!$21:$421,1+$AH119-380,AX$14)</f>
        <v>0.969163533346418</v>
      </c>
      <c r="AY119" s="236">
        <f ca="1" t="shared" si="39"/>
        <v>13.3319879209511</v>
      </c>
      <c r="AZ119" s="236">
        <f ca="1" t="shared" si="53"/>
        <v>4.29031234990429</v>
      </c>
      <c r="BA119" s="236">
        <f ca="1" t="shared" si="40"/>
        <v>6.25685242127535</v>
      </c>
      <c r="BB119" s="236">
        <f ca="1" t="shared" si="41"/>
        <v>3.44400609609393</v>
      </c>
      <c r="BC119" s="236">
        <f ca="1" t="shared" si="42"/>
        <v>10.5491607809161</v>
      </c>
      <c r="BD119" s="236">
        <f ca="1" t="shared" si="43"/>
        <v>12.6359794666496</v>
      </c>
    </row>
    <row r="120" s="234" customFormat="1" ht="0.2" customHeight="1" spans="7:56">
      <c r="G120" s="236"/>
      <c r="H120" s="236">
        <f t="shared" si="44"/>
        <v>479</v>
      </c>
      <c r="I120" s="236">
        <f>IF($H120&gt;$H119,INDEX(Spectra!120:120,1,MATCH($I$20,Spectra!$20:$20,0)),I119)</f>
        <v>4.29295243964893</v>
      </c>
      <c r="J120" s="236">
        <f>((Physics!$C$9*Physics!$C$10)/(Physics!$C$11*Physics!$C$12*$H120))^($J$17-$J$18)</f>
        <v>2.412017011567e+18</v>
      </c>
      <c r="K120" s="236">
        <f t="shared" si="45"/>
        <v>1</v>
      </c>
      <c r="L120" s="236">
        <f ca="1">INDEX(Photobiology!$21:$421,1+$H120-380,10)</f>
        <v>0.1334528</v>
      </c>
      <c r="M120" s="236">
        <f ca="1" t="shared" si="46"/>
        <v>4.29295243964893</v>
      </c>
      <c r="N120" s="236">
        <f ca="1">INDEX(Photobiology!$21:$421,1+$H120-380,N$14)</f>
        <v>0.30063324181579</v>
      </c>
      <c r="O120" s="236">
        <f ca="1">INDEX(Photobiology!$21:$421,1+$H120-380,O$14)</f>
        <v>0.480852634715475</v>
      </c>
      <c r="P120" s="236">
        <f ca="1">INDEX(Photobiology!$21:$421,1+$H120-380,P$14)</f>
        <v>0.266251461272959</v>
      </c>
      <c r="Q120" s="236">
        <f ca="1">INDEX(Photobiology!$21:$421,1+$H120-380,Q$14)</f>
        <v>0.802649611829083</v>
      </c>
      <c r="R120" s="236">
        <f ca="1">INDEX(Photobiology!$21:$421,1+$H120-380,R$14)</f>
        <v>0.956938439023276</v>
      </c>
      <c r="S120" s="236">
        <f ca="1" t="shared" si="47"/>
        <v>1.03546743142813e+19</v>
      </c>
      <c r="T120" s="236">
        <f ca="1">INDEX(Photobiology!$21:$421,1+$H120-380,T$14)</f>
        <v>0.276155796239974</v>
      </c>
      <c r="U120" s="236">
        <f ca="1">INDEX(Photobiology!$21:$421,1+$H120-380,U$14)</f>
        <v>0.545132094431116</v>
      </c>
      <c r="V120" s="236">
        <f ca="1">INDEX(Photobiology!$21:$421,1+$H120-380,V$14)</f>
        <v>0.316431380159902</v>
      </c>
      <c r="W120" s="236">
        <f ca="1">INDEX(Photobiology!$21:$421,1+$H120-380,W$14)</f>
        <v>0.85415010550953</v>
      </c>
      <c r="X120" s="236">
        <f ca="1">INDEX(Photobiology!$21:$421,1+$H120-380,X$14)</f>
        <v>0.97647122034869</v>
      </c>
      <c r="Y120" s="236">
        <f ca="1" t="shared" si="34"/>
        <v>4.29295243964893</v>
      </c>
      <c r="Z120" s="236">
        <f ca="1" t="shared" si="48"/>
        <v>1.29060420889266</v>
      </c>
      <c r="AA120" s="236">
        <f ca="1" t="shared" si="35"/>
        <v>2.06427749131341</v>
      </c>
      <c r="AB120" s="236">
        <f ca="1" t="shared" si="36"/>
        <v>1.14300486023184</v>
      </c>
      <c r="AC120" s="236">
        <f ca="1" t="shared" si="37"/>
        <v>3.44573660928493</v>
      </c>
      <c r="AD120" s="236">
        <f ca="1" t="shared" si="38"/>
        <v>4.10809120639881</v>
      </c>
      <c r="AE120" s="236"/>
      <c r="AF120" s="236"/>
      <c r="AG120" s="236"/>
      <c r="AH120" s="236">
        <f t="shared" si="49"/>
        <v>479</v>
      </c>
      <c r="AI120" s="236">
        <f>IF($AH120&gt;$AH119,INDEX(Spectra!120:120,1,MATCH($AI$20,Spectra!$20:$20,0)),AI119)</f>
        <v>1</v>
      </c>
      <c r="AJ120" s="236">
        <f>((Physics!$C$9*Physics!$C$10)/(Physics!$C$11*Physics!$C$12*$AH120))^($AJ$17-$AJ$18)</f>
        <v>2.412017011567e+18</v>
      </c>
      <c r="AK120" s="236">
        <f t="shared" si="50"/>
        <v>1</v>
      </c>
      <c r="AL120" s="236">
        <f ca="1">INDEX(Photobiology!$21:$421,1+$AH120-380,10)</f>
        <v>0.1334528</v>
      </c>
      <c r="AM120" s="236">
        <f ca="1" t="shared" si="51"/>
        <v>13.3319879209511</v>
      </c>
      <c r="AN120" s="236">
        <f ca="1">INDEX(Photobiology!$21:$421,1+$AH120-380,AN$14)</f>
        <v>0.30063324181579</v>
      </c>
      <c r="AO120" s="236">
        <f ca="1">INDEX(Photobiology!$21:$421,1+$AH120-380,AO$14)</f>
        <v>0.480852634715475</v>
      </c>
      <c r="AP120" s="236">
        <f ca="1">INDEX(Photobiology!$21:$421,1+$AH120-380,AP$14)</f>
        <v>0.266251461272959</v>
      </c>
      <c r="AQ120" s="236">
        <f ca="1">INDEX(Photobiology!$21:$421,1+$AH120-380,AQ$14)</f>
        <v>0.802649611829083</v>
      </c>
      <c r="AR120" s="236">
        <f ca="1">INDEX(Photobiology!$21:$421,1+$AH120-380,AR$14)</f>
        <v>0.956938439023276</v>
      </c>
      <c r="AS120" s="236">
        <f ca="1" t="shared" si="52"/>
        <v>3.21569816633399e+19</v>
      </c>
      <c r="AT120" s="236">
        <f ca="1">INDEX(Photobiology!$21:$421,1+$AH120-380,AT$14)</f>
        <v>0.276155796239974</v>
      </c>
      <c r="AU120" s="236">
        <f ca="1">INDEX(Photobiology!$21:$421,1+$AH120-380,AU$14)</f>
        <v>0.545132094431116</v>
      </c>
      <c r="AV120" s="236">
        <f ca="1">INDEX(Photobiology!$21:$421,1+$AH120-380,AV$14)</f>
        <v>0.316431380159902</v>
      </c>
      <c r="AW120" s="236">
        <f ca="1">INDEX(Photobiology!$21:$421,1+$AH120-380,AW$14)</f>
        <v>0.85415010550953</v>
      </c>
      <c r="AX120" s="236">
        <f ca="1">INDEX(Photobiology!$21:$421,1+$AH120-380,AX$14)</f>
        <v>0.97647122034869</v>
      </c>
      <c r="AY120" s="236">
        <f ca="1" t="shared" si="39"/>
        <v>13.3319879209511</v>
      </c>
      <c r="AZ120" s="236">
        <f ca="1" t="shared" si="53"/>
        <v>4.0080387485245</v>
      </c>
      <c r="BA120" s="236">
        <f ca="1" t="shared" si="40"/>
        <v>6.41072151778424</v>
      </c>
      <c r="BB120" s="236">
        <f ca="1" t="shared" si="41"/>
        <v>3.54966126562668</v>
      </c>
      <c r="BC120" s="236">
        <f ca="1" t="shared" si="42"/>
        <v>10.7009149296615</v>
      </c>
      <c r="BD120" s="236">
        <f ca="1" t="shared" si="43"/>
        <v>12.7578917101522</v>
      </c>
    </row>
    <row r="121" s="234" customFormat="1" ht="0.2" customHeight="1" spans="7:56">
      <c r="G121" s="236"/>
      <c r="H121" s="236">
        <f t="shared" si="44"/>
        <v>480</v>
      </c>
      <c r="I121" s="236">
        <f>IF($H121&gt;$H120,INDEX(Spectra!121:121,1,MATCH($I$20,Spectra!$20:$20,0)),I120)</f>
        <v>4.15295195133414</v>
      </c>
      <c r="J121" s="236">
        <f>((Physics!$C$9*Physics!$C$10)/(Physics!$C$11*Physics!$C$12*$H121))^($J$17-$J$18)</f>
        <v>2.41705253768718e+18</v>
      </c>
      <c r="K121" s="236">
        <f t="shared" si="45"/>
        <v>1</v>
      </c>
      <c r="L121" s="236">
        <f ca="1">INDEX(Photobiology!$21:$421,1+$H121-380,10)</f>
        <v>0.13902</v>
      </c>
      <c r="M121" s="236">
        <f ca="1" t="shared" si="46"/>
        <v>4.15295195133414</v>
      </c>
      <c r="N121" s="236">
        <f ca="1">INDEX(Photobiology!$21:$421,1+$H121-380,N$14)</f>
        <v>0.280338018943724</v>
      </c>
      <c r="O121" s="236">
        <f ca="1">INDEX(Photobiology!$21:$421,1+$H121-380,O$14)</f>
        <v>0.492511074049308</v>
      </c>
      <c r="P121" s="236">
        <f ca="1">INDEX(Photobiology!$21:$421,1+$H121-380,P$14)</f>
        <v>0.274380346366361</v>
      </c>
      <c r="Q121" s="236">
        <f ca="1">INDEX(Photobiology!$21:$421,1+$H121-380,Q$14)</f>
        <v>0.813944888156495</v>
      </c>
      <c r="R121" s="236">
        <f ca="1">INDEX(Photobiology!$21:$421,1+$H121-380,R$14)</f>
        <v>0.965603875153901</v>
      </c>
      <c r="S121" s="236">
        <f ca="1" t="shared" si="47"/>
        <v>1.00379030528651e+19</v>
      </c>
      <c r="T121" s="236">
        <f ca="1">INDEX(Photobiology!$21:$421,1+$H121-380,T$14)</f>
        <v>0.25697651736508</v>
      </c>
      <c r="U121" s="236">
        <f ca="1">INDEX(Photobiology!$21:$421,1+$H121-380,U$14)</f>
        <v>0.557185784509883</v>
      </c>
      <c r="V121" s="236">
        <f ca="1">INDEX(Photobiology!$21:$421,1+$H121-380,V$14)</f>
        <v>0.325412942183312</v>
      </c>
      <c r="W121" s="236">
        <f ca="1">INDEX(Photobiology!$21:$421,1+$H121-380,W$14)</f>
        <v>0.8643656007839</v>
      </c>
      <c r="X121" s="236">
        <f ca="1">INDEX(Photobiology!$21:$421,1+$H121-380,X$14)</f>
        <v>0.983260796605798</v>
      </c>
      <c r="Y121" s="236">
        <f ca="1" t="shared" si="34"/>
        <v>4.15295195133414</v>
      </c>
      <c r="Z121" s="236">
        <f ca="1" t="shared" si="48"/>
        <v>1.16423032280549</v>
      </c>
      <c r="AA121" s="236">
        <f ca="1" t="shared" si="35"/>
        <v>2.04537482602675</v>
      </c>
      <c r="AB121" s="236">
        <f ca="1" t="shared" si="36"/>
        <v>1.13948839484992</v>
      </c>
      <c r="AC121" s="236">
        <f ca="1" t="shared" si="37"/>
        <v>3.38027401154796</v>
      </c>
      <c r="AD121" s="236">
        <f ca="1" t="shared" si="38"/>
        <v>4.0101064975362</v>
      </c>
      <c r="AE121" s="236"/>
      <c r="AF121" s="236"/>
      <c r="AG121" s="236"/>
      <c r="AH121" s="236">
        <f t="shared" si="49"/>
        <v>480</v>
      </c>
      <c r="AI121" s="236">
        <f>IF($AH121&gt;$AH120,INDEX(Spectra!121:121,1,MATCH($AI$20,Spectra!$20:$20,0)),AI120)</f>
        <v>1</v>
      </c>
      <c r="AJ121" s="236">
        <f>((Physics!$C$9*Physics!$C$10)/(Physics!$C$11*Physics!$C$12*$AH121))^($AJ$17-$AJ$18)</f>
        <v>2.41705253768718e+18</v>
      </c>
      <c r="AK121" s="236">
        <f t="shared" si="50"/>
        <v>1</v>
      </c>
      <c r="AL121" s="236">
        <f ca="1">INDEX(Photobiology!$21:$421,1+$AH121-380,10)</f>
        <v>0.13902</v>
      </c>
      <c r="AM121" s="236">
        <f ca="1" t="shared" si="51"/>
        <v>13.3319879209511</v>
      </c>
      <c r="AN121" s="236">
        <f ca="1">INDEX(Photobiology!$21:$421,1+$AH121-380,AN$14)</f>
        <v>0.280338018943724</v>
      </c>
      <c r="AO121" s="236">
        <f ca="1">INDEX(Photobiology!$21:$421,1+$AH121-380,AO$14)</f>
        <v>0.492511074049308</v>
      </c>
      <c r="AP121" s="236">
        <f ca="1">INDEX(Photobiology!$21:$421,1+$AH121-380,AP$14)</f>
        <v>0.274380346366361</v>
      </c>
      <c r="AQ121" s="236">
        <f ca="1">INDEX(Photobiology!$21:$421,1+$AH121-380,AQ$14)</f>
        <v>0.813944888156495</v>
      </c>
      <c r="AR121" s="236">
        <f ca="1">INDEX(Photobiology!$21:$421,1+$AH121-380,AR$14)</f>
        <v>0.965603875153901</v>
      </c>
      <c r="AS121" s="236">
        <f ca="1" t="shared" si="52"/>
        <v>3.22241152367498e+19</v>
      </c>
      <c r="AT121" s="236">
        <f ca="1">INDEX(Photobiology!$21:$421,1+$AH121-380,AT$14)</f>
        <v>0.25697651736508</v>
      </c>
      <c r="AU121" s="236">
        <f ca="1">INDEX(Photobiology!$21:$421,1+$AH121-380,AU$14)</f>
        <v>0.557185784509883</v>
      </c>
      <c r="AV121" s="236">
        <f ca="1">INDEX(Photobiology!$21:$421,1+$AH121-380,AV$14)</f>
        <v>0.325412942183312</v>
      </c>
      <c r="AW121" s="236">
        <f ca="1">INDEX(Photobiology!$21:$421,1+$AH121-380,AW$14)</f>
        <v>0.8643656007839</v>
      </c>
      <c r="AX121" s="236">
        <f ca="1">INDEX(Photobiology!$21:$421,1+$AH121-380,AX$14)</f>
        <v>0.983260796605798</v>
      </c>
      <c r="AY121" s="236">
        <f ca="1" t="shared" si="39"/>
        <v>13.3319879209511</v>
      </c>
      <c r="AZ121" s="236">
        <f ca="1" t="shared" si="53"/>
        <v>3.7374630823411</v>
      </c>
      <c r="BA121" s="236">
        <f ca="1" t="shared" si="40"/>
        <v>6.56615169016005</v>
      </c>
      <c r="BB121" s="236">
        <f ca="1" t="shared" si="41"/>
        <v>3.65803546350272</v>
      </c>
      <c r="BC121" s="236">
        <f ca="1" t="shared" si="42"/>
        <v>10.8515034172223</v>
      </c>
      <c r="BD121" s="236">
        <f ca="1" t="shared" si="43"/>
        <v>12.8734191999754</v>
      </c>
    </row>
    <row r="122" s="234" customFormat="1" ht="0.2" customHeight="1" spans="7:56">
      <c r="G122" s="236"/>
      <c r="H122" s="236">
        <f t="shared" si="44"/>
        <v>481</v>
      </c>
      <c r="I122" s="236">
        <f>IF($H122&gt;$H121,INDEX(Spectra!122:122,1,MATCH($I$20,Spectra!$20:$20,0)),I121)</f>
        <v>4.06028912734808</v>
      </c>
      <c r="J122" s="236">
        <f>((Physics!$C$9*Physics!$C$10)/(Physics!$C$11*Physics!$C$12*$H122))^($J$17-$J$18)</f>
        <v>2.42208806380736e+18</v>
      </c>
      <c r="K122" s="236">
        <f t="shared" si="45"/>
        <v>1</v>
      </c>
      <c r="L122" s="236">
        <f ca="1">INDEX(Photobiology!$21:$421,1+$H122-380,10)</f>
        <v>0.1446764</v>
      </c>
      <c r="M122" s="236">
        <f ca="1" t="shared" si="46"/>
        <v>4.06028912734808</v>
      </c>
      <c r="N122" s="236">
        <f ca="1">INDEX(Photobiology!$21:$421,1+$H122-380,N$14)</f>
        <v>0.260404209240256</v>
      </c>
      <c r="O122" s="236">
        <f ca="1">INDEX(Photobiology!$21:$421,1+$H122-380,O$14)</f>
        <v>0.503237504424369</v>
      </c>
      <c r="P122" s="236">
        <f ca="1">INDEX(Photobiology!$21:$421,1+$H122-380,P$14)</f>
        <v>0.282126577218297</v>
      </c>
      <c r="Q122" s="236">
        <f ca="1">INDEX(Photobiology!$21:$421,1+$H122-380,Q$14)</f>
        <v>0.823438180243268</v>
      </c>
      <c r="R122" s="236">
        <f ca="1">INDEX(Photobiology!$21:$421,1+$H122-380,R$14)</f>
        <v>0.971753245993047</v>
      </c>
      <c r="S122" s="236">
        <f ca="1" t="shared" si="47"/>
        <v>9.83437783095658e+18</v>
      </c>
      <c r="T122" s="236">
        <f ca="1">INDEX(Photobiology!$21:$421,1+$H122-380,T$14)</f>
        <v>0.238207592652209</v>
      </c>
      <c r="U122" s="236">
        <f ca="1">INDEX(Photobiology!$21:$421,1+$H122-380,U$14)</f>
        <v>0.568137150502369</v>
      </c>
      <c r="V122" s="236">
        <f ca="1">INDEX(Photobiology!$21:$421,1+$H122-380,V$14)</f>
        <v>0.333904277403561</v>
      </c>
      <c r="W122" s="236">
        <f ca="1">INDEX(Photobiology!$21:$421,1+$H122-380,W$14)</f>
        <v>0.872628988246655</v>
      </c>
      <c r="X122" s="236">
        <f ca="1">INDEX(Photobiology!$21:$421,1+$H122-380,X$14)</f>
        <v>0.987465394561154</v>
      </c>
      <c r="Y122" s="236">
        <f ca="1" t="shared" si="34"/>
        <v>4.06028912734808</v>
      </c>
      <c r="Z122" s="236">
        <f ca="1" t="shared" si="48"/>
        <v>1.05731637949389</v>
      </c>
      <c r="AA122" s="236">
        <f ca="1" t="shared" si="35"/>
        <v>2.04328976768805</v>
      </c>
      <c r="AB122" s="236">
        <f ca="1" t="shared" si="36"/>
        <v>1.14551547401538</v>
      </c>
      <c r="AC122" s="236">
        <f ca="1" t="shared" si="37"/>
        <v>3.34339709028503</v>
      </c>
      <c r="AD122" s="236">
        <f ca="1" t="shared" si="38"/>
        <v>3.94559913917077</v>
      </c>
      <c r="AE122" s="236"/>
      <c r="AF122" s="236"/>
      <c r="AG122" s="236"/>
      <c r="AH122" s="236">
        <f t="shared" si="49"/>
        <v>481</v>
      </c>
      <c r="AI122" s="236">
        <f>IF($AH122&gt;$AH121,INDEX(Spectra!122:122,1,MATCH($AI$20,Spectra!$20:$20,0)),AI121)</f>
        <v>1</v>
      </c>
      <c r="AJ122" s="236">
        <f>((Physics!$C$9*Physics!$C$10)/(Physics!$C$11*Physics!$C$12*$AH122))^($AJ$17-$AJ$18)</f>
        <v>2.42208806380736e+18</v>
      </c>
      <c r="AK122" s="236">
        <f t="shared" si="50"/>
        <v>1</v>
      </c>
      <c r="AL122" s="236">
        <f ca="1">INDEX(Photobiology!$21:$421,1+$AH122-380,10)</f>
        <v>0.1446764</v>
      </c>
      <c r="AM122" s="236">
        <f ca="1" t="shared" si="51"/>
        <v>13.3319879209511</v>
      </c>
      <c r="AN122" s="236">
        <f ca="1">INDEX(Photobiology!$21:$421,1+$AH122-380,AN$14)</f>
        <v>0.260404209240256</v>
      </c>
      <c r="AO122" s="236">
        <f ca="1">INDEX(Photobiology!$21:$421,1+$AH122-380,AO$14)</f>
        <v>0.503237504424369</v>
      </c>
      <c r="AP122" s="236">
        <f ca="1">INDEX(Photobiology!$21:$421,1+$AH122-380,AP$14)</f>
        <v>0.282126577218297</v>
      </c>
      <c r="AQ122" s="236">
        <f ca="1">INDEX(Photobiology!$21:$421,1+$AH122-380,AQ$14)</f>
        <v>0.823438180243268</v>
      </c>
      <c r="AR122" s="236">
        <f ca="1">INDEX(Photobiology!$21:$421,1+$AH122-380,AR$14)</f>
        <v>0.971753245993047</v>
      </c>
      <c r="AS122" s="236">
        <f ca="1" t="shared" si="52"/>
        <v>3.22912488101597e+19</v>
      </c>
      <c r="AT122" s="236">
        <f ca="1">INDEX(Photobiology!$21:$421,1+$AH122-380,AT$14)</f>
        <v>0.238207592652209</v>
      </c>
      <c r="AU122" s="236">
        <f ca="1">INDEX(Photobiology!$21:$421,1+$AH122-380,AU$14)</f>
        <v>0.568137150502369</v>
      </c>
      <c r="AV122" s="236">
        <f ca="1">INDEX(Photobiology!$21:$421,1+$AH122-380,AV$14)</f>
        <v>0.333904277403561</v>
      </c>
      <c r="AW122" s="236">
        <f ca="1">INDEX(Photobiology!$21:$421,1+$AH122-380,AW$14)</f>
        <v>0.872628988246655</v>
      </c>
      <c r="AX122" s="236">
        <f ca="1">INDEX(Photobiology!$21:$421,1+$AH122-380,AX$14)</f>
        <v>0.987465394561154</v>
      </c>
      <c r="AY122" s="236">
        <f ca="1" t="shared" si="39"/>
        <v>13.3319879209511</v>
      </c>
      <c r="AZ122" s="236">
        <f ca="1" t="shared" si="53"/>
        <v>3.47170577215593</v>
      </c>
      <c r="BA122" s="236">
        <f ca="1" t="shared" si="40"/>
        <v>6.70915633035528</v>
      </c>
      <c r="BB122" s="236">
        <f ca="1" t="shared" si="41"/>
        <v>3.76130811965362</v>
      </c>
      <c r="BC122" s="236">
        <f ca="1" t="shared" si="42"/>
        <v>10.9780678726532</v>
      </c>
      <c r="BD122" s="236">
        <f ca="1" t="shared" si="43"/>
        <v>12.9554025377244</v>
      </c>
    </row>
    <row r="123" s="234" customFormat="1" ht="0.2" customHeight="1" spans="7:56">
      <c r="G123" s="236"/>
      <c r="H123" s="236">
        <f t="shared" si="44"/>
        <v>482</v>
      </c>
      <c r="I123" s="236">
        <f>IF($H123&gt;$H122,INDEX(Spectra!123:123,1,MATCH($I$20,Spectra!$20:$20,0)),I122)</f>
        <v>4.02092791629221</v>
      </c>
      <c r="J123" s="236">
        <f>((Physics!$C$9*Physics!$C$10)/(Physics!$C$11*Physics!$C$12*$H123))^($J$17-$J$18)</f>
        <v>2.42712358992754e+18</v>
      </c>
      <c r="K123" s="236">
        <f t="shared" si="45"/>
        <v>1</v>
      </c>
      <c r="L123" s="236">
        <f ca="1">INDEX(Photobiology!$21:$421,1+$H123-380,10)</f>
        <v>0.1504693</v>
      </c>
      <c r="M123" s="236">
        <f ca="1" t="shared" si="46"/>
        <v>4.02092791629221</v>
      </c>
      <c r="N123" s="236">
        <f ca="1">INDEX(Photobiology!$21:$421,1+$H123-380,N$14)</f>
        <v>0.241467118736264</v>
      </c>
      <c r="O123" s="236">
        <f ca="1">INDEX(Photobiology!$21:$421,1+$H123-380,O$14)</f>
        <v>0.514023530279004</v>
      </c>
      <c r="P123" s="236">
        <f ca="1">INDEX(Photobiology!$21:$421,1+$H123-380,P$14)</f>
        <v>0.290040069151502</v>
      </c>
      <c r="Q123" s="236">
        <f ca="1">INDEX(Photobiology!$21:$421,1+$H123-380,Q$14)</f>
        <v>0.832789038147774</v>
      </c>
      <c r="R123" s="236">
        <f ca="1">INDEX(Photobiology!$21:$421,1+$H123-380,R$14)</f>
        <v>0.977347485597097</v>
      </c>
      <c r="S123" s="236">
        <f ca="1" t="shared" si="47"/>
        <v>9.75928899903101e+18</v>
      </c>
      <c r="T123" s="236">
        <f ca="1">INDEX(Photobiology!$21:$421,1+$H123-380,T$14)</f>
        <v>0.220426415443892</v>
      </c>
      <c r="U123" s="236">
        <f ca="1">INDEX(Photobiology!$21:$421,1+$H123-380,U$14)</f>
        <v>0.579110216720461</v>
      </c>
      <c r="V123" s="236">
        <f ca="1">INDEX(Photobiology!$21:$421,1+$H123-380,V$14)</f>
        <v>0.342557926086898</v>
      </c>
      <c r="W123" s="236">
        <f ca="1">INDEX(Photobiology!$21:$421,1+$H123-380,W$14)</f>
        <v>0.880707457994222</v>
      </c>
      <c r="X123" s="236">
        <f ca="1">INDEX(Photobiology!$21:$421,1+$H123-380,X$14)</f>
        <v>0.991089609320636</v>
      </c>
      <c r="Y123" s="236">
        <f ca="1" t="shared" si="34"/>
        <v>4.02092791629221</v>
      </c>
      <c r="Z123" s="236">
        <f ca="1" t="shared" si="48"/>
        <v>0.97092187859329</v>
      </c>
      <c r="AA123" s="236">
        <f ca="1" t="shared" si="35"/>
        <v>2.06685156252992</v>
      </c>
      <c r="AB123" s="236">
        <f ca="1" t="shared" si="36"/>
        <v>1.1662302108946</v>
      </c>
      <c r="AC123" s="236">
        <f ca="1" t="shared" si="37"/>
        <v>3.34858469187052</v>
      </c>
      <c r="AD123" s="236">
        <f ca="1" t="shared" si="38"/>
        <v>3.92984378875537</v>
      </c>
      <c r="AE123" s="236"/>
      <c r="AF123" s="236"/>
      <c r="AG123" s="236"/>
      <c r="AH123" s="236">
        <f t="shared" si="49"/>
        <v>482</v>
      </c>
      <c r="AI123" s="236">
        <f>IF($AH123&gt;$AH122,INDEX(Spectra!123:123,1,MATCH($AI$20,Spectra!$20:$20,0)),AI122)</f>
        <v>1</v>
      </c>
      <c r="AJ123" s="236">
        <f>((Physics!$C$9*Physics!$C$10)/(Physics!$C$11*Physics!$C$12*$AH123))^($AJ$17-$AJ$18)</f>
        <v>2.42712358992754e+18</v>
      </c>
      <c r="AK123" s="236">
        <f t="shared" si="50"/>
        <v>1</v>
      </c>
      <c r="AL123" s="236">
        <f ca="1">INDEX(Photobiology!$21:$421,1+$AH123-380,10)</f>
        <v>0.1504693</v>
      </c>
      <c r="AM123" s="236">
        <f ca="1" t="shared" si="51"/>
        <v>13.3319879209511</v>
      </c>
      <c r="AN123" s="236">
        <f ca="1">INDEX(Photobiology!$21:$421,1+$AH123-380,AN$14)</f>
        <v>0.241467118736264</v>
      </c>
      <c r="AO123" s="236">
        <f ca="1">INDEX(Photobiology!$21:$421,1+$AH123-380,AO$14)</f>
        <v>0.514023530279004</v>
      </c>
      <c r="AP123" s="236">
        <f ca="1">INDEX(Photobiology!$21:$421,1+$AH123-380,AP$14)</f>
        <v>0.290040069151502</v>
      </c>
      <c r="AQ123" s="236">
        <f ca="1">INDEX(Photobiology!$21:$421,1+$AH123-380,AQ$14)</f>
        <v>0.832789038147774</v>
      </c>
      <c r="AR123" s="236">
        <f ca="1">INDEX(Photobiology!$21:$421,1+$AH123-380,AR$14)</f>
        <v>0.977347485597097</v>
      </c>
      <c r="AS123" s="236">
        <f ca="1" t="shared" si="52"/>
        <v>3.23583823835696e+19</v>
      </c>
      <c r="AT123" s="236">
        <f ca="1">INDEX(Photobiology!$21:$421,1+$AH123-380,AT$14)</f>
        <v>0.220426415443892</v>
      </c>
      <c r="AU123" s="236">
        <f ca="1">INDEX(Photobiology!$21:$421,1+$AH123-380,AU$14)</f>
        <v>0.579110216720461</v>
      </c>
      <c r="AV123" s="236">
        <f ca="1">INDEX(Photobiology!$21:$421,1+$AH123-380,AV$14)</f>
        <v>0.342557926086898</v>
      </c>
      <c r="AW123" s="236">
        <f ca="1">INDEX(Photobiology!$21:$421,1+$AH123-380,AW$14)</f>
        <v>0.880707457994222</v>
      </c>
      <c r="AX123" s="236">
        <f ca="1">INDEX(Photobiology!$21:$421,1+$AH123-380,AX$14)</f>
        <v>0.991089609320636</v>
      </c>
      <c r="AY123" s="236">
        <f ca="1" t="shared" si="39"/>
        <v>13.3319879209511</v>
      </c>
      <c r="AZ123" s="236">
        <f ca="1" t="shared" si="53"/>
        <v>3.21923671029875</v>
      </c>
      <c r="BA123" s="236">
        <f ca="1" t="shared" si="40"/>
        <v>6.85295549676434</v>
      </c>
      <c r="BB123" s="236">
        <f ca="1" t="shared" si="41"/>
        <v>3.86681069851966</v>
      </c>
      <c r="BC123" s="236">
        <f ca="1" t="shared" si="42"/>
        <v>11.1027333972866</v>
      </c>
      <c r="BD123" s="236">
        <f ca="1" t="shared" si="43"/>
        <v>13.0299848725525</v>
      </c>
    </row>
    <row r="124" s="234" customFormat="1" ht="0.2" customHeight="1" spans="7:56">
      <c r="G124" s="236"/>
      <c r="H124" s="236">
        <f t="shared" si="44"/>
        <v>483</v>
      </c>
      <c r="I124" s="236">
        <f>IF($H124&gt;$H123,INDEX(Spectra!124:124,1,MATCH($I$20,Spectra!$20:$20,0)),I123)</f>
        <v>4.00320860038461</v>
      </c>
      <c r="J124" s="236">
        <f>((Physics!$C$9*Physics!$C$10)/(Physics!$C$11*Physics!$C$12*$H124))^($J$17-$J$18)</f>
        <v>2.43215911604772e+18</v>
      </c>
      <c r="K124" s="236">
        <f t="shared" si="45"/>
        <v>1</v>
      </c>
      <c r="L124" s="236">
        <f ca="1">INDEX(Photobiology!$21:$421,1+$H124-380,10)</f>
        <v>0.1564619</v>
      </c>
      <c r="M124" s="236">
        <f ca="1" t="shared" si="46"/>
        <v>4.00320860038461</v>
      </c>
      <c r="N124" s="236">
        <f ca="1">INDEX(Photobiology!$21:$421,1+$H124-380,N$14)</f>
        <v>0.22352957891803</v>
      </c>
      <c r="O124" s="236">
        <f ca="1">INDEX(Photobiology!$21:$421,1+$H124-380,O$14)</f>
        <v>0.52486305023013</v>
      </c>
      <c r="P124" s="236">
        <f ca="1">INDEX(Photobiology!$21:$421,1+$H124-380,P$14)</f>
        <v>0.298117863402442</v>
      </c>
      <c r="Q124" s="236">
        <f ca="1">INDEX(Photobiology!$21:$421,1+$H124-380,Q$14)</f>
        <v>0.841986251278328</v>
      </c>
      <c r="R124" s="236">
        <f ca="1">INDEX(Photobiology!$21:$421,1+$H124-380,R$14)</f>
        <v>0.982369793379555</v>
      </c>
      <c r="S124" s="236">
        <f ca="1" t="shared" si="47"/>
        <v>9.73644029086606e+18</v>
      </c>
      <c r="T124" s="236">
        <f ca="1">INDEX(Photobiology!$21:$421,1+$H124-380,T$14)</f>
        <v>0.203629430070255</v>
      </c>
      <c r="U124" s="236">
        <f ca="1">INDEX(Photobiology!$21:$421,1+$H124-380,U$14)</f>
        <v>0.590097988659534</v>
      </c>
      <c r="V124" s="236">
        <f ca="1">INDEX(Photobiology!$21:$421,1+$H124-380,V$14)</f>
        <v>0.351369392800256</v>
      </c>
      <c r="W124" s="236">
        <f ca="1">INDEX(Photobiology!$21:$421,1+$H124-380,W$14)</f>
        <v>0.888590327484076</v>
      </c>
      <c r="X124" s="236">
        <f ca="1">INDEX(Photobiology!$21:$421,1+$H124-380,X$14)</f>
        <v>0.994120044208356</v>
      </c>
      <c r="Y124" s="236">
        <f ca="1" t="shared" si="34"/>
        <v>4.00320860038461</v>
      </c>
      <c r="Z124" s="236">
        <f ca="1" t="shared" si="48"/>
        <v>0.894835532765008</v>
      </c>
      <c r="AA124" s="236">
        <f ca="1" t="shared" si="35"/>
        <v>2.10113627670536</v>
      </c>
      <c r="AB124" s="236">
        <f ca="1" t="shared" si="36"/>
        <v>1.19342799470094</v>
      </c>
      <c r="AC124" s="236">
        <f ca="1" t="shared" si="37"/>
        <v>3.370646602523</v>
      </c>
      <c r="AD124" s="236">
        <f ca="1" t="shared" si="38"/>
        <v>3.93263120561509</v>
      </c>
      <c r="AE124" s="236"/>
      <c r="AF124" s="236"/>
      <c r="AG124" s="236"/>
      <c r="AH124" s="236">
        <f t="shared" si="49"/>
        <v>483</v>
      </c>
      <c r="AI124" s="236">
        <f>IF($AH124&gt;$AH123,INDEX(Spectra!124:124,1,MATCH($AI$20,Spectra!$20:$20,0)),AI123)</f>
        <v>1</v>
      </c>
      <c r="AJ124" s="236">
        <f>((Physics!$C$9*Physics!$C$10)/(Physics!$C$11*Physics!$C$12*$AH124))^($AJ$17-$AJ$18)</f>
        <v>2.43215911604772e+18</v>
      </c>
      <c r="AK124" s="236">
        <f t="shared" si="50"/>
        <v>1</v>
      </c>
      <c r="AL124" s="236">
        <f ca="1">INDEX(Photobiology!$21:$421,1+$AH124-380,10)</f>
        <v>0.1564619</v>
      </c>
      <c r="AM124" s="236">
        <f ca="1" t="shared" si="51"/>
        <v>13.3319879209511</v>
      </c>
      <c r="AN124" s="236">
        <f ca="1">INDEX(Photobiology!$21:$421,1+$AH124-380,AN$14)</f>
        <v>0.22352957891803</v>
      </c>
      <c r="AO124" s="236">
        <f ca="1">INDEX(Photobiology!$21:$421,1+$AH124-380,AO$14)</f>
        <v>0.52486305023013</v>
      </c>
      <c r="AP124" s="236">
        <f ca="1">INDEX(Photobiology!$21:$421,1+$AH124-380,AP$14)</f>
        <v>0.298117863402442</v>
      </c>
      <c r="AQ124" s="236">
        <f ca="1">INDEX(Photobiology!$21:$421,1+$AH124-380,AQ$14)</f>
        <v>0.841986251278328</v>
      </c>
      <c r="AR124" s="236">
        <f ca="1">INDEX(Photobiology!$21:$421,1+$AH124-380,AR$14)</f>
        <v>0.982369793379555</v>
      </c>
      <c r="AS124" s="236">
        <f ca="1" t="shared" si="52"/>
        <v>3.24255159569795e+19</v>
      </c>
      <c r="AT124" s="236">
        <f ca="1">INDEX(Photobiology!$21:$421,1+$AH124-380,AT$14)</f>
        <v>0.203629430070255</v>
      </c>
      <c r="AU124" s="236">
        <f ca="1">INDEX(Photobiology!$21:$421,1+$AH124-380,AU$14)</f>
        <v>0.590097988659534</v>
      </c>
      <c r="AV124" s="236">
        <f ca="1">INDEX(Photobiology!$21:$421,1+$AH124-380,AV$14)</f>
        <v>0.351369392800256</v>
      </c>
      <c r="AW124" s="236">
        <f ca="1">INDEX(Photobiology!$21:$421,1+$AH124-380,AW$14)</f>
        <v>0.888590327484076</v>
      </c>
      <c r="AX124" s="236">
        <f ca="1">INDEX(Photobiology!$21:$421,1+$AH124-380,AX$14)</f>
        <v>0.994120044208356</v>
      </c>
      <c r="AY124" s="236">
        <f ca="1" t="shared" si="39"/>
        <v>13.3319879209511</v>
      </c>
      <c r="AZ124" s="236">
        <f ca="1" t="shared" si="53"/>
        <v>2.98009364611047</v>
      </c>
      <c r="BA124" s="236">
        <f ca="1" t="shared" si="40"/>
        <v>6.99746784582167</v>
      </c>
      <c r="BB124" s="236">
        <f ca="1" t="shared" si="41"/>
        <v>3.97450375390112</v>
      </c>
      <c r="BC124" s="236">
        <f ca="1" t="shared" si="42"/>
        <v>11.2253505316496</v>
      </c>
      <c r="BD124" s="236">
        <f ca="1" t="shared" si="43"/>
        <v>13.0969422192435</v>
      </c>
    </row>
    <row r="125" s="234" customFormat="1" ht="0.2" customHeight="1" spans="7:56">
      <c r="G125" s="236"/>
      <c r="H125" s="236">
        <f t="shared" si="44"/>
        <v>484</v>
      </c>
      <c r="I125" s="236">
        <f>IF($H125&gt;$H124,INDEX(Spectra!125:125,1,MATCH($I$20,Spectra!$20:$20,0)),I124)</f>
        <v>4.0192166749808</v>
      </c>
      <c r="J125" s="236">
        <f>((Physics!$C$9*Physics!$C$10)/(Physics!$C$11*Physics!$C$12*$H125))^($J$17-$J$18)</f>
        <v>2.4371946421679e+18</v>
      </c>
      <c r="K125" s="236">
        <f t="shared" si="45"/>
        <v>1</v>
      </c>
      <c r="L125" s="236">
        <f ca="1">INDEX(Photobiology!$21:$421,1+$H125-380,10)</f>
        <v>0.1627177</v>
      </c>
      <c r="M125" s="236">
        <f ca="1" t="shared" si="46"/>
        <v>4.0192166749808</v>
      </c>
      <c r="N125" s="236">
        <f ca="1">INDEX(Photobiology!$21:$421,1+$H125-380,N$14)</f>
        <v>0.206587956610327</v>
      </c>
      <c r="O125" s="236">
        <f ca="1">INDEX(Photobiology!$21:$421,1+$H125-380,O$14)</f>
        <v>0.535751011914103</v>
      </c>
      <c r="P125" s="236">
        <f ca="1">INDEX(Photobiology!$21:$421,1+$H125-380,P$14)</f>
        <v>0.306357135407388</v>
      </c>
      <c r="Q125" s="236">
        <f ca="1">INDEX(Photobiology!$21:$421,1+$H125-380,Q$14)</f>
        <v>0.851024376362298</v>
      </c>
      <c r="R125" s="236">
        <f ca="1">INDEX(Photobiology!$21:$421,1+$H125-380,R$14)</f>
        <v>0.986799680035349</v>
      </c>
      <c r="S125" s="236">
        <f ca="1" t="shared" si="47"/>
        <v>9.79561334597509e+18</v>
      </c>
      <c r="T125" s="236">
        <f ca="1">INDEX(Photobiology!$21:$421,1+$H125-380,T$14)</f>
        <v>0.187807233282115</v>
      </c>
      <c r="U125" s="236">
        <f ca="1">INDEX(Photobiology!$21:$421,1+$H125-380,U$14)</f>
        <v>0.601094706585494</v>
      </c>
      <c r="V125" s="236">
        <f ca="1">INDEX(Photobiology!$21:$421,1+$H125-380,V$14)</f>
        <v>0.36033437710745</v>
      </c>
      <c r="W125" s="236">
        <f ca="1">INDEX(Photobiology!$21:$421,1+$H125-380,W$14)</f>
        <v>0.896273076424773</v>
      </c>
      <c r="X125" s="236">
        <f ca="1">INDEX(Photobiology!$21:$421,1+$H125-380,X$14)</f>
        <v>0.99653968813742</v>
      </c>
      <c r="Y125" s="236">
        <f ca="1" t="shared" si="34"/>
        <v>4.0192166749808</v>
      </c>
      <c r="Z125" s="236">
        <f ca="1" t="shared" si="48"/>
        <v>0.830321760058436</v>
      </c>
      <c r="AA125" s="236">
        <f ca="1" t="shared" si="35"/>
        <v>2.153299400723</v>
      </c>
      <c r="AB125" s="236">
        <f ca="1" t="shared" si="36"/>
        <v>1.23131570712872</v>
      </c>
      <c r="AC125" s="236">
        <f ca="1" t="shared" si="37"/>
        <v>3.42045136429048</v>
      </c>
      <c r="AD125" s="236">
        <f ca="1" t="shared" si="38"/>
        <v>3.96616172886379</v>
      </c>
      <c r="AE125" s="236"/>
      <c r="AF125" s="236"/>
      <c r="AG125" s="236"/>
      <c r="AH125" s="236">
        <f t="shared" si="49"/>
        <v>484</v>
      </c>
      <c r="AI125" s="236">
        <f>IF($AH125&gt;$AH124,INDEX(Spectra!125:125,1,MATCH($AI$20,Spectra!$20:$20,0)),AI124)</f>
        <v>1</v>
      </c>
      <c r="AJ125" s="236">
        <f>((Physics!$C$9*Physics!$C$10)/(Physics!$C$11*Physics!$C$12*$AH125))^($AJ$17-$AJ$18)</f>
        <v>2.4371946421679e+18</v>
      </c>
      <c r="AK125" s="236">
        <f t="shared" si="50"/>
        <v>1</v>
      </c>
      <c r="AL125" s="236">
        <f ca="1">INDEX(Photobiology!$21:$421,1+$AH125-380,10)</f>
        <v>0.1627177</v>
      </c>
      <c r="AM125" s="236">
        <f ca="1" t="shared" si="51"/>
        <v>13.3319879209511</v>
      </c>
      <c r="AN125" s="236">
        <f ca="1">INDEX(Photobiology!$21:$421,1+$AH125-380,AN$14)</f>
        <v>0.206587956610327</v>
      </c>
      <c r="AO125" s="236">
        <f ca="1">INDEX(Photobiology!$21:$421,1+$AH125-380,AO$14)</f>
        <v>0.535751011914103</v>
      </c>
      <c r="AP125" s="236">
        <f ca="1">INDEX(Photobiology!$21:$421,1+$AH125-380,AP$14)</f>
        <v>0.306357135407388</v>
      </c>
      <c r="AQ125" s="236">
        <f ca="1">INDEX(Photobiology!$21:$421,1+$AH125-380,AQ$14)</f>
        <v>0.851024376362298</v>
      </c>
      <c r="AR125" s="236">
        <f ca="1">INDEX(Photobiology!$21:$421,1+$AH125-380,AR$14)</f>
        <v>0.986799680035349</v>
      </c>
      <c r="AS125" s="236">
        <f ca="1" t="shared" si="52"/>
        <v>3.24926495303893e+19</v>
      </c>
      <c r="AT125" s="236">
        <f ca="1">INDEX(Photobiology!$21:$421,1+$AH125-380,AT$14)</f>
        <v>0.187807233282115</v>
      </c>
      <c r="AU125" s="236">
        <f ca="1">INDEX(Photobiology!$21:$421,1+$AH125-380,AU$14)</f>
        <v>0.601094706585494</v>
      </c>
      <c r="AV125" s="236">
        <f ca="1">INDEX(Photobiology!$21:$421,1+$AH125-380,AV$14)</f>
        <v>0.36033437710745</v>
      </c>
      <c r="AW125" s="236">
        <f ca="1">INDEX(Photobiology!$21:$421,1+$AH125-380,AW$14)</f>
        <v>0.896273076424773</v>
      </c>
      <c r="AX125" s="236">
        <f ca="1">INDEX(Photobiology!$21:$421,1+$AH125-380,AX$14)</f>
        <v>0.99653968813742</v>
      </c>
      <c r="AY125" s="236">
        <f ca="1" t="shared" si="39"/>
        <v>13.3319879209511</v>
      </c>
      <c r="AZ125" s="236">
        <f ca="1" t="shared" si="53"/>
        <v>2.75422814214286</v>
      </c>
      <c r="BA125" s="236">
        <f ca="1" t="shared" si="40"/>
        <v>7.14262601947617</v>
      </c>
      <c r="BB125" s="236">
        <f ca="1" t="shared" si="41"/>
        <v>4.08434962874849</v>
      </c>
      <c r="BC125" s="236">
        <f ca="1" t="shared" si="42"/>
        <v>11.3458467060971</v>
      </c>
      <c r="BD125" s="236">
        <f ca="1" t="shared" si="43"/>
        <v>13.1560014146297</v>
      </c>
    </row>
    <row r="126" s="234" customFormat="1" ht="0.2" customHeight="1" spans="7:56">
      <c r="G126" s="236"/>
      <c r="H126" s="236">
        <f t="shared" si="44"/>
        <v>485</v>
      </c>
      <c r="I126" s="236">
        <f>IF($H126&gt;$H125,INDEX(Spectra!126:126,1,MATCH($I$20,Spectra!$20:$20,0)),I125)</f>
        <v>4.06103850014886</v>
      </c>
      <c r="J126" s="236">
        <f>((Physics!$C$9*Physics!$C$10)/(Physics!$C$11*Physics!$C$12*$H126))^($J$17-$J$18)</f>
        <v>2.44223016828809e+18</v>
      </c>
      <c r="K126" s="236">
        <f t="shared" si="45"/>
        <v>1</v>
      </c>
      <c r="L126" s="236">
        <f ca="1">INDEX(Photobiology!$21:$421,1+$H126-380,10)</f>
        <v>0.1693</v>
      </c>
      <c r="M126" s="236">
        <f ca="1" t="shared" si="46"/>
        <v>4.06103850014886</v>
      </c>
      <c r="N126" s="236">
        <f ca="1">INDEX(Photobiology!$21:$421,1+$H126-380,N$14)</f>
        <v>0.190631646972856</v>
      </c>
      <c r="O126" s="236">
        <f ca="1">INDEX(Photobiology!$21:$421,1+$H126-380,O$14)</f>
        <v>0.546679766185707</v>
      </c>
      <c r="P126" s="236">
        <f ca="1">INDEX(Photobiology!$21:$421,1+$H126-380,P$14)</f>
        <v>0.314754537780963</v>
      </c>
      <c r="Q126" s="236">
        <f ca="1">INDEX(Photobiology!$21:$421,1+$H126-380,Q$14)</f>
        <v>0.859896141103494</v>
      </c>
      <c r="R126" s="236">
        <f ca="1">INDEX(Photobiology!$21:$421,1+$H126-380,R$14)</f>
        <v>0.990622071435452</v>
      </c>
      <c r="S126" s="236">
        <f ca="1" t="shared" si="47"/>
        <v>9.91799073964296e+18</v>
      </c>
      <c r="T126" s="236">
        <f ca="1">INDEX(Photobiology!$21:$421,1+$H126-380,T$14)</f>
        <v>0.172944174573313</v>
      </c>
      <c r="U126" s="236">
        <f ca="1">INDEX(Photobiology!$21:$421,1+$H126-380,U$14)</f>
        <v>0.612091750772402</v>
      </c>
      <c r="V126" s="236">
        <f ca="1">INDEX(Photobiology!$21:$421,1+$H126-380,V$14)</f>
        <v>0.369448000369827</v>
      </c>
      <c r="W126" s="236">
        <f ca="1">INDEX(Photobiology!$21:$421,1+$H126-380,W$14)</f>
        <v>0.903749299505148</v>
      </c>
      <c r="X126" s="236">
        <f ca="1">INDEX(Photobiology!$21:$421,1+$H126-380,X$14)</f>
        <v>0.998337127668495</v>
      </c>
      <c r="Y126" s="236">
        <f ca="1" t="shared" si="34"/>
        <v>4.06103850014886</v>
      </c>
      <c r="Z126" s="236">
        <f ca="1" t="shared" si="48"/>
        <v>0.774162457703554</v>
      </c>
      <c r="AA126" s="236">
        <f ca="1" t="shared" si="35"/>
        <v>2.22008757773253</v>
      </c>
      <c r="AB126" s="236">
        <f ca="1" t="shared" si="36"/>
        <v>1.27823029602505</v>
      </c>
      <c r="AC126" s="236">
        <f ca="1" t="shared" si="37"/>
        <v>3.49207133515073</v>
      </c>
      <c r="AD126" s="236">
        <f ca="1" t="shared" si="38"/>
        <v>4.02295437119658</v>
      </c>
      <c r="AE126" s="236"/>
      <c r="AF126" s="236"/>
      <c r="AG126" s="236"/>
      <c r="AH126" s="236">
        <f t="shared" si="49"/>
        <v>485</v>
      </c>
      <c r="AI126" s="236">
        <f>IF($AH126&gt;$AH125,INDEX(Spectra!126:126,1,MATCH($AI$20,Spectra!$20:$20,0)),AI125)</f>
        <v>1</v>
      </c>
      <c r="AJ126" s="236">
        <f>((Physics!$C$9*Physics!$C$10)/(Physics!$C$11*Physics!$C$12*$AH126))^($AJ$17-$AJ$18)</f>
        <v>2.44223016828809e+18</v>
      </c>
      <c r="AK126" s="236">
        <f t="shared" si="50"/>
        <v>1</v>
      </c>
      <c r="AL126" s="236">
        <f ca="1">INDEX(Photobiology!$21:$421,1+$AH126-380,10)</f>
        <v>0.1693</v>
      </c>
      <c r="AM126" s="236">
        <f ca="1" t="shared" si="51"/>
        <v>13.3319879209511</v>
      </c>
      <c r="AN126" s="236">
        <f ca="1">INDEX(Photobiology!$21:$421,1+$AH126-380,AN$14)</f>
        <v>0.190631646972856</v>
      </c>
      <c r="AO126" s="236">
        <f ca="1">INDEX(Photobiology!$21:$421,1+$AH126-380,AO$14)</f>
        <v>0.546679766185707</v>
      </c>
      <c r="AP126" s="236">
        <f ca="1">INDEX(Photobiology!$21:$421,1+$AH126-380,AP$14)</f>
        <v>0.314754537780963</v>
      </c>
      <c r="AQ126" s="236">
        <f ca="1">INDEX(Photobiology!$21:$421,1+$AH126-380,AQ$14)</f>
        <v>0.859896141103494</v>
      </c>
      <c r="AR126" s="236">
        <f ca="1">INDEX(Photobiology!$21:$421,1+$AH126-380,AR$14)</f>
        <v>0.990622071435452</v>
      </c>
      <c r="AS126" s="236">
        <f ca="1" t="shared" si="52"/>
        <v>3.25597831037992e+19</v>
      </c>
      <c r="AT126" s="236">
        <f ca="1">INDEX(Photobiology!$21:$421,1+$AH126-380,AT$14)</f>
        <v>0.172944174573313</v>
      </c>
      <c r="AU126" s="236">
        <f ca="1">INDEX(Photobiology!$21:$421,1+$AH126-380,AU$14)</f>
        <v>0.612091750772402</v>
      </c>
      <c r="AV126" s="236">
        <f ca="1">INDEX(Photobiology!$21:$421,1+$AH126-380,AV$14)</f>
        <v>0.369448000369827</v>
      </c>
      <c r="AW126" s="236">
        <f ca="1">INDEX(Photobiology!$21:$421,1+$AH126-380,AW$14)</f>
        <v>0.903749299505148</v>
      </c>
      <c r="AX126" s="236">
        <f ca="1">INDEX(Photobiology!$21:$421,1+$AH126-380,AX$14)</f>
        <v>0.998337127668495</v>
      </c>
      <c r="AY126" s="236">
        <f ca="1" t="shared" si="39"/>
        <v>13.3319879209511</v>
      </c>
      <c r="AZ126" s="236">
        <f ca="1" t="shared" si="53"/>
        <v>2.54149881479314</v>
      </c>
      <c r="BA126" s="236">
        <f ca="1" t="shared" si="40"/>
        <v>7.28832803941624</v>
      </c>
      <c r="BB126" s="236">
        <f ca="1" t="shared" si="41"/>
        <v>4.19630369576036</v>
      </c>
      <c r="BC126" s="236">
        <f ca="1" t="shared" si="42"/>
        <v>11.4641249664643</v>
      </c>
      <c r="BD126" s="236">
        <f ca="1" t="shared" si="43"/>
        <v>13.206961490605</v>
      </c>
    </row>
    <row r="127" s="234" customFormat="1" ht="0.2" customHeight="1" spans="7:56">
      <c r="G127" s="236"/>
      <c r="H127" s="236">
        <f t="shared" si="44"/>
        <v>486</v>
      </c>
      <c r="I127" s="236">
        <f>IF($H127&gt;$H126,INDEX(Spectra!127:127,1,MATCH($I$20,Spectra!$20:$20,0)),I126)</f>
        <v>4.13733393226677</v>
      </c>
      <c r="J127" s="236">
        <f>((Physics!$C$9*Physics!$C$10)/(Physics!$C$11*Physics!$C$12*$H127))^($J$17-$J$18)</f>
        <v>2.44726569440827e+18</v>
      </c>
      <c r="K127" s="236">
        <f t="shared" si="45"/>
        <v>1</v>
      </c>
      <c r="L127" s="236">
        <f ca="1">INDEX(Photobiology!$21:$421,1+$H127-380,10)</f>
        <v>0.1762431</v>
      </c>
      <c r="M127" s="236">
        <f ca="1" t="shared" si="46"/>
        <v>4.13733393226677</v>
      </c>
      <c r="N127" s="236">
        <f ca="1">INDEX(Photobiology!$21:$421,1+$H127-380,N$14)</f>
        <v>0.175644275469338</v>
      </c>
      <c r="O127" s="236">
        <f ca="1">INDEX(Photobiology!$21:$421,1+$H127-380,O$14)</f>
        <v>0.557643956667777</v>
      </c>
      <c r="P127" s="236">
        <f ca="1">INDEX(Photobiology!$21:$421,1+$H127-380,P$14)</f>
        <v>0.323307664243217</v>
      </c>
      <c r="Q127" s="236">
        <f ca="1">INDEX(Photobiology!$21:$421,1+$H127-380,Q$14)</f>
        <v>0.868594349894167</v>
      </c>
      <c r="R127" s="236">
        <f ca="1">INDEX(Photobiology!$21:$421,1+$H127-380,R$14)</f>
        <v>0.993813747318854</v>
      </c>
      <c r="S127" s="236">
        <f ca="1" t="shared" si="47"/>
        <v>1.01251553987477e+19</v>
      </c>
      <c r="T127" s="236">
        <f ca="1">INDEX(Photobiology!$21:$421,1+$H127-380,T$14)</f>
        <v>0.159019508655368</v>
      </c>
      <c r="U127" s="236">
        <f ca="1">INDEX(Photobiology!$21:$421,1+$H127-380,U$14)</f>
        <v>0.623083134261552</v>
      </c>
      <c r="V127" s="236">
        <f ca="1">INDEX(Photobiology!$21:$421,1+$H127-380,V$14)</f>
        <v>0.378706526466253</v>
      </c>
      <c r="W127" s="236">
        <f ca="1">INDEX(Photobiology!$21:$421,1+$H127-380,W$14)</f>
        <v>0.911012724566219</v>
      </c>
      <c r="X127" s="236">
        <f ca="1">INDEX(Photobiology!$21:$421,1+$H127-380,X$14)</f>
        <v>0.999492850617338</v>
      </c>
      <c r="Y127" s="236">
        <f ca="1" t="shared" si="34"/>
        <v>4.13733393226677</v>
      </c>
      <c r="Z127" s="236">
        <f ca="1" t="shared" si="48"/>
        <v>0.726699020907704</v>
      </c>
      <c r="AA127" s="236">
        <f ca="1" t="shared" si="35"/>
        <v>2.30715926404509</v>
      </c>
      <c r="AB127" s="236">
        <f ca="1" t="shared" si="36"/>
        <v>1.33763176983537</v>
      </c>
      <c r="AC127" s="236">
        <f ca="1" t="shared" si="37"/>
        <v>3.59366487719233</v>
      </c>
      <c r="AD127" s="236">
        <f ca="1" t="shared" si="38"/>
        <v>4.11173933913549</v>
      </c>
      <c r="AE127" s="236"/>
      <c r="AF127" s="236"/>
      <c r="AG127" s="236"/>
      <c r="AH127" s="236">
        <f t="shared" si="49"/>
        <v>486</v>
      </c>
      <c r="AI127" s="236">
        <f>IF($AH127&gt;$AH126,INDEX(Spectra!127:127,1,MATCH($AI$20,Spectra!$20:$20,0)),AI126)</f>
        <v>1</v>
      </c>
      <c r="AJ127" s="236">
        <f>((Physics!$C$9*Physics!$C$10)/(Physics!$C$11*Physics!$C$12*$AH127))^($AJ$17-$AJ$18)</f>
        <v>2.44726569440827e+18</v>
      </c>
      <c r="AK127" s="236">
        <f t="shared" si="50"/>
        <v>1</v>
      </c>
      <c r="AL127" s="236">
        <f ca="1">INDEX(Photobiology!$21:$421,1+$AH127-380,10)</f>
        <v>0.1762431</v>
      </c>
      <c r="AM127" s="236">
        <f ca="1" t="shared" si="51"/>
        <v>13.3319879209511</v>
      </c>
      <c r="AN127" s="236">
        <f ca="1">INDEX(Photobiology!$21:$421,1+$AH127-380,AN$14)</f>
        <v>0.175644275469338</v>
      </c>
      <c r="AO127" s="236">
        <f ca="1">INDEX(Photobiology!$21:$421,1+$AH127-380,AO$14)</f>
        <v>0.557643956667777</v>
      </c>
      <c r="AP127" s="236">
        <f ca="1">INDEX(Photobiology!$21:$421,1+$AH127-380,AP$14)</f>
        <v>0.323307664243217</v>
      </c>
      <c r="AQ127" s="236">
        <f ca="1">INDEX(Photobiology!$21:$421,1+$AH127-380,AQ$14)</f>
        <v>0.868594349894167</v>
      </c>
      <c r="AR127" s="236">
        <f ca="1">INDEX(Photobiology!$21:$421,1+$AH127-380,AR$14)</f>
        <v>0.993813747318854</v>
      </c>
      <c r="AS127" s="236">
        <f ca="1" t="shared" si="52"/>
        <v>3.26269166772091e+19</v>
      </c>
      <c r="AT127" s="236">
        <f ca="1">INDEX(Photobiology!$21:$421,1+$AH127-380,AT$14)</f>
        <v>0.159019508655368</v>
      </c>
      <c r="AU127" s="236">
        <f ca="1">INDEX(Photobiology!$21:$421,1+$AH127-380,AU$14)</f>
        <v>0.623083134261552</v>
      </c>
      <c r="AV127" s="236">
        <f ca="1">INDEX(Photobiology!$21:$421,1+$AH127-380,AV$14)</f>
        <v>0.378706526466253</v>
      </c>
      <c r="AW127" s="236">
        <f ca="1">INDEX(Photobiology!$21:$421,1+$AH127-380,AW$14)</f>
        <v>0.911012724566219</v>
      </c>
      <c r="AX127" s="236">
        <f ca="1">INDEX(Photobiology!$21:$421,1+$AH127-380,AX$14)</f>
        <v>0.999492850617338</v>
      </c>
      <c r="AY127" s="236">
        <f ca="1" t="shared" si="39"/>
        <v>13.3319879209511</v>
      </c>
      <c r="AZ127" s="236">
        <f ca="1" t="shared" si="53"/>
        <v>2.34168735894143</v>
      </c>
      <c r="BA127" s="236">
        <f ca="1" t="shared" si="40"/>
        <v>7.4345024944862</v>
      </c>
      <c r="BB127" s="236">
        <f ca="1" t="shared" si="41"/>
        <v>4.3103338744415</v>
      </c>
      <c r="BC127" s="236">
        <f ca="1" t="shared" si="42"/>
        <v>11.5800893809954</v>
      </c>
      <c r="BD127" s="236">
        <f ca="1" t="shared" si="43"/>
        <v>13.2495128749302</v>
      </c>
    </row>
    <row r="128" s="234" customFormat="1" ht="0.2" customHeight="1" spans="7:56">
      <c r="G128" s="236"/>
      <c r="H128" s="236">
        <f t="shared" si="44"/>
        <v>487</v>
      </c>
      <c r="I128" s="236">
        <f>IF($H128&gt;$H127,INDEX(Spectra!128:128,1,MATCH($I$20,Spectra!$20:$20,0)),I127)</f>
        <v>4.22012194888643</v>
      </c>
      <c r="J128" s="236">
        <f>((Physics!$C$9*Physics!$C$10)/(Physics!$C$11*Physics!$C$12*$H128))^($J$17-$J$18)</f>
        <v>2.45230122052845e+18</v>
      </c>
      <c r="K128" s="236">
        <f t="shared" si="45"/>
        <v>1</v>
      </c>
      <c r="L128" s="236">
        <f ca="1">INDEX(Photobiology!$21:$421,1+$H128-380,10)</f>
        <v>0.1835581</v>
      </c>
      <c r="M128" s="236">
        <f ca="1" t="shared" si="46"/>
        <v>4.22012194888643</v>
      </c>
      <c r="N128" s="236">
        <f ca="1">INDEX(Photobiology!$21:$421,1+$H128-380,N$14)</f>
        <v>0.161603588387361</v>
      </c>
      <c r="O128" s="236">
        <f ca="1">INDEX(Photobiology!$21:$421,1+$H128-380,O$14)</f>
        <v>0.568638158904207</v>
      </c>
      <c r="P128" s="236">
        <f ca="1">INDEX(Photobiology!$21:$421,1+$H128-380,P$14)</f>
        <v>0.332012167566734</v>
      </c>
      <c r="Q128" s="236">
        <f ca="1">INDEX(Photobiology!$21:$421,1+$H128-380,Q$14)</f>
        <v>0.877109873850214</v>
      </c>
      <c r="R128" s="236">
        <f ca="1">INDEX(Photobiology!$21:$421,1+$H128-380,R$14)</f>
        <v>0.996363936928116</v>
      </c>
      <c r="S128" s="236">
        <f ca="1" t="shared" si="47"/>
        <v>1.03490102060331e+19</v>
      </c>
      <c r="T128" s="236">
        <f ca="1">INDEX(Photobiology!$21:$421,1+$H128-380,T$14)</f>
        <v>0.146007348851004</v>
      </c>
      <c r="U128" s="236">
        <f ca="1">INDEX(Photobiology!$21:$421,1+$H128-380,U$14)</f>
        <v>0.634062843356665</v>
      </c>
      <c r="V128" s="236">
        <f ca="1">INDEX(Photobiology!$21:$421,1+$H128-380,V$14)</f>
        <v>0.388103981101482</v>
      </c>
      <c r="W128" s="236">
        <f ca="1">INDEX(Photobiology!$21:$421,1+$H128-380,W$14)</f>
        <v>0.918055107440171</v>
      </c>
      <c r="X128" s="236">
        <f ca="1">INDEX(Photobiology!$21:$421,1+$H128-380,X$14)</f>
        <v>1</v>
      </c>
      <c r="Y128" s="236">
        <f ca="1" t="shared" si="34"/>
        <v>4.22012194888643</v>
      </c>
      <c r="Z128" s="236">
        <f ca="1" t="shared" si="48"/>
        <v>0.68198685037231</v>
      </c>
      <c r="AA128" s="236">
        <f ca="1" t="shared" si="35"/>
        <v>2.39972237536601</v>
      </c>
      <c r="AB128" s="236">
        <f ca="1" t="shared" si="36"/>
        <v>1.40113183564573</v>
      </c>
      <c r="AC128" s="236">
        <f ca="1" t="shared" si="37"/>
        <v>3.7015106302203</v>
      </c>
      <c r="AD128" s="236">
        <f ca="1" t="shared" si="38"/>
        <v>4.20477731930924</v>
      </c>
      <c r="AE128" s="236"/>
      <c r="AF128" s="236"/>
      <c r="AG128" s="236"/>
      <c r="AH128" s="236">
        <f t="shared" si="49"/>
        <v>487</v>
      </c>
      <c r="AI128" s="236">
        <f>IF($AH128&gt;$AH127,INDEX(Spectra!128:128,1,MATCH($AI$20,Spectra!$20:$20,0)),AI127)</f>
        <v>1</v>
      </c>
      <c r="AJ128" s="236">
        <f>((Physics!$C$9*Physics!$C$10)/(Physics!$C$11*Physics!$C$12*$AH128))^($AJ$17-$AJ$18)</f>
        <v>2.45230122052845e+18</v>
      </c>
      <c r="AK128" s="236">
        <f t="shared" si="50"/>
        <v>1</v>
      </c>
      <c r="AL128" s="236">
        <f ca="1">INDEX(Photobiology!$21:$421,1+$AH128-380,10)</f>
        <v>0.1835581</v>
      </c>
      <c r="AM128" s="236">
        <f ca="1" t="shared" si="51"/>
        <v>13.3319879209511</v>
      </c>
      <c r="AN128" s="236">
        <f ca="1">INDEX(Photobiology!$21:$421,1+$AH128-380,AN$14)</f>
        <v>0.161603588387361</v>
      </c>
      <c r="AO128" s="236">
        <f ca="1">INDEX(Photobiology!$21:$421,1+$AH128-380,AO$14)</f>
        <v>0.568638158904207</v>
      </c>
      <c r="AP128" s="236">
        <f ca="1">INDEX(Photobiology!$21:$421,1+$AH128-380,AP$14)</f>
        <v>0.332012167566734</v>
      </c>
      <c r="AQ128" s="236">
        <f ca="1">INDEX(Photobiology!$21:$421,1+$AH128-380,AQ$14)</f>
        <v>0.877109873850214</v>
      </c>
      <c r="AR128" s="236">
        <f ca="1">INDEX(Photobiology!$21:$421,1+$AH128-380,AR$14)</f>
        <v>0.996363936928116</v>
      </c>
      <c r="AS128" s="236">
        <f ca="1" t="shared" si="52"/>
        <v>3.2694050250619e+19</v>
      </c>
      <c r="AT128" s="236">
        <f ca="1">INDEX(Photobiology!$21:$421,1+$AH128-380,AT$14)</f>
        <v>0.146007348851004</v>
      </c>
      <c r="AU128" s="236">
        <f ca="1">INDEX(Photobiology!$21:$421,1+$AH128-380,AU$14)</f>
        <v>0.634062843356665</v>
      </c>
      <c r="AV128" s="236">
        <f ca="1">INDEX(Photobiology!$21:$421,1+$AH128-380,AV$14)</f>
        <v>0.388103981101482</v>
      </c>
      <c r="AW128" s="236">
        <f ca="1">INDEX(Photobiology!$21:$421,1+$AH128-380,AW$14)</f>
        <v>0.918055107440171</v>
      </c>
      <c r="AX128" s="236">
        <f ca="1">INDEX(Photobiology!$21:$421,1+$AH128-380,AX$14)</f>
        <v>1</v>
      </c>
      <c r="AY128" s="236">
        <f ca="1" t="shared" si="39"/>
        <v>13.3319879209511</v>
      </c>
      <c r="AZ128" s="236">
        <f ca="1" t="shared" si="53"/>
        <v>2.15449708836266</v>
      </c>
      <c r="BA128" s="236">
        <f ca="1" t="shared" si="40"/>
        <v>7.58107706590278</v>
      </c>
      <c r="BB128" s="236">
        <f ca="1" t="shared" si="41"/>
        <v>4.4263822076085</v>
      </c>
      <c r="BC128" s="236">
        <f ca="1" t="shared" si="42"/>
        <v>11.693618243518</v>
      </c>
      <c r="BD128" s="236">
        <f ca="1" t="shared" si="43"/>
        <v>13.283511971997</v>
      </c>
    </row>
    <row r="129" s="234" customFormat="1" ht="0.2" customHeight="1" spans="7:56">
      <c r="G129" s="236"/>
      <c r="H129" s="236">
        <f t="shared" si="44"/>
        <v>488</v>
      </c>
      <c r="I129" s="236">
        <f>IF($H129&gt;$H128,INDEX(Spectra!129:129,1,MATCH($I$20,Spectra!$20:$20,0)),I128)</f>
        <v>4.32326156968776</v>
      </c>
      <c r="J129" s="236">
        <f>((Physics!$C$9*Physics!$C$10)/(Physics!$C$11*Physics!$C$12*$H129))^($J$17-$J$18)</f>
        <v>2.45733674664863e+18</v>
      </c>
      <c r="K129" s="236">
        <f t="shared" si="45"/>
        <v>1</v>
      </c>
      <c r="L129" s="236">
        <f ca="1">INDEX(Photobiology!$21:$421,1+$H129-380,10)</f>
        <v>0.1912735</v>
      </c>
      <c r="M129" s="236">
        <f ca="1" t="shared" si="46"/>
        <v>4.32326156968776</v>
      </c>
      <c r="N129" s="236">
        <f ca="1">INDEX(Photobiology!$21:$421,1+$H129-380,N$14)</f>
        <v>0.148482749188338</v>
      </c>
      <c r="O129" s="236">
        <f ca="1">INDEX(Photobiology!$21:$421,1+$H129-380,O$14)</f>
        <v>0.579655552083517</v>
      </c>
      <c r="P129" s="236">
        <f ca="1">INDEX(Photobiology!$21:$421,1+$H129-380,P$14)</f>
        <v>0.340865462929638</v>
      </c>
      <c r="Q129" s="236">
        <f ca="1">INDEX(Photobiology!$21:$421,1+$H129-380,Q$14)</f>
        <v>0.885433603364944</v>
      </c>
      <c r="R129" s="236">
        <f ca="1">INDEX(Photobiology!$21:$421,1+$H129-380,R$14)</f>
        <v>0.998253864186535</v>
      </c>
      <c r="S129" s="236">
        <f ca="1" t="shared" si="47"/>
        <v>1.06237095205676e+19</v>
      </c>
      <c r="T129" s="236">
        <f ca="1">INDEX(Photobiology!$21:$421,1+$H129-380,T$14)</f>
        <v>0.133877888612436</v>
      </c>
      <c r="U129" s="236">
        <f ca="1">INDEX(Photobiology!$21:$421,1+$H129-380,U$14)</f>
        <v>0.645023359831567</v>
      </c>
      <c r="V129" s="236">
        <f ca="1">INDEX(Photobiology!$21:$421,1+$H129-380,V$14)</f>
        <v>0.397636494883509</v>
      </c>
      <c r="W129" s="236">
        <f ca="1">INDEX(Photobiology!$21:$421,1+$H129-380,W$14)</f>
        <v>0.924868291670305</v>
      </c>
      <c r="X129" s="236">
        <f ca="1">INDEX(Photobiology!$21:$421,1+$H129-380,X$14)</f>
        <v>0.999843756968191</v>
      </c>
      <c r="Y129" s="236">
        <f ca="1" t="shared" si="34"/>
        <v>4.32326156968776</v>
      </c>
      <c r="Z129" s="236">
        <f ca="1" t="shared" si="48"/>
        <v>0.641929763327528</v>
      </c>
      <c r="AA129" s="236">
        <f ca="1" t="shared" si="35"/>
        <v>2.50600257197881</v>
      </c>
      <c r="AB129" s="236">
        <f ca="1" t="shared" si="36"/>
        <v>1.47365055631753</v>
      </c>
      <c r="AC129" s="236">
        <f ca="1" t="shared" si="37"/>
        <v>3.82796106993782</v>
      </c>
      <c r="AD129" s="236">
        <f ca="1" t="shared" si="38"/>
        <v>4.31571256782995</v>
      </c>
      <c r="AE129" s="236"/>
      <c r="AF129" s="236"/>
      <c r="AG129" s="236"/>
      <c r="AH129" s="236">
        <f t="shared" si="49"/>
        <v>488</v>
      </c>
      <c r="AI129" s="236">
        <f>IF($AH129&gt;$AH128,INDEX(Spectra!129:129,1,MATCH($AI$20,Spectra!$20:$20,0)),AI128)</f>
        <v>1</v>
      </c>
      <c r="AJ129" s="236">
        <f>((Physics!$C$9*Physics!$C$10)/(Physics!$C$11*Physics!$C$12*$AH129))^($AJ$17-$AJ$18)</f>
        <v>2.45733674664863e+18</v>
      </c>
      <c r="AK129" s="236">
        <f t="shared" si="50"/>
        <v>1</v>
      </c>
      <c r="AL129" s="236">
        <f ca="1">INDEX(Photobiology!$21:$421,1+$AH129-380,10)</f>
        <v>0.1912735</v>
      </c>
      <c r="AM129" s="236">
        <f ca="1" t="shared" si="51"/>
        <v>13.3319879209511</v>
      </c>
      <c r="AN129" s="236">
        <f ca="1">INDEX(Photobiology!$21:$421,1+$AH129-380,AN$14)</f>
        <v>0.148482749188338</v>
      </c>
      <c r="AO129" s="236">
        <f ca="1">INDEX(Photobiology!$21:$421,1+$AH129-380,AO$14)</f>
        <v>0.579655552083517</v>
      </c>
      <c r="AP129" s="236">
        <f ca="1">INDEX(Photobiology!$21:$421,1+$AH129-380,AP$14)</f>
        <v>0.340865462929638</v>
      </c>
      <c r="AQ129" s="236">
        <f ca="1">INDEX(Photobiology!$21:$421,1+$AH129-380,AQ$14)</f>
        <v>0.885433603364944</v>
      </c>
      <c r="AR129" s="236">
        <f ca="1">INDEX(Photobiology!$21:$421,1+$AH129-380,AR$14)</f>
        <v>0.998253864186535</v>
      </c>
      <c r="AS129" s="236">
        <f ca="1" t="shared" si="52"/>
        <v>3.27611838240289e+19</v>
      </c>
      <c r="AT129" s="236">
        <f ca="1">INDEX(Photobiology!$21:$421,1+$AH129-380,AT$14)</f>
        <v>0.133877888612436</v>
      </c>
      <c r="AU129" s="236">
        <f ca="1">INDEX(Photobiology!$21:$421,1+$AH129-380,AU$14)</f>
        <v>0.645023359831567</v>
      </c>
      <c r="AV129" s="236">
        <f ca="1">INDEX(Photobiology!$21:$421,1+$AH129-380,AV$14)</f>
        <v>0.397636494883509</v>
      </c>
      <c r="AW129" s="236">
        <f ca="1">INDEX(Photobiology!$21:$421,1+$AH129-380,AW$14)</f>
        <v>0.924868291670305</v>
      </c>
      <c r="AX129" s="236">
        <f ca="1">INDEX(Photobiology!$21:$421,1+$AH129-380,AX$14)</f>
        <v>0.999843756968191</v>
      </c>
      <c r="AY129" s="236">
        <f ca="1" t="shared" si="39"/>
        <v>13.3319879209511</v>
      </c>
      <c r="AZ129" s="236">
        <f ca="1" t="shared" si="53"/>
        <v>1.97957021864854</v>
      </c>
      <c r="BA129" s="236">
        <f ca="1" t="shared" si="40"/>
        <v>7.72796081868971</v>
      </c>
      <c r="BB129" s="236">
        <f ca="1" t="shared" si="41"/>
        <v>4.54441423444735</v>
      </c>
      <c r="BC129" s="236">
        <f ca="1" t="shared" si="42"/>
        <v>11.8045901048657</v>
      </c>
      <c r="BD129" s="236">
        <f ca="1" t="shared" si="43"/>
        <v>13.3087084593777</v>
      </c>
    </row>
    <row r="130" s="234" customFormat="1" ht="0.2" customHeight="1" spans="7:56">
      <c r="G130" s="236"/>
      <c r="H130" s="236">
        <f t="shared" si="44"/>
        <v>489</v>
      </c>
      <c r="I130" s="236">
        <f>IF($H130&gt;$H129,INDEX(Spectra!130:130,1,MATCH($I$20,Spectra!$20:$20,0)),I129)</f>
        <v>4.43958838874908</v>
      </c>
      <c r="J130" s="236">
        <f>((Physics!$C$9*Physics!$C$10)/(Physics!$C$11*Physics!$C$12*$H130))^($J$17-$J$18)</f>
        <v>2.46237227276881e+18</v>
      </c>
      <c r="K130" s="236">
        <f t="shared" si="45"/>
        <v>1</v>
      </c>
      <c r="L130" s="236">
        <f ca="1">INDEX(Photobiology!$21:$421,1+$H130-380,10)</f>
        <v>0.199418</v>
      </c>
      <c r="M130" s="236">
        <f ca="1" t="shared" si="46"/>
        <v>4.43958838874908</v>
      </c>
      <c r="N130" s="236">
        <f ca="1">INDEX(Photobiology!$21:$421,1+$H130-380,N$14)</f>
        <v>0.136251408344865</v>
      </c>
      <c r="O130" s="236">
        <f ca="1">INDEX(Photobiology!$21:$421,1+$H130-380,O$14)</f>
        <v>0.590691878871151</v>
      </c>
      <c r="P130" s="236">
        <f ca="1">INDEX(Photobiology!$21:$421,1+$H130-380,P$14)</f>
        <v>0.349862181681337</v>
      </c>
      <c r="Q130" s="236">
        <f ca="1">INDEX(Photobiology!$21:$421,1+$H130-380,Q$14)</f>
        <v>0.893558519726285</v>
      </c>
      <c r="R130" s="236">
        <f ca="1">INDEX(Photobiology!$21:$421,1+$H130-380,R$14)</f>
        <v>0.999470545639064</v>
      </c>
      <c r="S130" s="236">
        <f ca="1" t="shared" si="47"/>
        <v>1.09319193509621e+19</v>
      </c>
      <c r="T130" s="236">
        <f ca="1">INDEX(Photobiology!$21:$421,1+$H130-380,T$14)</f>
        <v>0.122598404236688</v>
      </c>
      <c r="U130" s="236">
        <f ca="1">INDEX(Photobiology!$21:$421,1+$H130-380,U$14)</f>
        <v>0.655960073685848</v>
      </c>
      <c r="V130" s="236">
        <f ca="1">INDEX(Photobiology!$21:$421,1+$H130-380,V$14)</f>
        <v>0.407296989238366</v>
      </c>
      <c r="W130" s="236">
        <f ca="1">INDEX(Photobiology!$21:$421,1+$H130-380,W$14)</f>
        <v>0.93144636707022</v>
      </c>
      <c r="X130" s="236">
        <f ca="1">INDEX(Photobiology!$21:$421,1+$H130-380,X$14)</f>
        <v>0.999015213873888</v>
      </c>
      <c r="Y130" s="236">
        <f ca="1" t="shared" si="34"/>
        <v>4.43958838874908</v>
      </c>
      <c r="Z130" s="236">
        <f ca="1" t="shared" si="48"/>
        <v>0.604900170438572</v>
      </c>
      <c r="AA130" s="236">
        <f ca="1" t="shared" si="35"/>
        <v>2.62242880676474</v>
      </c>
      <c r="AB130" s="236">
        <f ca="1" t="shared" si="36"/>
        <v>1.55324407945488</v>
      </c>
      <c r="AC130" s="236">
        <f ca="1" t="shared" si="37"/>
        <v>3.96703202884463</v>
      </c>
      <c r="AD130" s="236">
        <f ca="1" t="shared" si="38"/>
        <v>4.4372378293159</v>
      </c>
      <c r="AE130" s="236"/>
      <c r="AF130" s="236"/>
      <c r="AG130" s="236"/>
      <c r="AH130" s="236">
        <f t="shared" si="49"/>
        <v>489</v>
      </c>
      <c r="AI130" s="236">
        <f>IF($AH130&gt;$AH129,INDEX(Spectra!130:130,1,MATCH($AI$20,Spectra!$20:$20,0)),AI129)</f>
        <v>1</v>
      </c>
      <c r="AJ130" s="236">
        <f>((Physics!$C$9*Physics!$C$10)/(Physics!$C$11*Physics!$C$12*$AH130))^($AJ$17-$AJ$18)</f>
        <v>2.46237227276881e+18</v>
      </c>
      <c r="AK130" s="236">
        <f t="shared" si="50"/>
        <v>1</v>
      </c>
      <c r="AL130" s="236">
        <f ca="1">INDEX(Photobiology!$21:$421,1+$AH130-380,10)</f>
        <v>0.199418</v>
      </c>
      <c r="AM130" s="236">
        <f ca="1" t="shared" si="51"/>
        <v>13.3319879209511</v>
      </c>
      <c r="AN130" s="236">
        <f ca="1">INDEX(Photobiology!$21:$421,1+$AH130-380,AN$14)</f>
        <v>0.136251408344865</v>
      </c>
      <c r="AO130" s="236">
        <f ca="1">INDEX(Photobiology!$21:$421,1+$AH130-380,AO$14)</f>
        <v>0.590691878871151</v>
      </c>
      <c r="AP130" s="236">
        <f ca="1">INDEX(Photobiology!$21:$421,1+$AH130-380,AP$14)</f>
        <v>0.349862181681337</v>
      </c>
      <c r="AQ130" s="236">
        <f ca="1">INDEX(Photobiology!$21:$421,1+$AH130-380,AQ$14)</f>
        <v>0.893558519726285</v>
      </c>
      <c r="AR130" s="236">
        <f ca="1">INDEX(Photobiology!$21:$421,1+$AH130-380,AR$14)</f>
        <v>0.999470545639064</v>
      </c>
      <c r="AS130" s="236">
        <f ca="1" t="shared" si="52"/>
        <v>3.28283173974388e+19</v>
      </c>
      <c r="AT130" s="236">
        <f ca="1">INDEX(Photobiology!$21:$421,1+$AH130-380,AT$14)</f>
        <v>0.122598404236688</v>
      </c>
      <c r="AU130" s="236">
        <f ca="1">INDEX(Photobiology!$21:$421,1+$AH130-380,AU$14)</f>
        <v>0.655960073685848</v>
      </c>
      <c r="AV130" s="236">
        <f ca="1">INDEX(Photobiology!$21:$421,1+$AH130-380,AV$14)</f>
        <v>0.407296989238366</v>
      </c>
      <c r="AW130" s="236">
        <f ca="1">INDEX(Photobiology!$21:$421,1+$AH130-380,AW$14)</f>
        <v>0.93144636707022</v>
      </c>
      <c r="AX130" s="236">
        <f ca="1">INDEX(Photobiology!$21:$421,1+$AH130-380,AX$14)</f>
        <v>0.999015213873888</v>
      </c>
      <c r="AY130" s="236">
        <f ca="1" t="shared" si="39"/>
        <v>13.3319879209511</v>
      </c>
      <c r="AZ130" s="236">
        <f ca="1" t="shared" si="53"/>
        <v>1.81650213026632</v>
      </c>
      <c r="BA130" s="236">
        <f ca="1" t="shared" si="40"/>
        <v>7.87509699411412</v>
      </c>
      <c r="BB130" s="236">
        <f ca="1" t="shared" si="41"/>
        <v>4.6643583801732</v>
      </c>
      <c r="BC130" s="236">
        <f ca="1" t="shared" si="42"/>
        <v>11.9129113916538</v>
      </c>
      <c r="BD130" s="236">
        <f ca="1" t="shared" si="43"/>
        <v>13.3249292418064</v>
      </c>
    </row>
    <row r="131" s="234" customFormat="1" ht="0.2" customHeight="1" spans="7:56">
      <c r="G131" s="236"/>
      <c r="H131" s="236">
        <f t="shared" si="44"/>
        <v>490</v>
      </c>
      <c r="I131" s="236">
        <f>IF($H131&gt;$H130,INDEX(Spectra!131:131,1,MATCH($I$20,Spectra!$20:$20,0)),I130)</f>
        <v>4.6023610456678</v>
      </c>
      <c r="J131" s="236">
        <f>((Physics!$C$9*Physics!$C$10)/(Physics!$C$11*Physics!$C$12*$H131))^($J$17-$J$18)</f>
        <v>2.46740779888899e+18</v>
      </c>
      <c r="K131" s="236">
        <f t="shared" si="45"/>
        <v>1</v>
      </c>
      <c r="L131" s="236">
        <f ca="1">INDEX(Photobiology!$21:$421,1+$H131-380,10)</f>
        <v>0.20802</v>
      </c>
      <c r="M131" s="236">
        <f ca="1" t="shared" si="46"/>
        <v>4.6023610456678</v>
      </c>
      <c r="N131" s="236">
        <f ca="1">INDEX(Photobiology!$21:$421,1+$H131-380,N$14)</f>
        <v>0.124875143412909</v>
      </c>
      <c r="O131" s="236">
        <f ca="1">INDEX(Photobiology!$21:$421,1+$H131-380,O$14)</f>
        <v>0.601740163917197</v>
      </c>
      <c r="P131" s="236">
        <f ca="1">INDEX(Photobiology!$21:$421,1+$H131-380,P$14)</f>
        <v>0.358999629192771</v>
      </c>
      <c r="Q131" s="236">
        <f ca="1">INDEX(Photobiology!$21:$421,1+$H131-380,Q$14)</f>
        <v>0.90147564922702</v>
      </c>
      <c r="R131" s="236">
        <f ca="1">INDEX(Photobiology!$21:$421,1+$H131-380,R$14)</f>
        <v>1</v>
      </c>
      <c r="S131" s="236">
        <f ca="1" t="shared" si="47"/>
        <v>1.13559015373836e+19</v>
      </c>
      <c r="T131" s="236">
        <f ca="1">INDEX(Photobiology!$21:$421,1+$H131-380,T$14)</f>
        <v>0.112132781840163</v>
      </c>
      <c r="U131" s="236">
        <f ca="1">INDEX(Photobiology!$21:$421,1+$H131-380,U$14)</f>
        <v>0.666865400370574</v>
      </c>
      <c r="V131" s="236">
        <f ca="1">INDEX(Photobiology!$21:$421,1+$H131-380,V$14)</f>
        <v>0.417081550023154</v>
      </c>
      <c r="W131" s="236">
        <f ca="1">INDEX(Photobiology!$21:$421,1+$H131-380,W$14)</f>
        <v>0.937781437969835</v>
      </c>
      <c r="X131" s="236">
        <f ca="1">INDEX(Photobiology!$21:$421,1+$H131-380,X$14)</f>
        <v>0.997504540443953</v>
      </c>
      <c r="Y131" s="236">
        <f ca="1" t="shared" si="34"/>
        <v>4.6023610456678</v>
      </c>
      <c r="Z131" s="236">
        <f ca="1" t="shared" si="48"/>
        <v>0.574720495615752</v>
      </c>
      <c r="AA131" s="236">
        <f ca="1" t="shared" si="35"/>
        <v>2.76942549002626</v>
      </c>
      <c r="AB131" s="236">
        <f ca="1" t="shared" si="36"/>
        <v>1.65224590880599</v>
      </c>
      <c r="AC131" s="236">
        <f ca="1" t="shared" si="37"/>
        <v>4.14891641162053</v>
      </c>
      <c r="AD131" s="236">
        <f ca="1" t="shared" si="38"/>
        <v>4.6023610456678</v>
      </c>
      <c r="AE131" s="236"/>
      <c r="AF131" s="236"/>
      <c r="AG131" s="236"/>
      <c r="AH131" s="236">
        <f t="shared" si="49"/>
        <v>490</v>
      </c>
      <c r="AI131" s="236">
        <f>IF($AH131&gt;$AH130,INDEX(Spectra!131:131,1,MATCH($AI$20,Spectra!$20:$20,0)),AI130)</f>
        <v>1</v>
      </c>
      <c r="AJ131" s="236">
        <f>((Physics!$C$9*Physics!$C$10)/(Physics!$C$11*Physics!$C$12*$AH131))^($AJ$17-$AJ$18)</f>
        <v>2.46740779888899e+18</v>
      </c>
      <c r="AK131" s="236">
        <f t="shared" si="50"/>
        <v>1</v>
      </c>
      <c r="AL131" s="236">
        <f ca="1">INDEX(Photobiology!$21:$421,1+$AH131-380,10)</f>
        <v>0.20802</v>
      </c>
      <c r="AM131" s="236">
        <f ca="1" t="shared" si="51"/>
        <v>13.3319879209511</v>
      </c>
      <c r="AN131" s="236">
        <f ca="1">INDEX(Photobiology!$21:$421,1+$AH131-380,AN$14)</f>
        <v>0.124875143412909</v>
      </c>
      <c r="AO131" s="236">
        <f ca="1">INDEX(Photobiology!$21:$421,1+$AH131-380,AO$14)</f>
        <v>0.601740163917197</v>
      </c>
      <c r="AP131" s="236">
        <f ca="1">INDEX(Photobiology!$21:$421,1+$AH131-380,AP$14)</f>
        <v>0.358999629192771</v>
      </c>
      <c r="AQ131" s="236">
        <f ca="1">INDEX(Photobiology!$21:$421,1+$AH131-380,AQ$14)</f>
        <v>0.90147564922702</v>
      </c>
      <c r="AR131" s="236">
        <f ca="1">INDEX(Photobiology!$21:$421,1+$AH131-380,AR$14)</f>
        <v>1</v>
      </c>
      <c r="AS131" s="236">
        <f ca="1" t="shared" si="52"/>
        <v>3.28954509708487e+19</v>
      </c>
      <c r="AT131" s="236">
        <f ca="1">INDEX(Photobiology!$21:$421,1+$AH131-380,AT$14)</f>
        <v>0.112132781840163</v>
      </c>
      <c r="AU131" s="236">
        <f ca="1">INDEX(Photobiology!$21:$421,1+$AH131-380,AU$14)</f>
        <v>0.666865400370574</v>
      </c>
      <c r="AV131" s="236">
        <f ca="1">INDEX(Photobiology!$21:$421,1+$AH131-380,AV$14)</f>
        <v>0.417081550023154</v>
      </c>
      <c r="AW131" s="236">
        <f ca="1">INDEX(Photobiology!$21:$421,1+$AH131-380,AW$14)</f>
        <v>0.937781437969835</v>
      </c>
      <c r="AX131" s="236">
        <f ca="1">INDEX(Photobiology!$21:$421,1+$AH131-380,AX$14)</f>
        <v>0.997504540443953</v>
      </c>
      <c r="AY131" s="236">
        <f ca="1" t="shared" si="39"/>
        <v>13.3319879209511</v>
      </c>
      <c r="AZ131" s="236">
        <f ca="1" t="shared" si="53"/>
        <v>1.66483390360794</v>
      </c>
      <c r="BA131" s="236">
        <f ca="1" t="shared" si="40"/>
        <v>8.02239259689523</v>
      </c>
      <c r="BB131" s="236">
        <f ca="1" t="shared" si="41"/>
        <v>4.78617872002396</v>
      </c>
      <c r="BC131" s="236">
        <f ca="1" t="shared" si="42"/>
        <v>12.0184624665262</v>
      </c>
      <c r="BD131" s="236">
        <f ca="1" t="shared" si="43"/>
        <v>13.3319879209511</v>
      </c>
    </row>
    <row r="132" s="234" customFormat="1" ht="0.2" customHeight="1" spans="7:56">
      <c r="G132" s="236"/>
      <c r="H132" s="236">
        <f t="shared" si="44"/>
        <v>491</v>
      </c>
      <c r="I132" s="236">
        <f>IF($H132&gt;$H131,INDEX(Spectra!132:132,1,MATCH($I$20,Spectra!$20:$20,0)),I131)</f>
        <v>4.7539736862478</v>
      </c>
      <c r="J132" s="236">
        <f>((Physics!$C$9*Physics!$C$10)/(Physics!$C$11*Physics!$C$12*$H132))^($J$17-$J$18)</f>
        <v>2.47244332500918e+18</v>
      </c>
      <c r="K132" s="236">
        <f t="shared" si="45"/>
        <v>1</v>
      </c>
      <c r="L132" s="236">
        <f ca="1">INDEX(Photobiology!$21:$421,1+$H132-380,10)</f>
        <v>0.2171199</v>
      </c>
      <c r="M132" s="236">
        <f ca="1" t="shared" si="46"/>
        <v>4.7539736862478</v>
      </c>
      <c r="N132" s="236">
        <f ca="1">INDEX(Photobiology!$21:$421,1+$H132-380,N$14)</f>
        <v>0.114317310915483</v>
      </c>
      <c r="O132" s="236">
        <f ca="1">INDEX(Photobiology!$21:$421,1+$H132-380,O$14)</f>
        <v>0.612794699334985</v>
      </c>
      <c r="P132" s="236">
        <f ca="1">INDEX(Photobiology!$21:$421,1+$H132-380,P$14)</f>
        <v>0.368273102058258</v>
      </c>
      <c r="Q132" s="236">
        <f ca="1">INDEX(Photobiology!$21:$421,1+$H132-380,Q$14)</f>
        <v>0.909173984208073</v>
      </c>
      <c r="R132" s="236">
        <f ca="1">INDEX(Photobiology!$21:$421,1+$H132-380,R$14)</f>
        <v>0.999831925414328</v>
      </c>
      <c r="S132" s="236">
        <f ca="1" t="shared" si="47"/>
        <v>1.17539305078327e+19</v>
      </c>
      <c r="T132" s="236">
        <f ca="1">INDEX(Photobiology!$21:$421,1+$H132-380,T$14)</f>
        <v>0.102443211411023</v>
      </c>
      <c r="U132" s="236">
        <f ca="1">INDEX(Photobiology!$21:$421,1+$H132-380,U$14)</f>
        <v>0.677733218903096</v>
      </c>
      <c r="V132" s="236">
        <f ca="1">INDEX(Photobiology!$21:$421,1+$H132-380,V$14)</f>
        <v>0.426983965962113</v>
      </c>
      <c r="W132" s="236">
        <f ca="1">INDEX(Photobiology!$21:$421,1+$H132-380,W$14)</f>
        <v>0.943863561464859</v>
      </c>
      <c r="X132" s="236">
        <f ca="1">INDEX(Photobiology!$21:$421,1+$H132-380,X$14)</f>
        <v>0.995305649262709</v>
      </c>
      <c r="Y132" s="236">
        <f ca="1" t="shared" si="34"/>
        <v>4.7539736862478</v>
      </c>
      <c r="Z132" s="236">
        <f ca="1" t="shared" si="48"/>
        <v>0.543461487974815</v>
      </c>
      <c r="AA132" s="236">
        <f ca="1" t="shared" si="35"/>
        <v>2.91320987571065</v>
      </c>
      <c r="AB132" s="236">
        <f ca="1" t="shared" si="36"/>
        <v>1.75076063653781</v>
      </c>
      <c r="AC132" s="236">
        <f ca="1" t="shared" si="37"/>
        <v>4.32218919714625</v>
      </c>
      <c r="AD132" s="236">
        <f ca="1" t="shared" si="38"/>
        <v>4.75317466409019</v>
      </c>
      <c r="AE132" s="236"/>
      <c r="AF132" s="236"/>
      <c r="AG132" s="236"/>
      <c r="AH132" s="236">
        <f t="shared" si="49"/>
        <v>491</v>
      </c>
      <c r="AI132" s="236">
        <f>IF($AH132&gt;$AH131,INDEX(Spectra!132:132,1,MATCH($AI$20,Spectra!$20:$20,0)),AI131)</f>
        <v>1</v>
      </c>
      <c r="AJ132" s="236">
        <f>((Physics!$C$9*Physics!$C$10)/(Physics!$C$11*Physics!$C$12*$AH132))^($AJ$17-$AJ$18)</f>
        <v>2.47244332500918e+18</v>
      </c>
      <c r="AK132" s="236">
        <f t="shared" si="50"/>
        <v>1</v>
      </c>
      <c r="AL132" s="236">
        <f ca="1">INDEX(Photobiology!$21:$421,1+$AH132-380,10)</f>
        <v>0.2171199</v>
      </c>
      <c r="AM132" s="236">
        <f ca="1" t="shared" si="51"/>
        <v>13.3319879209511</v>
      </c>
      <c r="AN132" s="236">
        <f ca="1">INDEX(Photobiology!$21:$421,1+$AH132-380,AN$14)</f>
        <v>0.114317310915483</v>
      </c>
      <c r="AO132" s="236">
        <f ca="1">INDEX(Photobiology!$21:$421,1+$AH132-380,AO$14)</f>
        <v>0.612794699334985</v>
      </c>
      <c r="AP132" s="236">
        <f ca="1">INDEX(Photobiology!$21:$421,1+$AH132-380,AP$14)</f>
        <v>0.368273102058258</v>
      </c>
      <c r="AQ132" s="236">
        <f ca="1">INDEX(Photobiology!$21:$421,1+$AH132-380,AQ$14)</f>
        <v>0.909173984208073</v>
      </c>
      <c r="AR132" s="236">
        <f ca="1">INDEX(Photobiology!$21:$421,1+$AH132-380,AR$14)</f>
        <v>0.999831925414328</v>
      </c>
      <c r="AS132" s="236">
        <f ca="1" t="shared" si="52"/>
        <v>3.29625845442586e+19</v>
      </c>
      <c r="AT132" s="236">
        <f ca="1">INDEX(Photobiology!$21:$421,1+$AH132-380,AT$14)</f>
        <v>0.102443211411023</v>
      </c>
      <c r="AU132" s="236">
        <f ca="1">INDEX(Photobiology!$21:$421,1+$AH132-380,AU$14)</f>
        <v>0.677733218903096</v>
      </c>
      <c r="AV132" s="236">
        <f ca="1">INDEX(Photobiology!$21:$421,1+$AH132-380,AV$14)</f>
        <v>0.426983965962113</v>
      </c>
      <c r="AW132" s="236">
        <f ca="1">INDEX(Photobiology!$21:$421,1+$AH132-380,AW$14)</f>
        <v>0.943863561464859</v>
      </c>
      <c r="AX132" s="236">
        <f ca="1">INDEX(Photobiology!$21:$421,1+$AH132-380,AX$14)</f>
        <v>0.995305649262709</v>
      </c>
      <c r="AY132" s="236">
        <f ca="1" t="shared" si="39"/>
        <v>13.3319879209511</v>
      </c>
      <c r="AZ132" s="236">
        <f ca="1" t="shared" si="53"/>
        <v>1.52407700828084</v>
      </c>
      <c r="BA132" s="236">
        <f ca="1" t="shared" si="40"/>
        <v>8.16977152955691</v>
      </c>
      <c r="BB132" s="236">
        <f ca="1" t="shared" si="41"/>
        <v>4.9098125482519</v>
      </c>
      <c r="BC132" s="236">
        <f ca="1" t="shared" si="42"/>
        <v>12.1210965755051</v>
      </c>
      <c r="BD132" s="236">
        <f ca="1" t="shared" si="43"/>
        <v>13.3297471526051</v>
      </c>
    </row>
    <row r="133" s="234" customFormat="1" ht="0.2" customHeight="1" spans="7:56">
      <c r="G133" s="236"/>
      <c r="H133" s="236">
        <f t="shared" si="44"/>
        <v>492</v>
      </c>
      <c r="I133" s="236">
        <f>IF($H133&gt;$H132,INDEX(Spectra!133:133,1,MATCH($I$20,Spectra!$20:$20,0)),I132)</f>
        <v>4.93787602774324</v>
      </c>
      <c r="J133" s="236">
        <f>((Physics!$C$9*Physics!$C$10)/(Physics!$C$11*Physics!$C$12*$H133))^($J$17-$J$18)</f>
        <v>2.47747885112936e+18</v>
      </c>
      <c r="K133" s="236">
        <f t="shared" si="45"/>
        <v>1</v>
      </c>
      <c r="L133" s="236">
        <f ca="1">INDEX(Photobiology!$21:$421,1+$H133-380,10)</f>
        <v>0.2267345</v>
      </c>
      <c r="M133" s="236">
        <f ca="1" t="shared" si="46"/>
        <v>4.93787602774324</v>
      </c>
      <c r="N133" s="236">
        <f ca="1">INDEX(Photobiology!$21:$421,1+$H133-380,N$14)</f>
        <v>0.104539880664148</v>
      </c>
      <c r="O133" s="236">
        <f ca="1">INDEX(Photobiology!$21:$421,1+$H133-380,O$14)</f>
        <v>0.623851178736904</v>
      </c>
      <c r="P133" s="236">
        <f ca="1">INDEX(Photobiology!$21:$421,1+$H133-380,P$14)</f>
        <v>0.377678271660573</v>
      </c>
      <c r="Q133" s="236">
        <f ca="1">INDEX(Photobiology!$21:$421,1+$H133-380,Q$14)</f>
        <v>0.916646743724094</v>
      </c>
      <c r="R133" s="236">
        <f ca="1">INDEX(Photobiology!$21:$421,1+$H133-380,R$14)</f>
        <v>0.998957472762385</v>
      </c>
      <c r="S133" s="236">
        <f ca="1" t="shared" si="47"/>
        <v>1.22334834282325e+19</v>
      </c>
      <c r="T133" s="236">
        <f ca="1">INDEX(Photobiology!$21:$421,1+$H133-380,T$14)</f>
        <v>0.0934909501874494</v>
      </c>
      <c r="U133" s="236">
        <f ca="1">INDEX(Photobiology!$21:$421,1+$H133-380,U$14)</f>
        <v>0.688559004931843</v>
      </c>
      <c r="V133" s="236">
        <f ca="1">INDEX(Photobiology!$21:$421,1+$H133-380,V$14)</f>
        <v>0.436998509932467</v>
      </c>
      <c r="W133" s="236">
        <f ca="1">INDEX(Photobiology!$21:$421,1+$H133-380,W$14)</f>
        <v>0.949687254553146</v>
      </c>
      <c r="X133" s="236">
        <f ca="1">INDEX(Photobiology!$21:$421,1+$H133-380,X$14)</f>
        <v>0.992413945625079</v>
      </c>
      <c r="Y133" s="236">
        <f ca="1" t="shared" si="34"/>
        <v>4.93787602774324</v>
      </c>
      <c r="Z133" s="236">
        <f ca="1" t="shared" si="48"/>
        <v>0.516204970674635</v>
      </c>
      <c r="AA133" s="236">
        <f ca="1" t="shared" si="35"/>
        <v>3.08049978036432</v>
      </c>
      <c r="AB133" s="236">
        <f ca="1" t="shared" si="36"/>
        <v>1.86492848383224</v>
      </c>
      <c r="AC133" s="236">
        <f ca="1" t="shared" si="37"/>
        <v>4.52628798174411</v>
      </c>
      <c r="AD133" s="236">
        <f ca="1" t="shared" si="38"/>
        <v>4.93272815748835</v>
      </c>
      <c r="AE133" s="236"/>
      <c r="AF133" s="236"/>
      <c r="AG133" s="236"/>
      <c r="AH133" s="236">
        <f t="shared" si="49"/>
        <v>492</v>
      </c>
      <c r="AI133" s="236">
        <f>IF($AH133&gt;$AH132,INDEX(Spectra!133:133,1,MATCH($AI$20,Spectra!$20:$20,0)),AI132)</f>
        <v>1</v>
      </c>
      <c r="AJ133" s="236">
        <f>((Physics!$C$9*Physics!$C$10)/(Physics!$C$11*Physics!$C$12*$AH133))^($AJ$17-$AJ$18)</f>
        <v>2.47747885112936e+18</v>
      </c>
      <c r="AK133" s="236">
        <f t="shared" si="50"/>
        <v>1</v>
      </c>
      <c r="AL133" s="236">
        <f ca="1">INDEX(Photobiology!$21:$421,1+$AH133-380,10)</f>
        <v>0.2267345</v>
      </c>
      <c r="AM133" s="236">
        <f ca="1" t="shared" si="51"/>
        <v>13.3319879209511</v>
      </c>
      <c r="AN133" s="236">
        <f ca="1">INDEX(Photobiology!$21:$421,1+$AH133-380,AN$14)</f>
        <v>0.104539880664148</v>
      </c>
      <c r="AO133" s="236">
        <f ca="1">INDEX(Photobiology!$21:$421,1+$AH133-380,AO$14)</f>
        <v>0.623851178736904</v>
      </c>
      <c r="AP133" s="236">
        <f ca="1">INDEX(Photobiology!$21:$421,1+$AH133-380,AP$14)</f>
        <v>0.377678271660573</v>
      </c>
      <c r="AQ133" s="236">
        <f ca="1">INDEX(Photobiology!$21:$421,1+$AH133-380,AQ$14)</f>
        <v>0.916646743724094</v>
      </c>
      <c r="AR133" s="236">
        <f ca="1">INDEX(Photobiology!$21:$421,1+$AH133-380,AR$14)</f>
        <v>0.998957472762385</v>
      </c>
      <c r="AS133" s="236">
        <f ca="1" t="shared" si="52"/>
        <v>3.30297181176685e+19</v>
      </c>
      <c r="AT133" s="236">
        <f ca="1">INDEX(Photobiology!$21:$421,1+$AH133-380,AT$14)</f>
        <v>0.0934909501874494</v>
      </c>
      <c r="AU133" s="236">
        <f ca="1">INDEX(Photobiology!$21:$421,1+$AH133-380,AU$14)</f>
        <v>0.688559004931843</v>
      </c>
      <c r="AV133" s="236">
        <f ca="1">INDEX(Photobiology!$21:$421,1+$AH133-380,AV$14)</f>
        <v>0.436998509932467</v>
      </c>
      <c r="AW133" s="236">
        <f ca="1">INDEX(Photobiology!$21:$421,1+$AH133-380,AW$14)</f>
        <v>0.949687254553146</v>
      </c>
      <c r="AX133" s="236">
        <f ca="1">INDEX(Photobiology!$21:$421,1+$AH133-380,AX$14)</f>
        <v>0.992413945625079</v>
      </c>
      <c r="AY133" s="236">
        <f ca="1" t="shared" si="39"/>
        <v>13.3319879209511</v>
      </c>
      <c r="AZ133" s="236">
        <f ca="1" t="shared" si="53"/>
        <v>1.39372442627209</v>
      </c>
      <c r="BA133" s="236">
        <f ca="1" t="shared" si="40"/>
        <v>8.31717637939153</v>
      </c>
      <c r="BB133" s="236">
        <f ca="1" t="shared" si="41"/>
        <v>5.03520215578446</v>
      </c>
      <c r="BC133" s="236">
        <f ca="1" t="shared" si="42"/>
        <v>12.2207233151088</v>
      </c>
      <c r="BD133" s="236">
        <f ca="1" t="shared" si="43"/>
        <v>13.318088960412</v>
      </c>
    </row>
    <row r="134" s="234" customFormat="1" ht="0.2" customHeight="1" spans="7:56">
      <c r="G134" s="236"/>
      <c r="H134" s="236">
        <f t="shared" si="44"/>
        <v>493</v>
      </c>
      <c r="I134" s="236">
        <f>IF($H134&gt;$H133,INDEX(Spectra!134:134,1,MATCH($I$20,Spectra!$20:$20,0)),I133)</f>
        <v>5.15195433786172</v>
      </c>
      <c r="J134" s="236">
        <f>((Physics!$C$9*Physics!$C$10)/(Physics!$C$11*Physics!$C$12*$H134))^($J$17-$J$18)</f>
        <v>2.48251437724954e+18</v>
      </c>
      <c r="K134" s="236">
        <f t="shared" si="45"/>
        <v>1</v>
      </c>
      <c r="L134" s="236">
        <f ca="1">INDEX(Photobiology!$21:$421,1+$H134-380,10)</f>
        <v>0.2368571</v>
      </c>
      <c r="M134" s="236">
        <f ca="1" t="shared" si="46"/>
        <v>5.15195433786172</v>
      </c>
      <c r="N134" s="236">
        <f ca="1">INDEX(Photobiology!$21:$421,1+$H134-380,N$14)</f>
        <v>0.0955027769896623</v>
      </c>
      <c r="O134" s="236">
        <f ca="1">INDEX(Photobiology!$21:$421,1+$H134-380,O$14)</f>
        <v>0.634902445673578</v>
      </c>
      <c r="P134" s="236">
        <f ca="1">INDEX(Photobiology!$21:$421,1+$H134-380,P$14)</f>
        <v>0.387210388040162</v>
      </c>
      <c r="Q134" s="236">
        <f ca="1">INDEX(Photobiology!$21:$421,1+$H134-380,Q$14)</f>
        <v>0.923883051258951</v>
      </c>
      <c r="R134" s="236">
        <f ca="1">INDEX(Photobiology!$21:$421,1+$H134-380,R$14)</f>
        <v>0.997369309001774</v>
      </c>
      <c r="S134" s="236">
        <f ca="1" t="shared" si="47"/>
        <v>1.27898007146749e+19</v>
      </c>
      <c r="T134" s="236">
        <f ca="1">INDEX(Photobiology!$21:$421,1+$H134-380,T$14)</f>
        <v>0.0852357441692726</v>
      </c>
      <c r="U134" s="236">
        <f ca="1">INDEX(Photobiology!$21:$421,1+$H134-380,U$14)</f>
        <v>0.699335131515442</v>
      </c>
      <c r="V134" s="236">
        <f ca="1">INDEX(Photobiology!$21:$421,1+$H134-380,V$14)</f>
        <v>0.447119014747167</v>
      </c>
      <c r="W134" s="236">
        <f ca="1">INDEX(Photobiology!$21:$421,1+$H134-380,W$14)</f>
        <v>0.955242844130733</v>
      </c>
      <c r="X134" s="236">
        <f ca="1">INDEX(Photobiology!$21:$421,1+$H134-380,X$14)</f>
        <v>0.9888263751969</v>
      </c>
      <c r="Y134" s="236">
        <f ca="1" t="shared" si="34"/>
        <v>5.15195433786172</v>
      </c>
      <c r="Z134" s="236">
        <f ca="1" t="shared" si="48"/>
        <v>0.492025946189731</v>
      </c>
      <c r="AA134" s="236">
        <f ca="1" t="shared" si="35"/>
        <v>3.270988409107</v>
      </c>
      <c r="AB134" s="236">
        <f ca="1" t="shared" si="36"/>
        <v>1.99489023832863</v>
      </c>
      <c r="AC134" s="236">
        <f ca="1" t="shared" si="37"/>
        <v>4.75980329361047</v>
      </c>
      <c r="AD134" s="236">
        <f ca="1" t="shared" si="38"/>
        <v>5.13840113796184</v>
      </c>
      <c r="AE134" s="236"/>
      <c r="AF134" s="236"/>
      <c r="AG134" s="236"/>
      <c r="AH134" s="236">
        <f t="shared" si="49"/>
        <v>493</v>
      </c>
      <c r="AI134" s="236">
        <f>IF($AH134&gt;$AH133,INDEX(Spectra!134:134,1,MATCH($AI$20,Spectra!$20:$20,0)),AI133)</f>
        <v>1</v>
      </c>
      <c r="AJ134" s="236">
        <f>((Physics!$C$9*Physics!$C$10)/(Physics!$C$11*Physics!$C$12*$AH134))^($AJ$17-$AJ$18)</f>
        <v>2.48251437724954e+18</v>
      </c>
      <c r="AK134" s="236">
        <f t="shared" si="50"/>
        <v>1</v>
      </c>
      <c r="AL134" s="236">
        <f ca="1">INDEX(Photobiology!$21:$421,1+$AH134-380,10)</f>
        <v>0.2368571</v>
      </c>
      <c r="AM134" s="236">
        <f ca="1" t="shared" si="51"/>
        <v>13.3319879209511</v>
      </c>
      <c r="AN134" s="236">
        <f ca="1">INDEX(Photobiology!$21:$421,1+$AH134-380,AN$14)</f>
        <v>0.0955027769896623</v>
      </c>
      <c r="AO134" s="236">
        <f ca="1">INDEX(Photobiology!$21:$421,1+$AH134-380,AO$14)</f>
        <v>0.634902445673578</v>
      </c>
      <c r="AP134" s="236">
        <f ca="1">INDEX(Photobiology!$21:$421,1+$AH134-380,AP$14)</f>
        <v>0.387210388040162</v>
      </c>
      <c r="AQ134" s="236">
        <f ca="1">INDEX(Photobiology!$21:$421,1+$AH134-380,AQ$14)</f>
        <v>0.923883051258951</v>
      </c>
      <c r="AR134" s="236">
        <f ca="1">INDEX(Photobiology!$21:$421,1+$AH134-380,AR$14)</f>
        <v>0.997369309001774</v>
      </c>
      <c r="AS134" s="236">
        <f ca="1" t="shared" si="52"/>
        <v>3.30968516910784e+19</v>
      </c>
      <c r="AT134" s="236">
        <f ca="1">INDEX(Photobiology!$21:$421,1+$AH134-380,AT$14)</f>
        <v>0.0852357441692726</v>
      </c>
      <c r="AU134" s="236">
        <f ca="1">INDEX(Photobiology!$21:$421,1+$AH134-380,AU$14)</f>
        <v>0.699335131515442</v>
      </c>
      <c r="AV134" s="236">
        <f ca="1">INDEX(Photobiology!$21:$421,1+$AH134-380,AV$14)</f>
        <v>0.447119014747167</v>
      </c>
      <c r="AW134" s="236">
        <f ca="1">INDEX(Photobiology!$21:$421,1+$AH134-380,AW$14)</f>
        <v>0.955242844130733</v>
      </c>
      <c r="AX134" s="236">
        <f ca="1">INDEX(Photobiology!$21:$421,1+$AH134-380,AX$14)</f>
        <v>0.9888263751969</v>
      </c>
      <c r="AY134" s="236">
        <f ca="1" t="shared" si="39"/>
        <v>13.3319879209511</v>
      </c>
      <c r="AZ134" s="236">
        <f ca="1" t="shared" si="53"/>
        <v>1.27324186924347</v>
      </c>
      <c r="BA134" s="236">
        <f ca="1" t="shared" si="40"/>
        <v>8.46451173670248</v>
      </c>
      <c r="BB134" s="236">
        <f ca="1" t="shared" si="41"/>
        <v>5.16228421621824</v>
      </c>
      <c r="BC134" s="236">
        <f ca="1" t="shared" si="42"/>
        <v>12.3171976797558</v>
      </c>
      <c r="BD134" s="236">
        <f ca="1" t="shared" si="43"/>
        <v>13.296915580339</v>
      </c>
    </row>
    <row r="135" s="234" customFormat="1" ht="0.2" customHeight="1" spans="7:56">
      <c r="G135" s="236"/>
      <c r="H135" s="236">
        <f t="shared" si="44"/>
        <v>494</v>
      </c>
      <c r="I135" s="236">
        <f>IF($H135&gt;$H134,INDEX(Spectra!135:135,1,MATCH($I$20,Spectra!$20:$20,0)),I134)</f>
        <v>5.37703085306423</v>
      </c>
      <c r="J135" s="236">
        <f>((Physics!$C$9*Physics!$C$10)/(Physics!$C$11*Physics!$C$12*$H135))^($J$17-$J$18)</f>
        <v>2.48754990336972e+18</v>
      </c>
      <c r="K135" s="236">
        <f t="shared" si="45"/>
        <v>1</v>
      </c>
      <c r="L135" s="236">
        <f ca="1">INDEX(Photobiology!$21:$421,1+$H135-380,10)</f>
        <v>0.2474812</v>
      </c>
      <c r="M135" s="236">
        <f ca="1" t="shared" si="46"/>
        <v>5.37703085306423</v>
      </c>
      <c r="N135" s="236">
        <f ca="1">INDEX(Photobiology!$21:$421,1+$H135-380,N$14)</f>
        <v>0.0871653744167768</v>
      </c>
      <c r="O135" s="236">
        <f ca="1">INDEX(Photobiology!$21:$421,1+$H135-380,O$14)</f>
        <v>0.645944195519439</v>
      </c>
      <c r="P135" s="236">
        <f ca="1">INDEX(Photobiology!$21:$421,1+$H135-380,P$14)</f>
        <v>0.39686609690435</v>
      </c>
      <c r="Q135" s="236">
        <f ca="1">INDEX(Photobiology!$21:$421,1+$H135-380,Q$14)</f>
        <v>0.930872070269433</v>
      </c>
      <c r="R135" s="236">
        <f ca="1">INDEX(Photobiology!$21:$421,1+$H135-380,R$14)</f>
        <v>0.99505938465413</v>
      </c>
      <c r="S135" s="236">
        <f ca="1" t="shared" si="47"/>
        <v>1.33756325789559e+19</v>
      </c>
      <c r="T135" s="236">
        <f ca="1">INDEX(Photobiology!$21:$421,1+$H135-380,T$14)</f>
        <v>0.0776371755938903</v>
      </c>
      <c r="U135" s="236">
        <f ca="1">INDEX(Photobiology!$21:$421,1+$H135-380,U$14)</f>
        <v>0.710057168349747</v>
      </c>
      <c r="V135" s="236">
        <f ca="1">INDEX(Photobiology!$21:$421,1+$H135-380,V$14)</f>
        <v>0.457340971495973</v>
      </c>
      <c r="W135" s="236">
        <f ca="1">INDEX(Photobiology!$21:$421,1+$H135-380,W$14)</f>
        <v>0.960520776664462</v>
      </c>
      <c r="X135" s="236">
        <f ca="1">INDEX(Photobiology!$21:$421,1+$H135-380,X$14)</f>
        <v>0.984539199513951</v>
      </c>
      <c r="Y135" s="236">
        <f ca="1" t="shared" si="34"/>
        <v>5.37703085306423</v>
      </c>
      <c r="Z135" s="236">
        <f ca="1" t="shared" si="48"/>
        <v>0.468690907557904</v>
      </c>
      <c r="AA135" s="236">
        <f ca="1" t="shared" si="35"/>
        <v>3.47326186866578</v>
      </c>
      <c r="AB135" s="236">
        <f ca="1" t="shared" si="36"/>
        <v>2.13396124758987</v>
      </c>
      <c r="AC135" s="236">
        <f ca="1" t="shared" si="37"/>
        <v>5.00532784209452</v>
      </c>
      <c r="AD135" s="236">
        <f ca="1" t="shared" si="38"/>
        <v>5.35046501191636</v>
      </c>
      <c r="AE135" s="236"/>
      <c r="AF135" s="236"/>
      <c r="AG135" s="236"/>
      <c r="AH135" s="236">
        <f t="shared" si="49"/>
        <v>494</v>
      </c>
      <c r="AI135" s="236">
        <f>IF($AH135&gt;$AH134,INDEX(Spectra!135:135,1,MATCH($AI$20,Spectra!$20:$20,0)),AI134)</f>
        <v>1</v>
      </c>
      <c r="AJ135" s="236">
        <f>((Physics!$C$9*Physics!$C$10)/(Physics!$C$11*Physics!$C$12*$AH135))^($AJ$17-$AJ$18)</f>
        <v>2.48754990336972e+18</v>
      </c>
      <c r="AK135" s="236">
        <f t="shared" si="50"/>
        <v>1</v>
      </c>
      <c r="AL135" s="236">
        <f ca="1">INDEX(Photobiology!$21:$421,1+$AH135-380,10)</f>
        <v>0.2474812</v>
      </c>
      <c r="AM135" s="236">
        <f ca="1" t="shared" si="51"/>
        <v>13.3319879209511</v>
      </c>
      <c r="AN135" s="236">
        <f ca="1">INDEX(Photobiology!$21:$421,1+$AH135-380,AN$14)</f>
        <v>0.0871653744167768</v>
      </c>
      <c r="AO135" s="236">
        <f ca="1">INDEX(Photobiology!$21:$421,1+$AH135-380,AO$14)</f>
        <v>0.645944195519439</v>
      </c>
      <c r="AP135" s="236">
        <f ca="1">INDEX(Photobiology!$21:$421,1+$AH135-380,AP$14)</f>
        <v>0.39686609690435</v>
      </c>
      <c r="AQ135" s="236">
        <f ca="1">INDEX(Photobiology!$21:$421,1+$AH135-380,AQ$14)</f>
        <v>0.930872070269433</v>
      </c>
      <c r="AR135" s="236">
        <f ca="1">INDEX(Photobiology!$21:$421,1+$AH135-380,AR$14)</f>
        <v>0.99505938465413</v>
      </c>
      <c r="AS135" s="236">
        <f ca="1" t="shared" si="52"/>
        <v>3.31639852644883e+19</v>
      </c>
      <c r="AT135" s="236">
        <f ca="1">INDEX(Photobiology!$21:$421,1+$AH135-380,AT$14)</f>
        <v>0.0776371755938903</v>
      </c>
      <c r="AU135" s="236">
        <f ca="1">INDEX(Photobiology!$21:$421,1+$AH135-380,AU$14)</f>
        <v>0.710057168349747</v>
      </c>
      <c r="AV135" s="236">
        <f ca="1">INDEX(Photobiology!$21:$421,1+$AH135-380,AV$14)</f>
        <v>0.457340971495973</v>
      </c>
      <c r="AW135" s="236">
        <f ca="1">INDEX(Photobiology!$21:$421,1+$AH135-380,AW$14)</f>
        <v>0.960520776664462</v>
      </c>
      <c r="AX135" s="236">
        <f ca="1">INDEX(Photobiology!$21:$421,1+$AH135-380,AX$14)</f>
        <v>0.984539199513951</v>
      </c>
      <c r="AY135" s="236">
        <f ca="1" t="shared" si="39"/>
        <v>13.3319879209511</v>
      </c>
      <c r="AZ135" s="236">
        <f ca="1" t="shared" si="53"/>
        <v>1.16208771884965</v>
      </c>
      <c r="BA135" s="236">
        <f ca="1" t="shared" si="40"/>
        <v>8.61172021227366</v>
      </c>
      <c r="BB135" s="236">
        <f ca="1" t="shared" si="41"/>
        <v>5.29101401016382</v>
      </c>
      <c r="BC135" s="236">
        <f ca="1" t="shared" si="42"/>
        <v>12.4103751967829</v>
      </c>
      <c r="BD135" s="236">
        <f ca="1" t="shared" si="43"/>
        <v>13.2661196968379</v>
      </c>
    </row>
    <row r="136" s="234" customFormat="1" ht="0.2" customHeight="1" spans="7:56">
      <c r="G136" s="236"/>
      <c r="H136" s="236">
        <f t="shared" si="44"/>
        <v>495</v>
      </c>
      <c r="I136" s="236">
        <f>IF($H136&gt;$H135,INDEX(Spectra!136:136,1,MATCH($I$20,Spectra!$20:$20,0)),I135)</f>
        <v>5.63486264115569</v>
      </c>
      <c r="J136" s="236">
        <f>((Physics!$C$9*Physics!$C$10)/(Physics!$C$11*Physics!$C$12*$H136))^($J$17-$J$18)</f>
        <v>2.4925854294899e+18</v>
      </c>
      <c r="K136" s="236">
        <f t="shared" si="45"/>
        <v>1</v>
      </c>
      <c r="L136" s="236">
        <f ca="1">INDEX(Photobiology!$21:$421,1+$H136-380,10)</f>
        <v>0.2586</v>
      </c>
      <c r="M136" s="236">
        <f ca="1" t="shared" si="46"/>
        <v>5.63486264115569</v>
      </c>
      <c r="N136" s="236">
        <f ca="1">INDEX(Photobiology!$21:$421,1+$H136-380,N$14)</f>
        <v>0.079487163599102</v>
      </c>
      <c r="O136" s="236">
        <f ca="1">INDEX(Photobiology!$21:$421,1+$H136-380,O$14)</f>
        <v>0.656969185685073</v>
      </c>
      <c r="P136" s="236">
        <f ca="1">INDEX(Photobiology!$21:$421,1+$H136-380,P$14)</f>
        <v>0.406639909462568</v>
      </c>
      <c r="Q136" s="236">
        <f ca="1">INDEX(Photobiology!$21:$421,1+$H136-380,Q$14)</f>
        <v>0.937605184246085</v>
      </c>
      <c r="R136" s="236">
        <f ca="1">INDEX(Photobiology!$21:$421,1+$H136-380,R$14)</f>
        <v>0.99202130656228</v>
      </c>
      <c r="S136" s="236">
        <f ca="1" t="shared" si="47"/>
        <v>1.40453765165216e+19</v>
      </c>
      <c r="T136" s="236">
        <f ca="1">INDEX(Photobiology!$21:$421,1+$H136-380,T$14)</f>
        <v>0.0706552565325351</v>
      </c>
      <c r="U136" s="236">
        <f ca="1">INDEX(Photobiology!$21:$421,1+$H136-380,U$14)</f>
        <v>0.720717497884979</v>
      </c>
      <c r="V136" s="236">
        <f ca="1">INDEX(Photobiology!$21:$421,1+$H136-380,V$14)</f>
        <v>0.467657452918547</v>
      </c>
      <c r="W136" s="236">
        <f ca="1">INDEX(Photobiology!$21:$421,1+$H136-380,W$14)</f>
        <v>0.96551386193654</v>
      </c>
      <c r="X136" s="236">
        <f ca="1">INDEX(Photobiology!$21:$421,1+$H136-380,X$14)</f>
        <v>0.979550345820966</v>
      </c>
      <c r="Y136" s="236">
        <f ca="1" t="shared" si="34"/>
        <v>5.63486264115569</v>
      </c>
      <c r="Z136" s="236">
        <f ca="1" t="shared" si="48"/>
        <v>0.44789924861601</v>
      </c>
      <c r="AA136" s="236">
        <f ca="1" t="shared" si="35"/>
        <v>3.70193112080729</v>
      </c>
      <c r="AB136" s="236">
        <f ca="1" t="shared" si="36"/>
        <v>2.29136003423356</v>
      </c>
      <c r="AC136" s="236">
        <f ca="1" t="shared" si="37"/>
        <v>5.28327642486216</v>
      </c>
      <c r="AD136" s="236">
        <f ca="1" t="shared" si="38"/>
        <v>5.58990379957825</v>
      </c>
      <c r="AE136" s="236"/>
      <c r="AF136" s="236"/>
      <c r="AG136" s="236"/>
      <c r="AH136" s="236">
        <f t="shared" si="49"/>
        <v>495</v>
      </c>
      <c r="AI136" s="236">
        <f>IF($AH136&gt;$AH135,INDEX(Spectra!136:136,1,MATCH($AI$20,Spectra!$20:$20,0)),AI135)</f>
        <v>1</v>
      </c>
      <c r="AJ136" s="236">
        <f>((Physics!$C$9*Physics!$C$10)/(Physics!$C$11*Physics!$C$12*$AH136))^($AJ$17-$AJ$18)</f>
        <v>2.4925854294899e+18</v>
      </c>
      <c r="AK136" s="236">
        <f t="shared" si="50"/>
        <v>1</v>
      </c>
      <c r="AL136" s="236">
        <f ca="1">INDEX(Photobiology!$21:$421,1+$AH136-380,10)</f>
        <v>0.2586</v>
      </c>
      <c r="AM136" s="236">
        <f ca="1" t="shared" si="51"/>
        <v>13.3319879209511</v>
      </c>
      <c r="AN136" s="236">
        <f ca="1">INDEX(Photobiology!$21:$421,1+$AH136-380,AN$14)</f>
        <v>0.079487163599102</v>
      </c>
      <c r="AO136" s="236">
        <f ca="1">INDEX(Photobiology!$21:$421,1+$AH136-380,AO$14)</f>
        <v>0.656969185685073</v>
      </c>
      <c r="AP136" s="236">
        <f ca="1">INDEX(Photobiology!$21:$421,1+$AH136-380,AP$14)</f>
        <v>0.406639909462568</v>
      </c>
      <c r="AQ136" s="236">
        <f ca="1">INDEX(Photobiology!$21:$421,1+$AH136-380,AQ$14)</f>
        <v>0.937605184246085</v>
      </c>
      <c r="AR136" s="236">
        <f ca="1">INDEX(Photobiology!$21:$421,1+$AH136-380,AR$14)</f>
        <v>0.99202130656228</v>
      </c>
      <c r="AS136" s="236">
        <f ca="1" t="shared" si="52"/>
        <v>3.32311188378982e+19</v>
      </c>
      <c r="AT136" s="236">
        <f ca="1">INDEX(Photobiology!$21:$421,1+$AH136-380,AT$14)</f>
        <v>0.0706552565325351</v>
      </c>
      <c r="AU136" s="236">
        <f ca="1">INDEX(Photobiology!$21:$421,1+$AH136-380,AU$14)</f>
        <v>0.720717497884979</v>
      </c>
      <c r="AV136" s="236">
        <f ca="1">INDEX(Photobiology!$21:$421,1+$AH136-380,AV$14)</f>
        <v>0.467657452918547</v>
      </c>
      <c r="AW136" s="236">
        <f ca="1">INDEX(Photobiology!$21:$421,1+$AH136-380,AW$14)</f>
        <v>0.96551386193654</v>
      </c>
      <c r="AX136" s="236">
        <f ca="1">INDEX(Photobiology!$21:$421,1+$AH136-380,AX$14)</f>
        <v>0.979550345820966</v>
      </c>
      <c r="AY136" s="236">
        <f ca="1" t="shared" si="39"/>
        <v>13.3319879209511</v>
      </c>
      <c r="AZ136" s="236">
        <f ca="1" t="shared" si="53"/>
        <v>1.0597219049739</v>
      </c>
      <c r="BA136" s="236">
        <f ca="1" t="shared" si="40"/>
        <v>8.7587052479905</v>
      </c>
      <c r="BB136" s="236">
        <f ca="1" t="shared" si="41"/>
        <v>5.42131836113162</v>
      </c>
      <c r="BC136" s="236">
        <f ca="1" t="shared" si="42"/>
        <v>12.50014099099</v>
      </c>
      <c r="BD136" s="236">
        <f ca="1" t="shared" si="43"/>
        <v>13.2256160764145</v>
      </c>
    </row>
    <row r="137" s="234" customFormat="1" ht="0.2" customHeight="1" spans="7:56">
      <c r="G137" s="236"/>
      <c r="H137" s="236">
        <f t="shared" si="44"/>
        <v>496</v>
      </c>
      <c r="I137" s="236">
        <f>IF($H137&gt;$H136,INDEX(Spectra!137:137,1,MATCH($I$20,Spectra!$20:$20,0)),I136)</f>
        <v>5.89085292340509</v>
      </c>
      <c r="J137" s="236">
        <f>((Physics!$C$9*Physics!$C$10)/(Physics!$C$11*Physics!$C$12*$H137))^($J$17-$J$18)</f>
        <v>2.49762095561008e+18</v>
      </c>
      <c r="K137" s="236">
        <f t="shared" si="45"/>
        <v>1</v>
      </c>
      <c r="L137" s="236">
        <f ca="1">INDEX(Photobiology!$21:$421,1+$H137-380,10)</f>
        <v>0.2701849</v>
      </c>
      <c r="M137" s="236">
        <f ca="1" t="shared" si="46"/>
        <v>5.89085292340509</v>
      </c>
      <c r="N137" s="236">
        <f ca="1">INDEX(Photobiology!$21:$421,1+$H137-380,N$14)</f>
        <v>0.0724274174825169</v>
      </c>
      <c r="O137" s="236">
        <f ca="1">INDEX(Photobiology!$21:$421,1+$H137-380,O$14)</f>
        <v>0.667973141037621</v>
      </c>
      <c r="P137" s="236">
        <f ca="1">INDEX(Photobiology!$21:$421,1+$H137-380,P$14)</f>
        <v>0.416527807194759</v>
      </c>
      <c r="Q137" s="236">
        <f ca="1">INDEX(Photobiology!$21:$421,1+$H137-380,Q$14)</f>
        <v>0.944069571447968</v>
      </c>
      <c r="R137" s="236">
        <f ca="1">INDEX(Photobiology!$21:$421,1+$H137-380,R$14)</f>
        <v>0.988257229350205</v>
      </c>
      <c r="S137" s="236">
        <f ca="1" t="shared" si="47"/>
        <v>1.47131177079135e+19</v>
      </c>
      <c r="T137" s="236">
        <f ca="1">INDEX(Photobiology!$21:$421,1+$H137-380,T$14)</f>
        <v>0.0642501284119101</v>
      </c>
      <c r="U137" s="236">
        <f ca="1">INDEX(Photobiology!$21:$421,1+$H137-380,U$14)</f>
        <v>0.731311812840479</v>
      </c>
      <c r="V137" s="236">
        <f ca="1">INDEX(Photobiology!$21:$421,1+$H137-380,V$14)</f>
        <v>0.478063275099538</v>
      </c>
      <c r="W137" s="236">
        <f ca="1">INDEX(Photobiology!$21:$421,1+$H137-380,W$14)</f>
        <v>0.9702106460414</v>
      </c>
      <c r="X137" s="236">
        <f ca="1">INDEX(Photobiology!$21:$421,1+$H137-380,X$14)</f>
        <v>0.973866181386414</v>
      </c>
      <c r="Y137" s="236">
        <f ca="1" t="shared" si="34"/>
        <v>5.89085292340509</v>
      </c>
      <c r="Z137" s="236">
        <f ca="1" t="shared" si="48"/>
        <v>0.426659264011566</v>
      </c>
      <c r="AA137" s="236">
        <f ca="1" t="shared" si="35"/>
        <v>3.93493153063755</v>
      </c>
      <c r="AB137" s="236">
        <f ca="1" t="shared" si="36"/>
        <v>2.45370405069276</v>
      </c>
      <c r="AC137" s="236">
        <f ca="1" t="shared" si="37"/>
        <v>5.56137499486205</v>
      </c>
      <c r="AD137" s="236">
        <f ca="1" t="shared" si="38"/>
        <v>5.82167798859387</v>
      </c>
      <c r="AE137" s="236"/>
      <c r="AF137" s="236"/>
      <c r="AG137" s="236"/>
      <c r="AH137" s="236">
        <f t="shared" si="49"/>
        <v>496</v>
      </c>
      <c r="AI137" s="236">
        <f>IF($AH137&gt;$AH136,INDEX(Spectra!137:137,1,MATCH($AI$20,Spectra!$20:$20,0)),AI136)</f>
        <v>1</v>
      </c>
      <c r="AJ137" s="236">
        <f>((Physics!$C$9*Physics!$C$10)/(Physics!$C$11*Physics!$C$12*$AH137))^($AJ$17-$AJ$18)</f>
        <v>2.49762095561008e+18</v>
      </c>
      <c r="AK137" s="236">
        <f t="shared" si="50"/>
        <v>1</v>
      </c>
      <c r="AL137" s="236">
        <f ca="1">INDEX(Photobiology!$21:$421,1+$AH137-380,10)</f>
        <v>0.2701849</v>
      </c>
      <c r="AM137" s="236">
        <f ca="1" t="shared" si="51"/>
        <v>13.3319879209511</v>
      </c>
      <c r="AN137" s="236">
        <f ca="1">INDEX(Photobiology!$21:$421,1+$AH137-380,AN$14)</f>
        <v>0.0724274174825169</v>
      </c>
      <c r="AO137" s="236">
        <f ca="1">INDEX(Photobiology!$21:$421,1+$AH137-380,AO$14)</f>
        <v>0.667973141037621</v>
      </c>
      <c r="AP137" s="236">
        <f ca="1">INDEX(Photobiology!$21:$421,1+$AH137-380,AP$14)</f>
        <v>0.416527807194759</v>
      </c>
      <c r="AQ137" s="236">
        <f ca="1">INDEX(Photobiology!$21:$421,1+$AH137-380,AQ$14)</f>
        <v>0.944069571447968</v>
      </c>
      <c r="AR137" s="236">
        <f ca="1">INDEX(Photobiology!$21:$421,1+$AH137-380,AR$14)</f>
        <v>0.988257229350205</v>
      </c>
      <c r="AS137" s="236">
        <f ca="1" t="shared" si="52"/>
        <v>3.32982524113081e+19</v>
      </c>
      <c r="AT137" s="236">
        <f ca="1">INDEX(Photobiology!$21:$421,1+$AH137-380,AT$14)</f>
        <v>0.0642501284119101</v>
      </c>
      <c r="AU137" s="236">
        <f ca="1">INDEX(Photobiology!$21:$421,1+$AH137-380,AU$14)</f>
        <v>0.731311812840479</v>
      </c>
      <c r="AV137" s="236">
        <f ca="1">INDEX(Photobiology!$21:$421,1+$AH137-380,AV$14)</f>
        <v>0.478063275099538</v>
      </c>
      <c r="AW137" s="236">
        <f ca="1">INDEX(Photobiology!$21:$421,1+$AH137-380,AW$14)</f>
        <v>0.9702106460414</v>
      </c>
      <c r="AX137" s="236">
        <f ca="1">INDEX(Photobiology!$21:$421,1+$AH137-380,AX$14)</f>
        <v>0.973866181386414</v>
      </c>
      <c r="AY137" s="236">
        <f ca="1" t="shared" si="39"/>
        <v>13.3319879209511</v>
      </c>
      <c r="AZ137" s="236">
        <f ca="1" t="shared" si="53"/>
        <v>0.965601455022601</v>
      </c>
      <c r="BA137" s="236">
        <f ca="1" t="shared" si="40"/>
        <v>8.90540984783336</v>
      </c>
      <c r="BB137" s="236">
        <f ca="1" t="shared" si="41"/>
        <v>5.55314369426079</v>
      </c>
      <c r="BC137" s="236">
        <f ca="1" t="shared" si="42"/>
        <v>12.5863241230818</v>
      </c>
      <c r="BD137" s="236">
        <f ca="1" t="shared" si="43"/>
        <v>13.1754334444896</v>
      </c>
    </row>
    <row r="138" s="234" customFormat="1" ht="0.2" customHeight="1" spans="7:56">
      <c r="G138" s="236"/>
      <c r="H138" s="236">
        <f t="shared" si="44"/>
        <v>497</v>
      </c>
      <c r="I138" s="236">
        <f>IF($H138&gt;$H137,INDEX(Spectra!138:138,1,MATCH($I$20,Spectra!$20:$20,0)),I137)</f>
        <v>6.20107586637133</v>
      </c>
      <c r="J138" s="236">
        <f>((Physics!$C$9*Physics!$C$10)/(Physics!$C$11*Physics!$C$12*$H138))^($J$17-$J$18)</f>
        <v>2.50265648173027e+18</v>
      </c>
      <c r="K138" s="236">
        <f t="shared" si="45"/>
        <v>1</v>
      </c>
      <c r="L138" s="236">
        <f ca="1">INDEX(Photobiology!$21:$421,1+$H138-380,10)</f>
        <v>0.2822939</v>
      </c>
      <c r="M138" s="236">
        <f ca="1" t="shared" si="46"/>
        <v>6.20107586637133</v>
      </c>
      <c r="N138" s="236">
        <f ca="1">INDEX(Photobiology!$21:$421,1+$H138-380,N$14)</f>
        <v>0.0659466896513305</v>
      </c>
      <c r="O138" s="236">
        <f ca="1">INDEX(Photobiology!$21:$421,1+$H138-380,O$14)</f>
        <v>0.678951887493374</v>
      </c>
      <c r="P138" s="236">
        <f ca="1">INDEX(Photobiology!$21:$421,1+$H138-380,P$14)</f>
        <v>0.426523535043998</v>
      </c>
      <c r="Q138" s="236">
        <f ca="1">INDEX(Photobiology!$21:$421,1+$H138-380,Q$14)</f>
        <v>0.950256830456826</v>
      </c>
      <c r="R138" s="236">
        <f ca="1">INDEX(Photobiology!$21:$421,1+$H138-380,R$14)</f>
        <v>0.98376643310012</v>
      </c>
      <c r="S138" s="236">
        <f ca="1" t="shared" si="47"/>
        <v>1.55191627106754e+19</v>
      </c>
      <c r="T138" s="236">
        <f ca="1">INDEX(Photobiology!$21:$421,1+$H138-380,T$14)</f>
        <v>0.0583833872164697</v>
      </c>
      <c r="U138" s="236">
        <f ca="1">INDEX(Photobiology!$21:$421,1+$H138-380,U$14)</f>
        <v>0.741835951010082</v>
      </c>
      <c r="V138" s="236">
        <f ca="1">INDEX(Photobiology!$21:$421,1+$H138-380,V$14)</f>
        <v>0.488550734059932</v>
      </c>
      <c r="W138" s="236">
        <f ca="1">INDEX(Photobiology!$21:$421,1+$H138-380,W$14)</f>
        <v>0.97460430083797</v>
      </c>
      <c r="X138" s="236">
        <f ca="1">INDEX(Photobiology!$21:$421,1+$H138-380,X$14)</f>
        <v>0.967490195250149</v>
      </c>
      <c r="Y138" s="236">
        <f ca="1" t="shared" si="34"/>
        <v>6.20107586637133</v>
      </c>
      <c r="Z138" s="236">
        <f ca="1" t="shared" si="48"/>
        <v>0.408940425663946</v>
      </c>
      <c r="AA138" s="236">
        <f ca="1" t="shared" si="35"/>
        <v>4.21023216396242</v>
      </c>
      <c r="AB138" s="236">
        <f ca="1" t="shared" si="36"/>
        <v>2.64490479960072</v>
      </c>
      <c r="AC138" s="236">
        <f ca="1" t="shared" si="37"/>
        <v>5.89261469820034</v>
      </c>
      <c r="AD138" s="236">
        <f ca="1" t="shared" si="38"/>
        <v>6.10041028644336</v>
      </c>
      <c r="AE138" s="236"/>
      <c r="AF138" s="236"/>
      <c r="AG138" s="236"/>
      <c r="AH138" s="236">
        <f t="shared" si="49"/>
        <v>497</v>
      </c>
      <c r="AI138" s="236">
        <f>IF($AH138&gt;$AH137,INDEX(Spectra!138:138,1,MATCH($AI$20,Spectra!$20:$20,0)),AI137)</f>
        <v>1</v>
      </c>
      <c r="AJ138" s="236">
        <f>((Physics!$C$9*Physics!$C$10)/(Physics!$C$11*Physics!$C$12*$AH138))^($AJ$17-$AJ$18)</f>
        <v>2.50265648173027e+18</v>
      </c>
      <c r="AK138" s="236">
        <f t="shared" si="50"/>
        <v>1</v>
      </c>
      <c r="AL138" s="236">
        <f ca="1">INDEX(Photobiology!$21:$421,1+$AH138-380,10)</f>
        <v>0.2822939</v>
      </c>
      <c r="AM138" s="236">
        <f ca="1" t="shared" si="51"/>
        <v>13.3319879209511</v>
      </c>
      <c r="AN138" s="236">
        <f ca="1">INDEX(Photobiology!$21:$421,1+$AH138-380,AN$14)</f>
        <v>0.0659466896513305</v>
      </c>
      <c r="AO138" s="236">
        <f ca="1">INDEX(Photobiology!$21:$421,1+$AH138-380,AO$14)</f>
        <v>0.678951887493374</v>
      </c>
      <c r="AP138" s="236">
        <f ca="1">INDEX(Photobiology!$21:$421,1+$AH138-380,AP$14)</f>
        <v>0.426523535043998</v>
      </c>
      <c r="AQ138" s="236">
        <f ca="1">INDEX(Photobiology!$21:$421,1+$AH138-380,AQ$14)</f>
        <v>0.950256830456826</v>
      </c>
      <c r="AR138" s="236">
        <f ca="1">INDEX(Photobiology!$21:$421,1+$AH138-380,AR$14)</f>
        <v>0.98376643310012</v>
      </c>
      <c r="AS138" s="236">
        <f ca="1" t="shared" si="52"/>
        <v>3.3365385984718e+19</v>
      </c>
      <c r="AT138" s="236">
        <f ca="1">INDEX(Photobiology!$21:$421,1+$AH138-380,AT$14)</f>
        <v>0.0583833872164697</v>
      </c>
      <c r="AU138" s="236">
        <f ca="1">INDEX(Photobiology!$21:$421,1+$AH138-380,AU$14)</f>
        <v>0.741835951010082</v>
      </c>
      <c r="AV138" s="236">
        <f ca="1">INDEX(Photobiology!$21:$421,1+$AH138-380,AV$14)</f>
        <v>0.488550734059932</v>
      </c>
      <c r="AW138" s="236">
        <f ca="1">INDEX(Photobiology!$21:$421,1+$AH138-380,AW$14)</f>
        <v>0.97460430083797</v>
      </c>
      <c r="AX138" s="236">
        <f ca="1">INDEX(Photobiology!$21:$421,1+$AH138-380,AX$14)</f>
        <v>0.967490195250149</v>
      </c>
      <c r="AY138" s="236">
        <f ca="1" t="shared" si="39"/>
        <v>13.3319879209511</v>
      </c>
      <c r="AZ138" s="236">
        <f ca="1" t="shared" si="53"/>
        <v>0.879200469858252</v>
      </c>
      <c r="BA138" s="236">
        <f ca="1" t="shared" si="40"/>
        <v>9.05177836296864</v>
      </c>
      <c r="BB138" s="236">
        <f ca="1" t="shared" si="41"/>
        <v>5.68640661720796</v>
      </c>
      <c r="BC138" s="236">
        <f ca="1" t="shared" si="42"/>
        <v>12.6688125854517</v>
      </c>
      <c r="BD138" s="236">
        <f ca="1" t="shared" si="43"/>
        <v>13.115562203128</v>
      </c>
    </row>
    <row r="139" s="234" customFormat="1" ht="0.2" customHeight="1" spans="7:56">
      <c r="G139" s="236"/>
      <c r="H139" s="236">
        <f t="shared" si="44"/>
        <v>498</v>
      </c>
      <c r="I139" s="236">
        <f>IF($H139&gt;$H138,INDEX(Spectra!139:139,1,MATCH($I$20,Spectra!$20:$20,0)),I138)</f>
        <v>6.51155575729748</v>
      </c>
      <c r="J139" s="236">
        <f>((Physics!$C$9*Physics!$C$10)/(Physics!$C$11*Physics!$C$12*$H139))^($J$17-$J$18)</f>
        <v>2.50769200785045e+18</v>
      </c>
      <c r="K139" s="236">
        <f t="shared" si="45"/>
        <v>1</v>
      </c>
      <c r="L139" s="236">
        <f ca="1">INDEX(Photobiology!$21:$421,1+$H139-380,10)</f>
        <v>0.2950505</v>
      </c>
      <c r="M139" s="236">
        <f ca="1" t="shared" si="46"/>
        <v>6.51155575729748</v>
      </c>
      <c r="N139" s="236">
        <f ca="1">INDEX(Photobiology!$21:$421,1+$H139-380,N$14)</f>
        <v>0.0600056300316773</v>
      </c>
      <c r="O139" s="236">
        <f ca="1">INDEX(Photobiology!$21:$421,1+$H139-380,O$14)</f>
        <v>0.689898181193528</v>
      </c>
      <c r="P139" s="236">
        <f ca="1">INDEX(Photobiology!$21:$421,1+$H139-380,P$14)</f>
        <v>0.436623392778576</v>
      </c>
      <c r="Q139" s="236">
        <f ca="1">INDEX(Photobiology!$21:$421,1+$H139-380,Q$14)</f>
        <v>0.956154338580984</v>
      </c>
      <c r="R139" s="236">
        <f ca="1">INDEX(Photobiology!$21:$421,1+$H139-380,R$14)</f>
        <v>0.978547698869323</v>
      </c>
      <c r="S139" s="236">
        <f ca="1" t="shared" si="47"/>
        <v>1.63289763312475e+19</v>
      </c>
      <c r="T139" s="236">
        <f ca="1">INDEX(Photobiology!$21:$421,1+$H139-380,T$14)</f>
        <v>0.0530170225179478</v>
      </c>
      <c r="U139" s="236">
        <f ca="1">INDEX(Photobiology!$21:$421,1+$H139-380,U$14)</f>
        <v>0.752282436258548</v>
      </c>
      <c r="V139" s="236">
        <f ca="1">INDEX(Photobiology!$21:$421,1+$H139-380,V$14)</f>
        <v>0.499115108184593</v>
      </c>
      <c r="W139" s="236">
        <f ca="1">INDEX(Photobiology!$21:$421,1+$H139-380,W$14)</f>
        <v>0.978683732292479</v>
      </c>
      <c r="X139" s="236">
        <f ca="1">INDEX(Photobiology!$21:$421,1+$H139-380,X$14)</f>
        <v>0.960425358644447</v>
      </c>
      <c r="Y139" s="236">
        <f ca="1" t="shared" si="34"/>
        <v>6.51155575729748</v>
      </c>
      <c r="Z139" s="236">
        <f ca="1" t="shared" si="48"/>
        <v>0.390730005703031</v>
      </c>
      <c r="AA139" s="236">
        <f ca="1" t="shared" si="35"/>
        <v>4.49231047369978</v>
      </c>
      <c r="AB139" s="236">
        <f ca="1" t="shared" si="36"/>
        <v>2.8430975670181</v>
      </c>
      <c r="AC139" s="236">
        <f ca="1" t="shared" si="37"/>
        <v>6.22605228825197</v>
      </c>
      <c r="AD139" s="236">
        <f ca="1" t="shared" si="38"/>
        <v>6.37186790236274</v>
      </c>
      <c r="AE139" s="236"/>
      <c r="AF139" s="236"/>
      <c r="AG139" s="236"/>
      <c r="AH139" s="236">
        <f t="shared" si="49"/>
        <v>498</v>
      </c>
      <c r="AI139" s="236">
        <f>IF($AH139&gt;$AH138,INDEX(Spectra!139:139,1,MATCH($AI$20,Spectra!$20:$20,0)),AI138)</f>
        <v>1</v>
      </c>
      <c r="AJ139" s="236">
        <f>((Physics!$C$9*Physics!$C$10)/(Physics!$C$11*Physics!$C$12*$AH139))^($AJ$17-$AJ$18)</f>
        <v>2.50769200785045e+18</v>
      </c>
      <c r="AK139" s="236">
        <f t="shared" si="50"/>
        <v>1</v>
      </c>
      <c r="AL139" s="236">
        <f ca="1">INDEX(Photobiology!$21:$421,1+$AH139-380,10)</f>
        <v>0.2950505</v>
      </c>
      <c r="AM139" s="236">
        <f ca="1" t="shared" si="51"/>
        <v>13.3319879209511</v>
      </c>
      <c r="AN139" s="236">
        <f ca="1">INDEX(Photobiology!$21:$421,1+$AH139-380,AN$14)</f>
        <v>0.0600056300316773</v>
      </c>
      <c r="AO139" s="236">
        <f ca="1">INDEX(Photobiology!$21:$421,1+$AH139-380,AO$14)</f>
        <v>0.689898181193528</v>
      </c>
      <c r="AP139" s="236">
        <f ca="1">INDEX(Photobiology!$21:$421,1+$AH139-380,AP$14)</f>
        <v>0.436623392778576</v>
      </c>
      <c r="AQ139" s="236">
        <f ca="1">INDEX(Photobiology!$21:$421,1+$AH139-380,AQ$14)</f>
        <v>0.956154338580984</v>
      </c>
      <c r="AR139" s="236">
        <f ca="1">INDEX(Photobiology!$21:$421,1+$AH139-380,AR$14)</f>
        <v>0.978547698869323</v>
      </c>
      <c r="AS139" s="236">
        <f ca="1" t="shared" si="52"/>
        <v>3.34325195581279e+19</v>
      </c>
      <c r="AT139" s="236">
        <f ca="1">INDEX(Photobiology!$21:$421,1+$AH139-380,AT$14)</f>
        <v>0.0530170225179478</v>
      </c>
      <c r="AU139" s="236">
        <f ca="1">INDEX(Photobiology!$21:$421,1+$AH139-380,AU$14)</f>
        <v>0.752282436258548</v>
      </c>
      <c r="AV139" s="236">
        <f ca="1">INDEX(Photobiology!$21:$421,1+$AH139-380,AV$14)</f>
        <v>0.499115108184593</v>
      </c>
      <c r="AW139" s="236">
        <f ca="1">INDEX(Photobiology!$21:$421,1+$AH139-380,AW$14)</f>
        <v>0.978683732292479</v>
      </c>
      <c r="AX139" s="236">
        <f ca="1">INDEX(Photobiology!$21:$421,1+$AH139-380,AX$14)</f>
        <v>0.960425358644447</v>
      </c>
      <c r="AY139" s="236">
        <f ca="1" t="shared" si="39"/>
        <v>13.3319879209511</v>
      </c>
      <c r="AZ139" s="236">
        <f ca="1" t="shared" si="53"/>
        <v>0.799994334771385</v>
      </c>
      <c r="BA139" s="236">
        <f ca="1" t="shared" si="40"/>
        <v>9.19771421835828</v>
      </c>
      <c r="BB139" s="236">
        <f ca="1" t="shared" si="41"/>
        <v>5.82105779852868</v>
      </c>
      <c r="BC139" s="236">
        <f ca="1" t="shared" si="42"/>
        <v>12.7474380925267</v>
      </c>
      <c r="BD139" s="236">
        <f ca="1" t="shared" si="43"/>
        <v>13.0459861014003</v>
      </c>
    </row>
    <row r="140" s="234" customFormat="1" ht="0.2" customHeight="1" spans="7:56">
      <c r="G140" s="236"/>
      <c r="H140" s="236">
        <f t="shared" si="44"/>
        <v>499</v>
      </c>
      <c r="I140" s="236">
        <f>IF($H140&gt;$H139,INDEX(Spectra!140:140,1,MATCH($I$20,Spectra!$20:$20,0)),I139)</f>
        <v>6.86408298214933</v>
      </c>
      <c r="J140" s="236">
        <f>((Physics!$C$9*Physics!$C$10)/(Physics!$C$11*Physics!$C$12*$H140))^($J$17-$J$18)</f>
        <v>2.51272753397063e+18</v>
      </c>
      <c r="K140" s="236">
        <f t="shared" si="45"/>
        <v>1</v>
      </c>
      <c r="L140" s="236">
        <f ca="1">INDEX(Photobiology!$21:$421,1+$H140-380,10)</f>
        <v>0.308578</v>
      </c>
      <c r="M140" s="236">
        <f ca="1" t="shared" si="46"/>
        <v>6.86408298214933</v>
      </c>
      <c r="N140" s="236">
        <f ca="1">INDEX(Photobiology!$21:$421,1+$H140-380,N$14)</f>
        <v>0.054566738950904</v>
      </c>
      <c r="O140" s="236">
        <f ca="1">INDEX(Photobiology!$21:$421,1+$H140-380,O$14)</f>
        <v>0.700806304307063</v>
      </c>
      <c r="P140" s="236">
        <f ca="1">INDEX(Photobiology!$21:$421,1+$H140-380,P$14)</f>
        <v>0.446822464876445</v>
      </c>
      <c r="Q140" s="236">
        <f ca="1">INDEX(Photobiology!$21:$421,1+$H140-380,Q$14)</f>
        <v>0.961751782730009</v>
      </c>
      <c r="R140" s="236">
        <f ca="1">INDEX(Photobiology!$21:$421,1+$H140-380,R$14)</f>
        <v>0.972608364027112</v>
      </c>
      <c r="S140" s="236">
        <f ca="1" t="shared" si="47"/>
        <v>1.72475703047059e+19</v>
      </c>
      <c r="T140" s="236">
        <f ca="1">INDEX(Photobiology!$21:$421,1+$H140-380,T$14)</f>
        <v>0.0481149601971899</v>
      </c>
      <c r="U140" s="236">
        <f ca="1">INDEX(Photobiology!$21:$421,1+$H140-380,U$14)</f>
        <v>0.762645513064184</v>
      </c>
      <c r="V140" s="236">
        <f ca="1">INDEX(Photobiology!$21:$421,1+$H140-380,V$14)</f>
        <v>0.509750327262283</v>
      </c>
      <c r="W140" s="236">
        <f ca="1">INDEX(Photobiology!$21:$421,1+$H140-380,W$14)</f>
        <v>0.982440294585007</v>
      </c>
      <c r="X140" s="236">
        <f ca="1">INDEX(Photobiology!$21:$421,1+$H140-380,X$14)</f>
        <v>0.952683000007007</v>
      </c>
      <c r="Y140" s="236">
        <f ca="1" t="shared" si="34"/>
        <v>6.86408298214933</v>
      </c>
      <c r="Z140" s="236">
        <f ca="1" t="shared" si="48"/>
        <v>0.374550624224285</v>
      </c>
      <c r="AA140" s="236">
        <f ca="1" t="shared" si="35"/>
        <v>4.81039262717708</v>
      </c>
      <c r="AB140" s="236">
        <f ca="1" t="shared" si="36"/>
        <v>3.06702647720042</v>
      </c>
      <c r="AC140" s="236">
        <f ca="1" t="shared" si="37"/>
        <v>6.60154404488883</v>
      </c>
      <c r="AD140" s="236">
        <f ca="1" t="shared" si="38"/>
        <v>6.6760645198146</v>
      </c>
      <c r="AE140" s="236"/>
      <c r="AF140" s="236"/>
      <c r="AG140" s="236"/>
      <c r="AH140" s="236">
        <f t="shared" si="49"/>
        <v>499</v>
      </c>
      <c r="AI140" s="236">
        <f>IF($AH140&gt;$AH139,INDEX(Spectra!140:140,1,MATCH($AI$20,Spectra!$20:$20,0)),AI139)</f>
        <v>1</v>
      </c>
      <c r="AJ140" s="236">
        <f>((Physics!$C$9*Physics!$C$10)/(Physics!$C$11*Physics!$C$12*$AH140))^($AJ$17-$AJ$18)</f>
        <v>2.51272753397063e+18</v>
      </c>
      <c r="AK140" s="236">
        <f t="shared" si="50"/>
        <v>1</v>
      </c>
      <c r="AL140" s="236">
        <f ca="1">INDEX(Photobiology!$21:$421,1+$AH140-380,10)</f>
        <v>0.308578</v>
      </c>
      <c r="AM140" s="236">
        <f ca="1" t="shared" si="51"/>
        <v>13.3319879209511</v>
      </c>
      <c r="AN140" s="236">
        <f ca="1">INDEX(Photobiology!$21:$421,1+$AH140-380,AN$14)</f>
        <v>0.054566738950904</v>
      </c>
      <c r="AO140" s="236">
        <f ca="1">INDEX(Photobiology!$21:$421,1+$AH140-380,AO$14)</f>
        <v>0.700806304307063</v>
      </c>
      <c r="AP140" s="236">
        <f ca="1">INDEX(Photobiology!$21:$421,1+$AH140-380,AP$14)</f>
        <v>0.446822464876445</v>
      </c>
      <c r="AQ140" s="236">
        <f ca="1">INDEX(Photobiology!$21:$421,1+$AH140-380,AQ$14)</f>
        <v>0.961751782730009</v>
      </c>
      <c r="AR140" s="236">
        <f ca="1">INDEX(Photobiology!$21:$421,1+$AH140-380,AR$14)</f>
        <v>0.972608364027112</v>
      </c>
      <c r="AS140" s="236">
        <f ca="1" t="shared" si="52"/>
        <v>3.34996531315378e+19</v>
      </c>
      <c r="AT140" s="236">
        <f ca="1">INDEX(Photobiology!$21:$421,1+$AH140-380,AT$14)</f>
        <v>0.0481149601971899</v>
      </c>
      <c r="AU140" s="236">
        <f ca="1">INDEX(Photobiology!$21:$421,1+$AH140-380,AU$14)</f>
        <v>0.762645513064184</v>
      </c>
      <c r="AV140" s="236">
        <f ca="1">INDEX(Photobiology!$21:$421,1+$AH140-380,AV$14)</f>
        <v>0.509750327262283</v>
      </c>
      <c r="AW140" s="236">
        <f ca="1">INDEX(Photobiology!$21:$421,1+$AH140-380,AW$14)</f>
        <v>0.982440294585007</v>
      </c>
      <c r="AX140" s="236">
        <f ca="1">INDEX(Photobiology!$21:$421,1+$AH140-380,AX$14)</f>
        <v>0.952683000007007</v>
      </c>
      <c r="AY140" s="236">
        <f ca="1" t="shared" si="39"/>
        <v>13.3319879209511</v>
      </c>
      <c r="AZ140" s="236">
        <f ca="1" t="shared" si="53"/>
        <v>0.727483104579146</v>
      </c>
      <c r="BA140" s="236">
        <f ca="1" t="shared" si="40"/>
        <v>9.34314118394817</v>
      </c>
      <c r="BB140" s="236">
        <f ca="1" t="shared" si="41"/>
        <v>5.95703170454238</v>
      </c>
      <c r="BC140" s="236">
        <f ca="1" t="shared" si="42"/>
        <v>12.8220631503097</v>
      </c>
      <c r="BD140" s="236">
        <f ca="1" t="shared" si="43"/>
        <v>12.9668029610255</v>
      </c>
    </row>
    <row r="141" s="234" customFormat="1" ht="0.2" customHeight="1" spans="7:56">
      <c r="G141" s="236"/>
      <c r="H141" s="236">
        <f t="shared" si="44"/>
        <v>500</v>
      </c>
      <c r="I141" s="236">
        <f>IF($H141&gt;$H140,INDEX(Spectra!141:141,1,MATCH($I$20,Spectra!$20:$20,0)),I140)</f>
        <v>7.23515697545042</v>
      </c>
      <c r="J141" s="236">
        <f>((Physics!$C$9*Physics!$C$10)/(Physics!$C$11*Physics!$C$12*$H141))^($J$17-$J$18)</f>
        <v>2.51776306009081e+18</v>
      </c>
      <c r="K141" s="236">
        <f t="shared" si="45"/>
        <v>1</v>
      </c>
      <c r="L141" s="236">
        <f ca="1">INDEX(Photobiology!$21:$421,1+$H141-380,10)</f>
        <v>0.323</v>
      </c>
      <c r="M141" s="236">
        <f ca="1" t="shared" si="46"/>
        <v>7.23515697545042</v>
      </c>
      <c r="N141" s="236">
        <f ca="1">INDEX(Photobiology!$21:$421,1+$H141-380,N$14)</f>
        <v>0.0495936416947002</v>
      </c>
      <c r="O141" s="236">
        <f ca="1">INDEX(Photobiology!$21:$421,1+$H141-380,O$14)</f>
        <v>0.711672197797391</v>
      </c>
      <c r="P141" s="236">
        <f ca="1">INDEX(Photobiology!$21:$421,1+$H141-380,P$14)</f>
        <v>0.457114502483503</v>
      </c>
      <c r="Q141" s="236">
        <f ca="1">INDEX(Photobiology!$21:$421,1+$H141-380,Q$14)</f>
        <v>0.967034570621391</v>
      </c>
      <c r="R141" s="236">
        <f ca="1">INDEX(Photobiology!$21:$421,1+$H141-380,R$14)</f>
        <v>0.965950785529675</v>
      </c>
      <c r="S141" s="236">
        <f ca="1" t="shared" si="47"/>
        <v>1.82164109667474e+19</v>
      </c>
      <c r="T141" s="236">
        <f ca="1">INDEX(Photobiology!$21:$421,1+$H141-380,T$14)</f>
        <v>0.0436424046913362</v>
      </c>
      <c r="U141" s="236">
        <f ca="1">INDEX(Photobiology!$21:$421,1+$H141-380,U$14)</f>
        <v>0.772921273505733</v>
      </c>
      <c r="V141" s="236">
        <f ca="1">INDEX(Photobiology!$21:$421,1+$H141-380,V$14)</f>
        <v>0.520448851574933</v>
      </c>
      <c r="W141" s="236">
        <f ca="1">INDEX(Photobiology!$21:$421,1+$H141-380,W$14)</f>
        <v>0.985861048561704</v>
      </c>
      <c r="X141" s="236">
        <f ca="1">INDEX(Photobiology!$21:$421,1+$H141-380,X$14)</f>
        <v>0.944269488523029</v>
      </c>
      <c r="Y141" s="236">
        <f ca="1" t="shared" si="34"/>
        <v>7.23515697545042</v>
      </c>
      <c r="Z141" s="236">
        <f ca="1" t="shared" si="48"/>
        <v>0.358817782645399</v>
      </c>
      <c r="AA141" s="236">
        <f ca="1" t="shared" si="35"/>
        <v>5.14906006612792</v>
      </c>
      <c r="AB141" s="236">
        <f ca="1" t="shared" si="36"/>
        <v>3.30729518122306</v>
      </c>
      <c r="AC141" s="236">
        <f ca="1" t="shared" si="37"/>
        <v>6.99664691913306</v>
      </c>
      <c r="AD141" s="236">
        <f ca="1" t="shared" si="38"/>
        <v>6.98880556386684</v>
      </c>
      <c r="AE141" s="236"/>
      <c r="AF141" s="236"/>
      <c r="AG141" s="236"/>
      <c r="AH141" s="236">
        <f t="shared" si="49"/>
        <v>500</v>
      </c>
      <c r="AI141" s="236">
        <f>IF($AH141&gt;$AH140,INDEX(Spectra!141:141,1,MATCH($AI$20,Spectra!$20:$20,0)),AI140)</f>
        <v>1</v>
      </c>
      <c r="AJ141" s="236">
        <f>((Physics!$C$9*Physics!$C$10)/(Physics!$C$11*Physics!$C$12*$AH141))^($AJ$17-$AJ$18)</f>
        <v>2.51776306009081e+18</v>
      </c>
      <c r="AK141" s="236">
        <f t="shared" si="50"/>
        <v>1</v>
      </c>
      <c r="AL141" s="236">
        <f ca="1">INDEX(Photobiology!$21:$421,1+$AH141-380,10)</f>
        <v>0.323</v>
      </c>
      <c r="AM141" s="236">
        <f ca="1" t="shared" si="51"/>
        <v>13.3319879209511</v>
      </c>
      <c r="AN141" s="236">
        <f ca="1">INDEX(Photobiology!$21:$421,1+$AH141-380,AN$14)</f>
        <v>0.0495936416947002</v>
      </c>
      <c r="AO141" s="236">
        <f ca="1">INDEX(Photobiology!$21:$421,1+$AH141-380,AO$14)</f>
        <v>0.711672197797391</v>
      </c>
      <c r="AP141" s="236">
        <f ca="1">INDEX(Photobiology!$21:$421,1+$AH141-380,AP$14)</f>
        <v>0.457114502483503</v>
      </c>
      <c r="AQ141" s="236">
        <f ca="1">INDEX(Photobiology!$21:$421,1+$AH141-380,AQ$14)</f>
        <v>0.967034570621391</v>
      </c>
      <c r="AR141" s="236">
        <f ca="1">INDEX(Photobiology!$21:$421,1+$AH141-380,AR$14)</f>
        <v>0.965950785529675</v>
      </c>
      <c r="AS141" s="236">
        <f ca="1" t="shared" si="52"/>
        <v>3.35667867049477e+19</v>
      </c>
      <c r="AT141" s="236">
        <f ca="1">INDEX(Photobiology!$21:$421,1+$AH141-380,AT$14)</f>
        <v>0.0436424046913362</v>
      </c>
      <c r="AU141" s="236">
        <f ca="1">INDEX(Photobiology!$21:$421,1+$AH141-380,AU$14)</f>
        <v>0.772921273505733</v>
      </c>
      <c r="AV141" s="236">
        <f ca="1">INDEX(Photobiology!$21:$421,1+$AH141-380,AV$14)</f>
        <v>0.520448851574933</v>
      </c>
      <c r="AW141" s="236">
        <f ca="1">INDEX(Photobiology!$21:$421,1+$AH141-380,AW$14)</f>
        <v>0.985861048561704</v>
      </c>
      <c r="AX141" s="236">
        <f ca="1">INDEX(Photobiology!$21:$421,1+$AH141-380,AX$14)</f>
        <v>0.944269488523029</v>
      </c>
      <c r="AY141" s="236">
        <f ca="1" t="shared" si="39"/>
        <v>13.3319879209511</v>
      </c>
      <c r="AZ141" s="236">
        <f ca="1" t="shared" si="53"/>
        <v>0.661181832029722</v>
      </c>
      <c r="BA141" s="236">
        <f ca="1" t="shared" si="40"/>
        <v>9.48800514471157</v>
      </c>
      <c r="BB141" s="236">
        <f ca="1" t="shared" si="41"/>
        <v>6.09424502560165</v>
      </c>
      <c r="BC141" s="236">
        <f ca="1" t="shared" si="42"/>
        <v>12.8924932146666</v>
      </c>
      <c r="BD141" s="236">
        <f ca="1" t="shared" si="43"/>
        <v>12.8780442049149</v>
      </c>
    </row>
    <row r="142" s="234" customFormat="1" ht="0.2" customHeight="1" spans="7:56">
      <c r="G142" s="236"/>
      <c r="H142" s="236">
        <f t="shared" si="44"/>
        <v>501</v>
      </c>
      <c r="I142" s="236">
        <f>IF($H142&gt;$H141,INDEX(Spectra!142:142,1,MATCH($I$20,Spectra!$20:$20,0)),I141)</f>
        <v>7.62978736040062</v>
      </c>
      <c r="J142" s="236">
        <f>((Physics!$C$9*Physics!$C$10)/(Physics!$C$11*Physics!$C$12*$H142))^($J$17-$J$18)</f>
        <v>2.52279858621099e+18</v>
      </c>
      <c r="K142" s="236">
        <f t="shared" si="45"/>
        <v>1</v>
      </c>
      <c r="L142" s="236">
        <f ca="1">INDEX(Photobiology!$21:$421,1+$H142-380,10)</f>
        <v>0.3384021</v>
      </c>
      <c r="M142" s="236">
        <f ca="1" t="shared" si="46"/>
        <v>7.62978736040062</v>
      </c>
      <c r="N142" s="236">
        <f ca="1">INDEX(Photobiology!$21:$421,1+$H142-380,N$14)</f>
        <v>0.0450516809669606</v>
      </c>
      <c r="O142" s="236">
        <f ca="1">INDEX(Photobiology!$21:$421,1+$H142-380,O$14)</f>
        <v>0.72249026552524</v>
      </c>
      <c r="P142" s="236">
        <f ca="1">INDEX(Photobiology!$21:$421,1+$H142-380,P$14)</f>
        <v>0.467496108394127</v>
      </c>
      <c r="Q142" s="236">
        <f ca="1">INDEX(Photobiology!$21:$421,1+$H142-380,Q$14)</f>
        <v>0.971994930852935</v>
      </c>
      <c r="R142" s="236">
        <f ca="1">INDEX(Photobiology!$21:$421,1+$H142-380,R$14)</f>
        <v>0.958588026459555</v>
      </c>
      <c r="S142" s="236">
        <f ca="1" t="shared" si="47"/>
        <v>1.92484167659092e+19</v>
      </c>
      <c r="T142" s="236">
        <f ca="1">INDEX(Photobiology!$21:$421,1+$H142-380,T$14)</f>
        <v>0.0395663465578097</v>
      </c>
      <c r="U142" s="236">
        <f ca="1">INDEX(Photobiology!$21:$421,1+$H142-380,U$14)</f>
        <v>0.78310417480374</v>
      </c>
      <c r="V142" s="236">
        <f ca="1">INDEX(Photobiology!$21:$421,1+$H142-380,V$14)</f>
        <v>0.531206441872738</v>
      </c>
      <c r="W142" s="236">
        <f ca="1">INDEX(Photobiology!$21:$421,1+$H142-380,W$14)</f>
        <v>0.988940098166723</v>
      </c>
      <c r="X142" s="236">
        <f ca="1">INDEX(Photobiology!$21:$421,1+$H142-380,X$14)</f>
        <v>0.935201587457527</v>
      </c>
      <c r="Y142" s="236">
        <f ca="1" t="shared" si="34"/>
        <v>7.62978736040062</v>
      </c>
      <c r="Z142" s="236">
        <f ca="1" t="shared" si="48"/>
        <v>0.343734746006517</v>
      </c>
      <c r="AA142" s="236">
        <f ca="1" t="shared" si="35"/>
        <v>5.51244709591696</v>
      </c>
      <c r="AB142" s="236">
        <f ca="1" t="shared" si="36"/>
        <v>3.56689589886199</v>
      </c>
      <c r="AC142" s="236">
        <f ca="1" t="shared" si="37"/>
        <v>7.4161146377952</v>
      </c>
      <c r="AD142" s="236">
        <f ca="1" t="shared" si="38"/>
        <v>7.31382280811249</v>
      </c>
      <c r="AE142" s="236"/>
      <c r="AF142" s="236"/>
      <c r="AG142" s="236"/>
      <c r="AH142" s="236">
        <f t="shared" si="49"/>
        <v>501</v>
      </c>
      <c r="AI142" s="236">
        <f>IF($AH142&gt;$AH141,INDEX(Spectra!142:142,1,MATCH($AI$20,Spectra!$20:$20,0)),AI141)</f>
        <v>1</v>
      </c>
      <c r="AJ142" s="236">
        <f>((Physics!$C$9*Physics!$C$10)/(Physics!$C$11*Physics!$C$12*$AH142))^($AJ$17-$AJ$18)</f>
        <v>2.52279858621099e+18</v>
      </c>
      <c r="AK142" s="236">
        <f t="shared" si="50"/>
        <v>1</v>
      </c>
      <c r="AL142" s="236">
        <f ca="1">INDEX(Photobiology!$21:$421,1+$AH142-380,10)</f>
        <v>0.3384021</v>
      </c>
      <c r="AM142" s="236">
        <f ca="1" t="shared" si="51"/>
        <v>13.3319879209511</v>
      </c>
      <c r="AN142" s="236">
        <f ca="1">INDEX(Photobiology!$21:$421,1+$AH142-380,AN$14)</f>
        <v>0.0450516809669606</v>
      </c>
      <c r="AO142" s="236">
        <f ca="1">INDEX(Photobiology!$21:$421,1+$AH142-380,AO$14)</f>
        <v>0.72249026552524</v>
      </c>
      <c r="AP142" s="236">
        <f ca="1">INDEX(Photobiology!$21:$421,1+$AH142-380,AP$14)</f>
        <v>0.467496108394127</v>
      </c>
      <c r="AQ142" s="236">
        <f ca="1">INDEX(Photobiology!$21:$421,1+$AH142-380,AQ$14)</f>
        <v>0.971994930852935</v>
      </c>
      <c r="AR142" s="236">
        <f ca="1">INDEX(Photobiology!$21:$421,1+$AH142-380,AR$14)</f>
        <v>0.958588026459555</v>
      </c>
      <c r="AS142" s="236">
        <f ca="1" t="shared" si="52"/>
        <v>3.36339202783576e+19</v>
      </c>
      <c r="AT142" s="236">
        <f ca="1">INDEX(Photobiology!$21:$421,1+$AH142-380,AT$14)</f>
        <v>0.0395663465578097</v>
      </c>
      <c r="AU142" s="236">
        <f ca="1">INDEX(Photobiology!$21:$421,1+$AH142-380,AU$14)</f>
        <v>0.78310417480374</v>
      </c>
      <c r="AV142" s="236">
        <f ca="1">INDEX(Photobiology!$21:$421,1+$AH142-380,AV$14)</f>
        <v>0.531206441872738</v>
      </c>
      <c r="AW142" s="236">
        <f ca="1">INDEX(Photobiology!$21:$421,1+$AH142-380,AW$14)</f>
        <v>0.988940098166723</v>
      </c>
      <c r="AX142" s="236">
        <f ca="1">INDEX(Photobiology!$21:$421,1+$AH142-380,AX$14)</f>
        <v>0.935201587457527</v>
      </c>
      <c r="AY142" s="236">
        <f ca="1" t="shared" si="39"/>
        <v>13.3319879209511</v>
      </c>
      <c r="AZ142" s="236">
        <f ca="1" t="shared" si="53"/>
        <v>0.600628466470063</v>
      </c>
      <c r="BA142" s="236">
        <f ca="1" t="shared" si="40"/>
        <v>9.63223149298728</v>
      </c>
      <c r="BB142" s="236">
        <f ca="1" t="shared" si="41"/>
        <v>6.23265247020217</v>
      </c>
      <c r="BC142" s="236">
        <f ca="1" t="shared" si="42"/>
        <v>12.9586246773571</v>
      </c>
      <c r="BD142" s="236">
        <f ca="1" t="shared" si="43"/>
        <v>12.7798839899272</v>
      </c>
    </row>
    <row r="143" s="234" customFormat="1" ht="0.2" customHeight="1" spans="7:56">
      <c r="G143" s="236"/>
      <c r="H143" s="236">
        <f t="shared" si="44"/>
        <v>502</v>
      </c>
      <c r="I143" s="236">
        <f>IF($H143&gt;$H142,INDEX(Spectra!143:143,1,MATCH($I$20,Spectra!$20:$20,0)),I142)</f>
        <v>8.09661693372806</v>
      </c>
      <c r="J143" s="236">
        <f>((Physics!$C$9*Physics!$C$10)/(Physics!$C$11*Physics!$C$12*$H143))^($J$17-$J$18)</f>
        <v>2.52783411233117e+18</v>
      </c>
      <c r="K143" s="236">
        <f t="shared" si="45"/>
        <v>1</v>
      </c>
      <c r="L143" s="236">
        <f ca="1">INDEX(Photobiology!$21:$421,1+$H143-380,10)</f>
        <v>0.3546858</v>
      </c>
      <c r="M143" s="236">
        <f ca="1" t="shared" si="46"/>
        <v>8.09661693372806</v>
      </c>
      <c r="N143" s="236">
        <f ca="1">INDEX(Photobiology!$21:$421,1+$H143-380,N$14)</f>
        <v>0.0409077883202442</v>
      </c>
      <c r="O143" s="236">
        <f ca="1">INDEX(Photobiology!$21:$421,1+$H143-380,O$14)</f>
        <v>0.733254944152107</v>
      </c>
      <c r="P143" s="236">
        <f ca="1">INDEX(Photobiology!$21:$421,1+$H143-380,P$14)</f>
        <v>0.477960492540877</v>
      </c>
      <c r="Q143" s="236">
        <f ca="1">INDEX(Photobiology!$21:$421,1+$H143-380,Q$14)</f>
        <v>0.976618619568296</v>
      </c>
      <c r="R143" s="236">
        <f ca="1">INDEX(Photobiology!$21:$421,1+$H143-380,R$14)</f>
        <v>0.950525998378738</v>
      </c>
      <c r="S143" s="236">
        <f ca="1" t="shared" si="47"/>
        <v>2.0466904479556e+19</v>
      </c>
      <c r="T143" s="236">
        <f ca="1">INDEX(Photobiology!$21:$421,1+$H143-380,T$14)</f>
        <v>0.0358554319938395</v>
      </c>
      <c r="U143" s="236">
        <f ca="1">INDEX(Photobiology!$21:$421,1+$H143-380,U$14)</f>
        <v>0.793188753826118</v>
      </c>
      <c r="V143" s="236">
        <f ca="1">INDEX(Photobiology!$21:$421,1+$H143-380,V$14)</f>
        <v>0.542015045123774</v>
      </c>
      <c r="W143" s="236">
        <f ca="1">INDEX(Photobiology!$21:$421,1+$H143-380,W$14)</f>
        <v>0.991665022151881</v>
      </c>
      <c r="X143" s="236">
        <f ca="1">INDEX(Photobiology!$21:$421,1+$H143-380,X$14)</f>
        <v>0.925488963355534</v>
      </c>
      <c r="Y143" s="236">
        <f ca="1" t="shared" si="34"/>
        <v>8.09661693372806</v>
      </c>
      <c r="Z143" s="236">
        <f ca="1" t="shared" si="48"/>
        <v>0.331214691635052</v>
      </c>
      <c r="AA143" s="236">
        <f ca="1" t="shared" si="35"/>
        <v>5.93688439756177</v>
      </c>
      <c r="AB143" s="236">
        <f ca="1" t="shared" si="36"/>
        <v>3.86986301755947</v>
      </c>
      <c r="AC143" s="236">
        <f ca="1" t="shared" si="37"/>
        <v>7.90730685299079</v>
      </c>
      <c r="AD143" s="236">
        <f ca="1" t="shared" si="38"/>
        <v>7.69604489442206</v>
      </c>
      <c r="AE143" s="236"/>
      <c r="AF143" s="236"/>
      <c r="AG143" s="236"/>
      <c r="AH143" s="236">
        <f t="shared" si="49"/>
        <v>502</v>
      </c>
      <c r="AI143" s="236">
        <f>IF($AH143&gt;$AH142,INDEX(Spectra!143:143,1,MATCH($AI$20,Spectra!$20:$20,0)),AI142)</f>
        <v>1</v>
      </c>
      <c r="AJ143" s="236">
        <f>((Physics!$C$9*Physics!$C$10)/(Physics!$C$11*Physics!$C$12*$AH143))^($AJ$17-$AJ$18)</f>
        <v>2.52783411233117e+18</v>
      </c>
      <c r="AK143" s="236">
        <f t="shared" si="50"/>
        <v>1</v>
      </c>
      <c r="AL143" s="236">
        <f ca="1">INDEX(Photobiology!$21:$421,1+$AH143-380,10)</f>
        <v>0.3546858</v>
      </c>
      <c r="AM143" s="236">
        <f ca="1" t="shared" si="51"/>
        <v>13.3319879209511</v>
      </c>
      <c r="AN143" s="236">
        <f ca="1">INDEX(Photobiology!$21:$421,1+$AH143-380,AN$14)</f>
        <v>0.0409077883202442</v>
      </c>
      <c r="AO143" s="236">
        <f ca="1">INDEX(Photobiology!$21:$421,1+$AH143-380,AO$14)</f>
        <v>0.733254944152107</v>
      </c>
      <c r="AP143" s="236">
        <f ca="1">INDEX(Photobiology!$21:$421,1+$AH143-380,AP$14)</f>
        <v>0.477960492540877</v>
      </c>
      <c r="AQ143" s="236">
        <f ca="1">INDEX(Photobiology!$21:$421,1+$AH143-380,AQ$14)</f>
        <v>0.976618619568296</v>
      </c>
      <c r="AR143" s="236">
        <f ca="1">INDEX(Photobiology!$21:$421,1+$AH143-380,AR$14)</f>
        <v>0.950525998378738</v>
      </c>
      <c r="AS143" s="236">
        <f ca="1" t="shared" si="52"/>
        <v>3.37010538517675e+19</v>
      </c>
      <c r="AT143" s="236">
        <f ca="1">INDEX(Photobiology!$21:$421,1+$AH143-380,AT$14)</f>
        <v>0.0358554319938395</v>
      </c>
      <c r="AU143" s="236">
        <f ca="1">INDEX(Photobiology!$21:$421,1+$AH143-380,AU$14)</f>
        <v>0.793188753826118</v>
      </c>
      <c r="AV143" s="236">
        <f ca="1">INDEX(Photobiology!$21:$421,1+$AH143-380,AV$14)</f>
        <v>0.542015045123774</v>
      </c>
      <c r="AW143" s="236">
        <f ca="1">INDEX(Photobiology!$21:$421,1+$AH143-380,AW$14)</f>
        <v>0.991665022151881</v>
      </c>
      <c r="AX143" s="236">
        <f ca="1">INDEX(Photobiology!$21:$421,1+$AH143-380,AX$14)</f>
        <v>0.925488963355534</v>
      </c>
      <c r="AY143" s="236">
        <f ca="1" t="shared" si="39"/>
        <v>13.3319879209511</v>
      </c>
      <c r="AZ143" s="236">
        <f ca="1" t="shared" si="53"/>
        <v>0.545382139758322</v>
      </c>
      <c r="BA143" s="236">
        <f ca="1" t="shared" si="40"/>
        <v>9.77574605841359</v>
      </c>
      <c r="BB143" s="236">
        <f ca="1" t="shared" si="41"/>
        <v>6.37216351324683</v>
      </c>
      <c r="BC143" s="236">
        <f ca="1" t="shared" si="42"/>
        <v>13.0202676394605</v>
      </c>
      <c r="BD143" s="236">
        <f ca="1" t="shared" si="43"/>
        <v>12.6724011289354</v>
      </c>
    </row>
    <row r="144" s="234" customFormat="1" ht="0.2" customHeight="1" spans="7:56">
      <c r="G144" s="236"/>
      <c r="H144" s="236">
        <f t="shared" si="44"/>
        <v>503</v>
      </c>
      <c r="I144" s="236">
        <f>IF($H144&gt;$H143,INDEX(Spectra!144:144,1,MATCH($I$20,Spectra!$20:$20,0)),I143)</f>
        <v>8.58485094583638</v>
      </c>
      <c r="J144" s="236">
        <f>((Physics!$C$9*Physics!$C$10)/(Physics!$C$11*Physics!$C$12*$H144))^($J$17-$J$18)</f>
        <v>2.53286963845136e+18</v>
      </c>
      <c r="K144" s="236">
        <f t="shared" si="45"/>
        <v>1</v>
      </c>
      <c r="L144" s="236">
        <f ca="1">INDEX(Photobiology!$21:$421,1+$H144-380,10)</f>
        <v>0.3716986</v>
      </c>
      <c r="M144" s="236">
        <f ca="1" t="shared" si="46"/>
        <v>8.58485094583638</v>
      </c>
      <c r="N144" s="236">
        <f ca="1">INDEX(Photobiology!$21:$421,1+$H144-380,N$14)</f>
        <v>0.0371306883071645</v>
      </c>
      <c r="O144" s="236">
        <f ca="1">INDEX(Photobiology!$21:$421,1+$H144-380,O$14)</f>
        <v>0.743960709619238</v>
      </c>
      <c r="P144" s="236">
        <f ca="1">INDEX(Photobiology!$21:$421,1+$H144-380,P$14)</f>
        <v>0.488502735490802</v>
      </c>
      <c r="Q144" s="236">
        <f ca="1">INDEX(Photobiology!$21:$421,1+$H144-380,Q$14)</f>
        <v>0.980893823785304</v>
      </c>
      <c r="R144" s="236">
        <f ca="1">INDEX(Photobiology!$21:$421,1+$H144-380,R$14)</f>
        <v>0.941781163717645</v>
      </c>
      <c r="S144" s="236">
        <f ca="1" t="shared" si="47"/>
        <v>2.17443083113394e+19</v>
      </c>
      <c r="T144" s="236">
        <f ca="1">INDEX(Photobiology!$21:$421,1+$H144-380,T$14)</f>
        <v>0.0324801249605415</v>
      </c>
      <c r="U144" s="236">
        <f ca="1">INDEX(Photobiology!$21:$421,1+$H144-380,U$14)</f>
        <v>0.803169633291042</v>
      </c>
      <c r="V144" s="236">
        <f ca="1">INDEX(Photobiology!$21:$421,1+$H144-380,V$14)</f>
        <v>0.552868789448998</v>
      </c>
      <c r="W144" s="236">
        <f ca="1">INDEX(Photobiology!$21:$421,1+$H144-380,W$14)</f>
        <v>0.994025961464863</v>
      </c>
      <c r="X144" s="236">
        <f ca="1">INDEX(Photobiology!$21:$421,1+$H144-380,X$14)</f>
        <v>0.915151458424137</v>
      </c>
      <c r="Y144" s="236">
        <f ca="1" t="shared" si="34"/>
        <v>8.58485094583638</v>
      </c>
      <c r="Z144" s="236">
        <f ca="1" t="shared" si="48"/>
        <v>0.318761424633317</v>
      </c>
      <c r="AA144" s="236">
        <f ca="1" t="shared" si="35"/>
        <v>6.38679180163982</v>
      </c>
      <c r="AB144" s="236">
        <f ca="1" t="shared" si="36"/>
        <v>4.19372317082187</v>
      </c>
      <c r="AC144" s="236">
        <f ca="1" t="shared" si="37"/>
        <v>8.42082727088833</v>
      </c>
      <c r="AD144" s="236">
        <f ca="1" t="shared" si="38"/>
        <v>8.08505091411231</v>
      </c>
      <c r="AE144" s="236"/>
      <c r="AF144" s="236"/>
      <c r="AG144" s="236"/>
      <c r="AH144" s="236">
        <f t="shared" si="49"/>
        <v>503</v>
      </c>
      <c r="AI144" s="236">
        <f>IF($AH144&gt;$AH143,INDEX(Spectra!144:144,1,MATCH($AI$20,Spectra!$20:$20,0)),AI143)</f>
        <v>1</v>
      </c>
      <c r="AJ144" s="236">
        <f>((Physics!$C$9*Physics!$C$10)/(Physics!$C$11*Physics!$C$12*$AH144))^($AJ$17-$AJ$18)</f>
        <v>2.53286963845136e+18</v>
      </c>
      <c r="AK144" s="236">
        <f t="shared" si="50"/>
        <v>1</v>
      </c>
      <c r="AL144" s="236">
        <f ca="1">INDEX(Photobiology!$21:$421,1+$AH144-380,10)</f>
        <v>0.3716986</v>
      </c>
      <c r="AM144" s="236">
        <f ca="1" t="shared" si="51"/>
        <v>13.3319879209511</v>
      </c>
      <c r="AN144" s="236">
        <f ca="1">INDEX(Photobiology!$21:$421,1+$AH144-380,AN$14)</f>
        <v>0.0371306883071645</v>
      </c>
      <c r="AO144" s="236">
        <f ca="1">INDEX(Photobiology!$21:$421,1+$AH144-380,AO$14)</f>
        <v>0.743960709619238</v>
      </c>
      <c r="AP144" s="236">
        <f ca="1">INDEX(Photobiology!$21:$421,1+$AH144-380,AP$14)</f>
        <v>0.488502735490802</v>
      </c>
      <c r="AQ144" s="236">
        <f ca="1">INDEX(Photobiology!$21:$421,1+$AH144-380,AQ$14)</f>
        <v>0.980893823785304</v>
      </c>
      <c r="AR144" s="236">
        <f ca="1">INDEX(Photobiology!$21:$421,1+$AH144-380,AR$14)</f>
        <v>0.941781163717645</v>
      </c>
      <c r="AS144" s="236">
        <f ca="1" t="shared" si="52"/>
        <v>3.37681874251774e+19</v>
      </c>
      <c r="AT144" s="236">
        <f ca="1">INDEX(Photobiology!$21:$421,1+$AH144-380,AT$14)</f>
        <v>0.0324801249605415</v>
      </c>
      <c r="AU144" s="236">
        <f ca="1">INDEX(Photobiology!$21:$421,1+$AH144-380,AU$14)</f>
        <v>0.803169633291042</v>
      </c>
      <c r="AV144" s="236">
        <f ca="1">INDEX(Photobiology!$21:$421,1+$AH144-380,AV$14)</f>
        <v>0.552868789448998</v>
      </c>
      <c r="AW144" s="236">
        <f ca="1">INDEX(Photobiology!$21:$421,1+$AH144-380,AW$14)</f>
        <v>0.994025961464863</v>
      </c>
      <c r="AX144" s="236">
        <f ca="1">INDEX(Photobiology!$21:$421,1+$AH144-380,AX$14)</f>
        <v>0.915151458424137</v>
      </c>
      <c r="AY144" s="236">
        <f ca="1" t="shared" si="39"/>
        <v>13.3319879209511</v>
      </c>
      <c r="AZ144" s="236">
        <f ca="1" t="shared" si="53"/>
        <v>0.495025888007719</v>
      </c>
      <c r="BA144" s="236">
        <f ca="1" t="shared" si="40"/>
        <v>9.91847519430592</v>
      </c>
      <c r="BB144" s="236">
        <f ca="1" t="shared" si="41"/>
        <v>6.51271256891496</v>
      </c>
      <c r="BC144" s="236">
        <f ca="1" t="shared" si="42"/>
        <v>13.0772646104412</v>
      </c>
      <c r="BD144" s="236">
        <f ca="1" t="shared" si="43"/>
        <v>12.555815098863</v>
      </c>
    </row>
    <row r="145" s="234" customFormat="1" ht="0.2" customHeight="1" spans="7:56">
      <c r="G145" s="236"/>
      <c r="H145" s="236">
        <f t="shared" si="44"/>
        <v>504</v>
      </c>
      <c r="I145" s="236">
        <f>IF($H145&gt;$H144,INDEX(Spectra!145:145,1,MATCH($I$20,Spectra!$20:$20,0)),I144)</f>
        <v>9.06912336318339</v>
      </c>
      <c r="J145" s="236">
        <f>((Physics!$C$9*Physics!$C$10)/(Physics!$C$11*Physics!$C$12*$H145))^($J$17-$J$18)</f>
        <v>2.53790516457154e+18</v>
      </c>
      <c r="K145" s="236">
        <f t="shared" si="45"/>
        <v>1</v>
      </c>
      <c r="L145" s="236">
        <f ca="1">INDEX(Photobiology!$21:$421,1+$H145-380,10)</f>
        <v>0.3892875</v>
      </c>
      <c r="M145" s="236">
        <f ca="1" t="shared" si="46"/>
        <v>9.06912336318339</v>
      </c>
      <c r="N145" s="236">
        <f ca="1">INDEX(Photobiology!$21:$421,1+$H145-380,N$14)</f>
        <v>0.0336910852029121</v>
      </c>
      <c r="O145" s="236">
        <f ca="1">INDEX(Photobiology!$21:$421,1+$H145-380,O$14)</f>
        <v>0.754603821074315</v>
      </c>
      <c r="P145" s="236">
        <f ca="1">INDEX(Photobiology!$21:$421,1+$H145-380,P$14)</f>
        <v>0.499118882199239</v>
      </c>
      <c r="Q145" s="236">
        <f ca="1">INDEX(Photobiology!$21:$421,1+$H145-380,Q$14)</f>
        <v>0.984806712250856</v>
      </c>
      <c r="R145" s="236">
        <f ca="1">INDEX(Photobiology!$21:$421,1+$H145-380,R$14)</f>
        <v>0.932367228009473</v>
      </c>
      <c r="S145" s="236">
        <f ca="1" t="shared" si="47"/>
        <v>2.30165750215595e+19</v>
      </c>
      <c r="T145" s="236">
        <f ca="1">INDEX(Photobiology!$21:$421,1+$H145-380,T$14)</f>
        <v>0.0294128521612725</v>
      </c>
      <c r="U145" s="236">
        <f ca="1">INDEX(Photobiology!$21:$421,1+$H145-380,U$14)</f>
        <v>0.813043399898695</v>
      </c>
      <c r="V145" s="236">
        <f ca="1">INDEX(Photobiology!$21:$421,1+$H145-380,V$14)</f>
        <v>0.563762938863921</v>
      </c>
      <c r="W145" s="236">
        <f ca="1">INDEX(Photobiology!$21:$421,1+$H145-380,W$14)</f>
        <v>0.996011094066516</v>
      </c>
      <c r="X145" s="236">
        <f ca="1">INDEX(Photobiology!$21:$421,1+$H145-380,X$14)</f>
        <v>0.904206083764464</v>
      </c>
      <c r="Y145" s="236">
        <f ca="1" t="shared" si="34"/>
        <v>9.06912336318339</v>
      </c>
      <c r="Z145" s="236">
        <f ca="1" t="shared" si="48"/>
        <v>0.305548607944732</v>
      </c>
      <c r="AA145" s="236">
        <f ca="1" t="shared" si="35"/>
        <v>6.84359514365253</v>
      </c>
      <c r="AB145" s="236">
        <f ca="1" t="shared" si="36"/>
        <v>4.5265707155591</v>
      </c>
      <c r="AC145" s="236">
        <f ca="1" t="shared" si="37"/>
        <v>8.93133356229406</v>
      </c>
      <c r="AD145" s="236">
        <f ca="1" t="shared" si="38"/>
        <v>8.45575341060725</v>
      </c>
      <c r="AE145" s="236"/>
      <c r="AF145" s="236"/>
      <c r="AG145" s="236"/>
      <c r="AH145" s="236">
        <f t="shared" si="49"/>
        <v>504</v>
      </c>
      <c r="AI145" s="236">
        <f>IF($AH145&gt;$AH144,INDEX(Spectra!145:145,1,MATCH($AI$20,Spectra!$20:$20,0)),AI144)</f>
        <v>1</v>
      </c>
      <c r="AJ145" s="236">
        <f>((Physics!$C$9*Physics!$C$10)/(Physics!$C$11*Physics!$C$12*$AH145))^($AJ$17-$AJ$18)</f>
        <v>2.53790516457154e+18</v>
      </c>
      <c r="AK145" s="236">
        <f t="shared" si="50"/>
        <v>1</v>
      </c>
      <c r="AL145" s="236">
        <f ca="1">INDEX(Photobiology!$21:$421,1+$AH145-380,10)</f>
        <v>0.3892875</v>
      </c>
      <c r="AM145" s="236">
        <f ca="1" t="shared" si="51"/>
        <v>13.3319879209511</v>
      </c>
      <c r="AN145" s="236">
        <f ca="1">INDEX(Photobiology!$21:$421,1+$AH145-380,AN$14)</f>
        <v>0.0336910852029121</v>
      </c>
      <c r="AO145" s="236">
        <f ca="1">INDEX(Photobiology!$21:$421,1+$AH145-380,AO$14)</f>
        <v>0.754603821074315</v>
      </c>
      <c r="AP145" s="236">
        <f ca="1">INDEX(Photobiology!$21:$421,1+$AH145-380,AP$14)</f>
        <v>0.499118882199239</v>
      </c>
      <c r="AQ145" s="236">
        <f ca="1">INDEX(Photobiology!$21:$421,1+$AH145-380,AQ$14)</f>
        <v>0.984806712250856</v>
      </c>
      <c r="AR145" s="236">
        <f ca="1">INDEX(Photobiology!$21:$421,1+$AH145-380,AR$14)</f>
        <v>0.932367228009473</v>
      </c>
      <c r="AS145" s="236">
        <f ca="1" t="shared" si="52"/>
        <v>3.38353209985873e+19</v>
      </c>
      <c r="AT145" s="236">
        <f ca="1">INDEX(Photobiology!$21:$421,1+$AH145-380,AT$14)</f>
        <v>0.0294128521612725</v>
      </c>
      <c r="AU145" s="236">
        <f ca="1">INDEX(Photobiology!$21:$421,1+$AH145-380,AU$14)</f>
        <v>0.813043399898695</v>
      </c>
      <c r="AV145" s="236">
        <f ca="1">INDEX(Photobiology!$21:$421,1+$AH145-380,AV$14)</f>
        <v>0.563762938863921</v>
      </c>
      <c r="AW145" s="236">
        <f ca="1">INDEX(Photobiology!$21:$421,1+$AH145-380,AW$14)</f>
        <v>0.996011094066516</v>
      </c>
      <c r="AX145" s="236">
        <f ca="1">INDEX(Photobiology!$21:$421,1+$AH145-380,AX$14)</f>
        <v>0.904206083764464</v>
      </c>
      <c r="AY145" s="236">
        <f ca="1" t="shared" si="39"/>
        <v>13.3319879209511</v>
      </c>
      <c r="AZ145" s="236">
        <f ca="1" t="shared" si="53"/>
        <v>0.44916914096896</v>
      </c>
      <c r="BA145" s="236">
        <f ca="1" t="shared" si="40"/>
        <v>10.0603690276663</v>
      </c>
      <c r="BB145" s="236">
        <f ca="1" t="shared" si="41"/>
        <v>6.65424690859889</v>
      </c>
      <c r="BC145" s="236">
        <f ca="1" t="shared" si="42"/>
        <v>13.1294311922</v>
      </c>
      <c r="BD145" s="236">
        <f ca="1" t="shared" si="43"/>
        <v>12.430308621713</v>
      </c>
    </row>
    <row r="146" s="234" customFormat="1" ht="0.2" customHeight="1" spans="7:56">
      <c r="G146" s="236"/>
      <c r="H146" s="236">
        <f t="shared" si="44"/>
        <v>505</v>
      </c>
      <c r="I146" s="236">
        <f>IF($H146&gt;$H145,INDEX(Spectra!146:146,1,MATCH($I$20,Spectra!$20:$20,0)),I145)</f>
        <v>9.56331943789748</v>
      </c>
      <c r="J146" s="236">
        <f>((Physics!$C$9*Physics!$C$10)/(Physics!$C$11*Physics!$C$12*$H146))^($J$17-$J$18)</f>
        <v>2.54294069069172e+18</v>
      </c>
      <c r="K146" s="236">
        <f t="shared" si="45"/>
        <v>1</v>
      </c>
      <c r="L146" s="236">
        <f ca="1">INDEX(Photobiology!$21:$421,1+$H146-380,10)</f>
        <v>0.4073</v>
      </c>
      <c r="M146" s="236">
        <f ca="1" t="shared" si="46"/>
        <v>9.56331943789748</v>
      </c>
      <c r="N146" s="236">
        <f ca="1">INDEX(Photobiology!$21:$421,1+$H146-380,N$14)</f>
        <v>0.0305611716397962</v>
      </c>
      <c r="O146" s="236">
        <f ca="1">INDEX(Photobiology!$21:$421,1+$H146-380,O$14)</f>
        <v>0.76517540135145</v>
      </c>
      <c r="P146" s="236">
        <f ca="1">INDEX(Photobiology!$21:$421,1+$H146-380,P$14)</f>
        <v>0.509803719812779</v>
      </c>
      <c r="Q146" s="236">
        <f ca="1">INDEX(Photobiology!$21:$421,1+$H146-380,Q$14)</f>
        <v>0.988348255396619</v>
      </c>
      <c r="R146" s="236">
        <f ca="1">INDEX(Photobiology!$21:$421,1+$H146-380,R$14)</f>
        <v>0.92229955692144</v>
      </c>
      <c r="S146" s="236">
        <f ca="1" t="shared" si="47"/>
        <v>2.43189541367126e+19</v>
      </c>
      <c r="T146" s="236">
        <f ca="1">INDEX(Photobiology!$21:$421,1+$H146-380,T$14)</f>
        <v>0.0266275554881393</v>
      </c>
      <c r="U146" s="236">
        <f ca="1">INDEX(Photobiology!$21:$421,1+$H146-380,U$14)</f>
        <v>0.822801144253383</v>
      </c>
      <c r="V146" s="236">
        <f ca="1">INDEX(Photobiology!$21:$421,1+$H146-380,V$14)</f>
        <v>0.574691376994556</v>
      </c>
      <c r="W146" s="236">
        <f ca="1">INDEX(Photobiology!$21:$421,1+$H146-380,W$14)</f>
        <v>0.997613538255825</v>
      </c>
      <c r="X146" s="236">
        <f ca="1">INDEX(Photobiology!$21:$421,1+$H146-380,X$14)</f>
        <v>0.892671322539615</v>
      </c>
      <c r="Y146" s="236">
        <f ca="1" t="shared" si="34"/>
        <v>9.56331943789748</v>
      </c>
      <c r="Z146" s="236">
        <f ca="1" t="shared" si="48"/>
        <v>0.292266246787784</v>
      </c>
      <c r="AA146" s="236">
        <f ca="1" t="shared" si="35"/>
        <v>7.31761678914533</v>
      </c>
      <c r="AB146" s="236">
        <f ca="1" t="shared" si="36"/>
        <v>4.87541582319799</v>
      </c>
      <c r="AC146" s="236">
        <f ca="1" t="shared" si="37"/>
        <v>9.45189008224655</v>
      </c>
      <c r="AD146" s="236">
        <f ca="1" t="shared" si="38"/>
        <v>8.82024528027104</v>
      </c>
      <c r="AE146" s="236"/>
      <c r="AF146" s="236"/>
      <c r="AG146" s="236"/>
      <c r="AH146" s="236">
        <f t="shared" si="49"/>
        <v>505</v>
      </c>
      <c r="AI146" s="236">
        <f>IF($AH146&gt;$AH145,INDEX(Spectra!146:146,1,MATCH($AI$20,Spectra!$20:$20,0)),AI145)</f>
        <v>1</v>
      </c>
      <c r="AJ146" s="236">
        <f>((Physics!$C$9*Physics!$C$10)/(Physics!$C$11*Physics!$C$12*$AH146))^($AJ$17-$AJ$18)</f>
        <v>2.54294069069172e+18</v>
      </c>
      <c r="AK146" s="236">
        <f t="shared" si="50"/>
        <v>1</v>
      </c>
      <c r="AL146" s="236">
        <f ca="1">INDEX(Photobiology!$21:$421,1+$AH146-380,10)</f>
        <v>0.4073</v>
      </c>
      <c r="AM146" s="236">
        <f ca="1" t="shared" si="51"/>
        <v>13.3319879209511</v>
      </c>
      <c r="AN146" s="236">
        <f ca="1">INDEX(Photobiology!$21:$421,1+$AH146-380,AN$14)</f>
        <v>0.0305611716397962</v>
      </c>
      <c r="AO146" s="236">
        <f ca="1">INDEX(Photobiology!$21:$421,1+$AH146-380,AO$14)</f>
        <v>0.76517540135145</v>
      </c>
      <c r="AP146" s="236">
        <f ca="1">INDEX(Photobiology!$21:$421,1+$AH146-380,AP$14)</f>
        <v>0.509803719812779</v>
      </c>
      <c r="AQ146" s="236">
        <f ca="1">INDEX(Photobiology!$21:$421,1+$AH146-380,AQ$14)</f>
        <v>0.988348255396619</v>
      </c>
      <c r="AR146" s="236">
        <f ca="1">INDEX(Photobiology!$21:$421,1+$AH146-380,AR$14)</f>
        <v>0.92229955692144</v>
      </c>
      <c r="AS146" s="236">
        <f ca="1" t="shared" si="52"/>
        <v>3.39024545719972e+19</v>
      </c>
      <c r="AT146" s="236">
        <f ca="1">INDEX(Photobiology!$21:$421,1+$AH146-380,AT$14)</f>
        <v>0.0266275554881393</v>
      </c>
      <c r="AU146" s="236">
        <f ca="1">INDEX(Photobiology!$21:$421,1+$AH146-380,AU$14)</f>
        <v>0.822801144253383</v>
      </c>
      <c r="AV146" s="236">
        <f ca="1">INDEX(Photobiology!$21:$421,1+$AH146-380,AV$14)</f>
        <v>0.574691376994556</v>
      </c>
      <c r="AW146" s="236">
        <f ca="1">INDEX(Photobiology!$21:$421,1+$AH146-380,AW$14)</f>
        <v>0.997613538255825</v>
      </c>
      <c r="AX146" s="236">
        <f ca="1">INDEX(Photobiology!$21:$421,1+$AH146-380,AX$14)</f>
        <v>0.892671322539615</v>
      </c>
      <c r="AY146" s="236">
        <f ca="1" t="shared" si="39"/>
        <v>13.3319879209511</v>
      </c>
      <c r="AZ146" s="236">
        <f ca="1" t="shared" si="53"/>
        <v>0.407441171151878</v>
      </c>
      <c r="BA146" s="236">
        <f ca="1" t="shared" si="40"/>
        <v>10.2013092082265</v>
      </c>
      <c r="BB146" s="236">
        <f ca="1" t="shared" si="41"/>
        <v>6.79669703459993</v>
      </c>
      <c r="BC146" s="236">
        <f ca="1" t="shared" si="42"/>
        <v>13.1766470026409</v>
      </c>
      <c r="BD146" s="236">
        <f ca="1" t="shared" si="43"/>
        <v>12.2960865523752</v>
      </c>
    </row>
    <row r="147" s="234" customFormat="1" ht="0.2" customHeight="1" spans="7:56">
      <c r="G147" s="236"/>
      <c r="H147" s="236">
        <f t="shared" si="44"/>
        <v>506</v>
      </c>
      <c r="I147" s="236">
        <f>IF($H147&gt;$H146,INDEX(Spectra!147:147,1,MATCH($I$20,Spectra!$20:$20,0)),I146)</f>
        <v>10.0573271333789</v>
      </c>
      <c r="J147" s="236">
        <f>((Physics!$C$9*Physics!$C$10)/(Physics!$C$11*Physics!$C$12*$H147))^($J$17-$J$18)</f>
        <v>2.5479762168119e+18</v>
      </c>
      <c r="K147" s="236">
        <f t="shared" si="45"/>
        <v>1</v>
      </c>
      <c r="L147" s="236">
        <f ca="1">INDEX(Photobiology!$21:$421,1+$H147-380,10)</f>
        <v>0.4256299</v>
      </c>
      <c r="M147" s="236">
        <f ca="1" t="shared" si="46"/>
        <v>10.0573271333789</v>
      </c>
      <c r="N147" s="236">
        <f ca="1">INDEX(Photobiology!$21:$421,1+$H147-380,N$14)</f>
        <v>0.0277152627368819</v>
      </c>
      <c r="O147" s="236">
        <f ca="1">INDEX(Photobiology!$21:$421,1+$H147-380,O$14)</f>
        <v>0.775673581225768</v>
      </c>
      <c r="P147" s="236">
        <f ca="1">INDEX(Photobiology!$21:$421,1+$H147-380,P$14)</f>
        <v>0.520550658261462</v>
      </c>
      <c r="Q147" s="236">
        <f ca="1">INDEX(Photobiology!$21:$421,1+$H147-380,Q$14)</f>
        <v>0.991500642574064</v>
      </c>
      <c r="R147" s="236">
        <f ca="1">INDEX(Photobiology!$21:$421,1+$H147-380,R$14)</f>
        <v>0.911597236605041</v>
      </c>
      <c r="S147" s="236">
        <f ca="1" t="shared" si="47"/>
        <v>2.56258303405464e+19</v>
      </c>
      <c r="T147" s="236">
        <f ca="1">INDEX(Photobiology!$21:$421,1+$H147-380,T$14)</f>
        <v>0.0241002284668538</v>
      </c>
      <c r="U147" s="236">
        <f ca="1">INDEX(Photobiology!$21:$421,1+$H147-380,U$14)</f>
        <v>0.832441548209264</v>
      </c>
      <c r="V147" s="236">
        <f ca="1">INDEX(Photobiology!$21:$421,1+$H147-380,V$14)</f>
        <v>0.585646486377653</v>
      </c>
      <c r="W147" s="236">
        <f ca="1">INDEX(Photobiology!$21:$421,1+$H147-380,W$14)</f>
        <v>0.998817620850631</v>
      </c>
      <c r="X147" s="236">
        <f ca="1">INDEX(Photobiology!$21:$421,1+$H147-380,X$14)</f>
        <v>0.880569105650489</v>
      </c>
      <c r="Y147" s="236">
        <f ca="1" t="shared" si="34"/>
        <v>10.0573271333789</v>
      </c>
      <c r="Z147" s="236">
        <f ca="1" t="shared" si="48"/>
        <v>0.278741463932367</v>
      </c>
      <c r="AA147" s="236">
        <f ca="1" t="shared" si="35"/>
        <v>7.8012029551071</v>
      </c>
      <c r="AB147" s="236">
        <f ca="1" t="shared" si="36"/>
        <v>5.23534825963125</v>
      </c>
      <c r="AC147" s="236">
        <f ca="1" t="shared" si="37"/>
        <v>9.97184631532275</v>
      </c>
      <c r="AD147" s="236">
        <f ca="1" t="shared" si="38"/>
        <v>9.1682316224211</v>
      </c>
      <c r="AE147" s="236"/>
      <c r="AF147" s="236"/>
      <c r="AG147" s="236"/>
      <c r="AH147" s="236">
        <f t="shared" si="49"/>
        <v>506</v>
      </c>
      <c r="AI147" s="236">
        <f>IF($AH147&gt;$AH146,INDEX(Spectra!147:147,1,MATCH($AI$20,Spectra!$20:$20,0)),AI146)</f>
        <v>1</v>
      </c>
      <c r="AJ147" s="236">
        <f>((Physics!$C$9*Physics!$C$10)/(Physics!$C$11*Physics!$C$12*$AH147))^($AJ$17-$AJ$18)</f>
        <v>2.5479762168119e+18</v>
      </c>
      <c r="AK147" s="236">
        <f t="shared" si="50"/>
        <v>1</v>
      </c>
      <c r="AL147" s="236">
        <f ca="1">INDEX(Photobiology!$21:$421,1+$AH147-380,10)</f>
        <v>0.4256299</v>
      </c>
      <c r="AM147" s="236">
        <f ca="1" t="shared" si="51"/>
        <v>13.3319879209511</v>
      </c>
      <c r="AN147" s="236">
        <f ca="1">INDEX(Photobiology!$21:$421,1+$AH147-380,AN$14)</f>
        <v>0.0277152627368819</v>
      </c>
      <c r="AO147" s="236">
        <f ca="1">INDEX(Photobiology!$21:$421,1+$AH147-380,AO$14)</f>
        <v>0.775673581225768</v>
      </c>
      <c r="AP147" s="236">
        <f ca="1">INDEX(Photobiology!$21:$421,1+$AH147-380,AP$14)</f>
        <v>0.520550658261462</v>
      </c>
      <c r="AQ147" s="236">
        <f ca="1">INDEX(Photobiology!$21:$421,1+$AH147-380,AQ$14)</f>
        <v>0.991500642574064</v>
      </c>
      <c r="AR147" s="236">
        <f ca="1">INDEX(Photobiology!$21:$421,1+$AH147-380,AR$14)</f>
        <v>0.911597236605041</v>
      </c>
      <c r="AS147" s="236">
        <f ca="1" t="shared" si="52"/>
        <v>3.3969588145407e+19</v>
      </c>
      <c r="AT147" s="236">
        <f ca="1">INDEX(Photobiology!$21:$421,1+$AH147-380,AT$14)</f>
        <v>0.0241002284668538</v>
      </c>
      <c r="AU147" s="236">
        <f ca="1">INDEX(Photobiology!$21:$421,1+$AH147-380,AU$14)</f>
        <v>0.832441548209264</v>
      </c>
      <c r="AV147" s="236">
        <f ca="1">INDEX(Photobiology!$21:$421,1+$AH147-380,AV$14)</f>
        <v>0.585646486377653</v>
      </c>
      <c r="AW147" s="236">
        <f ca="1">INDEX(Photobiology!$21:$421,1+$AH147-380,AW$14)</f>
        <v>0.998817620850631</v>
      </c>
      <c r="AX147" s="236">
        <f ca="1">INDEX(Photobiology!$21:$421,1+$AH147-380,AX$14)</f>
        <v>0.880569105650489</v>
      </c>
      <c r="AY147" s="236">
        <f ca="1" t="shared" si="39"/>
        <v>13.3319879209511</v>
      </c>
      <c r="AZ147" s="236">
        <f ca="1" t="shared" si="53"/>
        <v>0.369499548034097</v>
      </c>
      <c r="BA147" s="236">
        <f ca="1" t="shared" si="40"/>
        <v>10.3412708155029</v>
      </c>
      <c r="BB147" s="236">
        <f ca="1" t="shared" si="41"/>
        <v>6.93997508818498</v>
      </c>
      <c r="BC147" s="236">
        <f ca="1" t="shared" si="42"/>
        <v>13.2186745904127</v>
      </c>
      <c r="BD147" s="236">
        <f ca="1" t="shared" si="43"/>
        <v>12.1534033471908</v>
      </c>
    </row>
    <row r="148" s="234" customFormat="1" ht="0.2" customHeight="1" spans="7:56">
      <c r="G148" s="236"/>
      <c r="H148" s="236">
        <f t="shared" si="44"/>
        <v>507</v>
      </c>
      <c r="I148" s="236">
        <f>IF($H148&gt;$H147,INDEX(Spectra!148:148,1,MATCH($I$20,Spectra!$20:$20,0)),I147)</f>
        <v>10.6225534593874</v>
      </c>
      <c r="J148" s="236">
        <f>((Physics!$C$9*Physics!$C$10)/(Physics!$C$11*Physics!$C$12*$H148))^($J$17-$J$18)</f>
        <v>2.55301174293208e+18</v>
      </c>
      <c r="K148" s="236">
        <f t="shared" si="45"/>
        <v>1</v>
      </c>
      <c r="L148" s="236">
        <f ca="1">INDEX(Photobiology!$21:$421,1+$H148-380,10)</f>
        <v>0.4443096</v>
      </c>
      <c r="M148" s="236">
        <f ca="1" t="shared" si="46"/>
        <v>10.6225534593874</v>
      </c>
      <c r="N148" s="236">
        <f ca="1">INDEX(Photobiology!$21:$421,1+$H148-380,N$14)</f>
        <v>0.025129161646594</v>
      </c>
      <c r="O148" s="236">
        <f ca="1">INDEX(Photobiology!$21:$421,1+$H148-380,O$14)</f>
        <v>0.786091318490847</v>
      </c>
      <c r="P148" s="236">
        <f ca="1">INDEX(Photobiology!$21:$421,1+$H148-380,P$14)</f>
        <v>0.531354055951252</v>
      </c>
      <c r="Q148" s="236">
        <f ca="1">INDEX(Photobiology!$21:$421,1+$H148-380,Q$14)</f>
        <v>0.99425549522665</v>
      </c>
      <c r="R148" s="236">
        <f ca="1">INDEX(Photobiology!$21:$421,1+$H148-380,R$14)</f>
        <v>0.900280824494058</v>
      </c>
      <c r="S148" s="236">
        <f ca="1" t="shared" si="47"/>
        <v>2.71195037217398e+19</v>
      </c>
      <c r="T148" s="236">
        <f ca="1">INDEX(Photobiology!$21:$421,1+$H148-380,T$14)</f>
        <v>0.0218083454132177</v>
      </c>
      <c r="U148" s="236">
        <f ca="1">INDEX(Photobiology!$21:$421,1+$H148-380,U$14)</f>
        <v>0.841957763401735</v>
      </c>
      <c r="V148" s="236">
        <f ca="1">INDEX(Photobiology!$21:$421,1+$H148-380,V$14)</f>
        <v>0.596621774628195</v>
      </c>
      <c r="W148" s="236">
        <f ca="1">INDEX(Photobiology!$21:$421,1+$H148-380,W$14)</f>
        <v>0.999617275280057</v>
      </c>
      <c r="X148" s="236">
        <f ca="1">INDEX(Photobiology!$21:$421,1+$H148-380,X$14)</f>
        <v>0.867922609374063</v>
      </c>
      <c r="Y148" s="236">
        <f ca="1" t="shared" si="34"/>
        <v>10.6225534593874</v>
      </c>
      <c r="Z148" s="236">
        <f ca="1" t="shared" si="48"/>
        <v>0.266935862980532</v>
      </c>
      <c r="AA148" s="236">
        <f ca="1" t="shared" si="35"/>
        <v>8.35029705462935</v>
      </c>
      <c r="AB148" s="236">
        <f ca="1" t="shared" si="36"/>
        <v>5.6443368652045</v>
      </c>
      <c r="AC148" s="236">
        <f ca="1" t="shared" si="37"/>
        <v>10.5615321503348</v>
      </c>
      <c r="AD148" s="236">
        <f ca="1" t="shared" si="38"/>
        <v>9.5632811866495</v>
      </c>
      <c r="AE148" s="236"/>
      <c r="AF148" s="236"/>
      <c r="AG148" s="236"/>
      <c r="AH148" s="236">
        <f t="shared" si="49"/>
        <v>507</v>
      </c>
      <c r="AI148" s="236">
        <f>IF($AH148&gt;$AH147,INDEX(Spectra!148:148,1,MATCH($AI$20,Spectra!$20:$20,0)),AI147)</f>
        <v>1</v>
      </c>
      <c r="AJ148" s="236">
        <f>((Physics!$C$9*Physics!$C$10)/(Physics!$C$11*Physics!$C$12*$AH148))^($AJ$17-$AJ$18)</f>
        <v>2.55301174293208e+18</v>
      </c>
      <c r="AK148" s="236">
        <f t="shared" si="50"/>
        <v>1</v>
      </c>
      <c r="AL148" s="236">
        <f ca="1">INDEX(Photobiology!$21:$421,1+$AH148-380,10)</f>
        <v>0.4443096</v>
      </c>
      <c r="AM148" s="236">
        <f ca="1" t="shared" si="51"/>
        <v>13.3319879209511</v>
      </c>
      <c r="AN148" s="236">
        <f ca="1">INDEX(Photobiology!$21:$421,1+$AH148-380,AN$14)</f>
        <v>0.025129161646594</v>
      </c>
      <c r="AO148" s="236">
        <f ca="1">INDEX(Photobiology!$21:$421,1+$AH148-380,AO$14)</f>
        <v>0.786091318490847</v>
      </c>
      <c r="AP148" s="236">
        <f ca="1">INDEX(Photobiology!$21:$421,1+$AH148-380,AP$14)</f>
        <v>0.531354055951252</v>
      </c>
      <c r="AQ148" s="236">
        <f ca="1">INDEX(Photobiology!$21:$421,1+$AH148-380,AQ$14)</f>
        <v>0.99425549522665</v>
      </c>
      <c r="AR148" s="236">
        <f ca="1">INDEX(Photobiology!$21:$421,1+$AH148-380,AR$14)</f>
        <v>0.900280824494058</v>
      </c>
      <c r="AS148" s="236">
        <f ca="1" t="shared" si="52"/>
        <v>3.4036721718817e+19</v>
      </c>
      <c r="AT148" s="236">
        <f ca="1">INDEX(Photobiology!$21:$421,1+$AH148-380,AT$14)</f>
        <v>0.0218083454132177</v>
      </c>
      <c r="AU148" s="236">
        <f ca="1">INDEX(Photobiology!$21:$421,1+$AH148-380,AU$14)</f>
        <v>0.841957763401735</v>
      </c>
      <c r="AV148" s="236">
        <f ca="1">INDEX(Photobiology!$21:$421,1+$AH148-380,AV$14)</f>
        <v>0.596621774628195</v>
      </c>
      <c r="AW148" s="236">
        <f ca="1">INDEX(Photobiology!$21:$421,1+$AH148-380,AW$14)</f>
        <v>0.999617275280057</v>
      </c>
      <c r="AX148" s="236">
        <f ca="1">INDEX(Photobiology!$21:$421,1+$AH148-380,AX$14)</f>
        <v>0.867922609374063</v>
      </c>
      <c r="AY148" s="236">
        <f ca="1" t="shared" si="39"/>
        <v>13.3319879209511</v>
      </c>
      <c r="AZ148" s="236">
        <f ca="1" t="shared" si="53"/>
        <v>0.33502167953602</v>
      </c>
      <c r="BA148" s="236">
        <f ca="1" t="shared" si="40"/>
        <v>10.4801599628845</v>
      </c>
      <c r="BB148" s="236">
        <f ca="1" t="shared" si="41"/>
        <v>7.08400585569049</v>
      </c>
      <c r="BC148" s="236">
        <f ca="1" t="shared" si="42"/>
        <v>13.255402252701</v>
      </c>
      <c r="BD148" s="236">
        <f ca="1" t="shared" si="43"/>
        <v>12.0025330776187</v>
      </c>
    </row>
    <row r="149" s="234" customFormat="1" ht="0.2" customHeight="1" spans="7:56">
      <c r="G149" s="236"/>
      <c r="H149" s="236">
        <f t="shared" si="44"/>
        <v>508</v>
      </c>
      <c r="I149" s="236">
        <f>IF($H149&gt;$H148,INDEX(Spectra!149:149,1,MATCH($I$20,Spectra!$20:$20,0)),I148)</f>
        <v>11.1617284810575</v>
      </c>
      <c r="J149" s="236">
        <f>((Physics!$C$9*Physics!$C$10)/(Physics!$C$11*Physics!$C$12*$H149))^($J$17-$J$18)</f>
        <v>2.55804726905226e+18</v>
      </c>
      <c r="K149" s="236">
        <f t="shared" si="45"/>
        <v>1</v>
      </c>
      <c r="L149" s="236">
        <f ca="1">INDEX(Photobiology!$21:$421,1+$H149-380,10)</f>
        <v>0.4633944</v>
      </c>
      <c r="M149" s="236">
        <f ca="1" t="shared" si="46"/>
        <v>11.1617284810575</v>
      </c>
      <c r="N149" s="236">
        <f ca="1">INDEX(Photobiology!$21:$421,1+$H149-380,N$14)</f>
        <v>0.0227805916897416</v>
      </c>
      <c r="O149" s="236">
        <f ca="1">INDEX(Photobiology!$21:$421,1+$H149-380,O$14)</f>
        <v>0.796421544706488</v>
      </c>
      <c r="P149" s="236">
        <f ca="1">INDEX(Photobiology!$21:$421,1+$H149-380,P$14)</f>
        <v>0.542210595492235</v>
      </c>
      <c r="Q149" s="236">
        <f ca="1">INDEX(Photobiology!$21:$421,1+$H149-380,Q$14)</f>
        <v>0.99659797411079</v>
      </c>
      <c r="R149" s="236">
        <f ca="1">INDEX(Photobiology!$21:$421,1+$H149-380,R$14)</f>
        <v>0.88837637369524</v>
      </c>
      <c r="S149" s="236">
        <f ca="1" t="shared" si="47"/>
        <v>2.8552229058872e+19</v>
      </c>
      <c r="T149" s="236">
        <f ca="1">INDEX(Photobiology!$21:$421,1+$H149-380,T$14)</f>
        <v>0.0197312211485951</v>
      </c>
      <c r="U149" s="236">
        <f ca="1">INDEX(Photobiology!$21:$421,1+$H149-380,U$14)</f>
        <v>0.851342967347458</v>
      </c>
      <c r="V149" s="236">
        <f ca="1">INDEX(Photobiology!$21:$421,1+$H149-380,V$14)</f>
        <v>0.607613405037788</v>
      </c>
      <c r="W149" s="236">
        <f ca="1">INDEX(Photobiology!$21:$421,1+$H149-380,W$14)</f>
        <v>1</v>
      </c>
      <c r="X149" s="236">
        <f ca="1">INDEX(Photobiology!$21:$421,1+$H149-380,X$14)</f>
        <v>0.854760115213045</v>
      </c>
      <c r="Y149" s="236">
        <f ca="1" t="shared" ref="Y149:Y212" si="54">IF(TRUE,M149,S149)</f>
        <v>11.1617284810575</v>
      </c>
      <c r="Z149" s="236">
        <f ca="1" t="shared" si="48"/>
        <v>0.254270779078731</v>
      </c>
      <c r="AA149" s="236">
        <f ca="1" t="shared" ref="AA149:AA212" si="55">$Y149*O149</f>
        <v>8.88944103847822</v>
      </c>
      <c r="AB149" s="236">
        <f ca="1" t="shared" ref="AB149:AB212" si="56">$Y149*P149</f>
        <v>6.05200744643683</v>
      </c>
      <c r="AC149" s="236">
        <f ca="1" t="shared" ref="AC149:AC212" si="57">$Y149*Q149</f>
        <v>11.1237559917966</v>
      </c>
      <c r="AD149" s="236">
        <f ca="1" t="shared" ref="AD149:AD212" si="58">$Y149*R149</f>
        <v>9.91581587217274</v>
      </c>
      <c r="AE149" s="236"/>
      <c r="AF149" s="236"/>
      <c r="AG149" s="236"/>
      <c r="AH149" s="236">
        <f t="shared" si="49"/>
        <v>508</v>
      </c>
      <c r="AI149" s="236">
        <f>IF($AH149&gt;$AH148,INDEX(Spectra!149:149,1,MATCH($AI$20,Spectra!$20:$20,0)),AI148)</f>
        <v>1</v>
      </c>
      <c r="AJ149" s="236">
        <f>((Physics!$C$9*Physics!$C$10)/(Physics!$C$11*Physics!$C$12*$AH149))^($AJ$17-$AJ$18)</f>
        <v>2.55804726905226e+18</v>
      </c>
      <c r="AK149" s="236">
        <f t="shared" si="50"/>
        <v>1</v>
      </c>
      <c r="AL149" s="236">
        <f ca="1">INDEX(Photobiology!$21:$421,1+$AH149-380,10)</f>
        <v>0.4633944</v>
      </c>
      <c r="AM149" s="236">
        <f ca="1" t="shared" si="51"/>
        <v>13.3319879209511</v>
      </c>
      <c r="AN149" s="236">
        <f ca="1">INDEX(Photobiology!$21:$421,1+$AH149-380,AN$14)</f>
        <v>0.0227805916897416</v>
      </c>
      <c r="AO149" s="236">
        <f ca="1">INDEX(Photobiology!$21:$421,1+$AH149-380,AO$14)</f>
        <v>0.796421544706488</v>
      </c>
      <c r="AP149" s="236">
        <f ca="1">INDEX(Photobiology!$21:$421,1+$AH149-380,AP$14)</f>
        <v>0.542210595492235</v>
      </c>
      <c r="AQ149" s="236">
        <f ca="1">INDEX(Photobiology!$21:$421,1+$AH149-380,AQ$14)</f>
        <v>0.99659797411079</v>
      </c>
      <c r="AR149" s="236">
        <f ca="1">INDEX(Photobiology!$21:$421,1+$AH149-380,AR$14)</f>
        <v>0.88837637369524</v>
      </c>
      <c r="AS149" s="236">
        <f ca="1" t="shared" si="52"/>
        <v>3.41038552922268e+19</v>
      </c>
      <c r="AT149" s="236">
        <f ca="1">INDEX(Photobiology!$21:$421,1+$AH149-380,AT$14)</f>
        <v>0.0197312211485951</v>
      </c>
      <c r="AU149" s="236">
        <f ca="1">INDEX(Photobiology!$21:$421,1+$AH149-380,AU$14)</f>
        <v>0.851342967347458</v>
      </c>
      <c r="AV149" s="236">
        <f ca="1">INDEX(Photobiology!$21:$421,1+$AH149-380,AV$14)</f>
        <v>0.607613405037788</v>
      </c>
      <c r="AW149" s="236">
        <f ca="1">INDEX(Photobiology!$21:$421,1+$AH149-380,AW$14)</f>
        <v>1</v>
      </c>
      <c r="AX149" s="236">
        <f ca="1">INDEX(Photobiology!$21:$421,1+$AH149-380,AX$14)</f>
        <v>0.854760115213045</v>
      </c>
      <c r="AY149" s="236">
        <f ca="1" t="shared" ref="AY149:AY212" si="59">IF(TRUE,AM149,AS149)</f>
        <v>13.3319879209511</v>
      </c>
      <c r="AZ149" s="236">
        <f ca="1" t="shared" si="53"/>
        <v>0.303710573239755</v>
      </c>
      <c r="BA149" s="236">
        <f ca="1" t="shared" ref="BA149:BA212" si="60">$AY149*AO149</f>
        <v>10.6178824140121</v>
      </c>
      <c r="BB149" s="236">
        <f ca="1" t="shared" ref="BB149:BB212" si="61">$AY149*AP149</f>
        <v>7.2287451097142</v>
      </c>
      <c r="BC149" s="236">
        <f ca="1" t="shared" ref="BC149:BC212" si="62">$AY149*AQ149</f>
        <v>13.2866321528894</v>
      </c>
      <c r="BD149" s="236">
        <f ca="1" t="shared" ref="BD149:BD212" si="63">$AY149*AR149</f>
        <v>11.8438230833633</v>
      </c>
    </row>
    <row r="150" s="234" customFormat="1" ht="0.2" customHeight="1" spans="7:56">
      <c r="G150" s="236"/>
      <c r="H150" s="236">
        <f t="shared" ref="H150:H213" si="64">MIN(780,H149+$J$14)</f>
        <v>509</v>
      </c>
      <c r="I150" s="236">
        <f>IF($H150&gt;$H149,INDEX(Spectra!150:150,1,MATCH($I$20,Spectra!$20:$20,0)),I149)</f>
        <v>11.7115002186643</v>
      </c>
      <c r="J150" s="236">
        <f>((Physics!$C$9*Physics!$C$10)/(Physics!$C$11*Physics!$C$12*$H150))^($J$17-$J$18)</f>
        <v>2.56308279517245e+18</v>
      </c>
      <c r="K150" s="236">
        <f t="shared" ref="K150:K213" si="65">(H150&lt;&gt;H149)*1</f>
        <v>1</v>
      </c>
      <c r="L150" s="236">
        <f ca="1">INDEX(Photobiology!$21:$421,1+$H150-380,10)</f>
        <v>0.4829395</v>
      </c>
      <c r="M150" s="236">
        <f ca="1" t="shared" ref="M150:M213" si="66">$I150*$J$15*IF($J$18,1,$J150)</f>
        <v>11.7115002186643</v>
      </c>
      <c r="N150" s="236">
        <f ca="1">INDEX(Photobiology!$21:$421,1+$H150-380,N$14)</f>
        <v>0.0206488562081571</v>
      </c>
      <c r="O150" s="236">
        <f ca="1">INDEX(Photobiology!$21:$421,1+$H150-380,O$14)</f>
        <v>0.806662745181089</v>
      </c>
      <c r="P150" s="236">
        <f ca="1">INDEX(Photobiology!$21:$421,1+$H150-380,P$14)</f>
        <v>0.553114444306515</v>
      </c>
      <c r="Q150" s="236">
        <f ca="1">INDEX(Photobiology!$21:$421,1+$H150-380,Q$14)</f>
        <v>0.998518234100878</v>
      </c>
      <c r="R150" s="236">
        <f ca="1">INDEX(Photobiology!$21:$421,1+$H150-380,R$14)</f>
        <v>0.875902972128056</v>
      </c>
      <c r="S150" s="236">
        <f ca="1" t="shared" ref="S150:S213" si="67">$I150*$J$15*IF($J$17,1,$J150)</f>
        <v>3.00175447161169e+19</v>
      </c>
      <c r="T150" s="236">
        <f ca="1">INDEX(Photobiology!$21:$421,1+$H150-380,T$14)</f>
        <v>0.0178496988832792</v>
      </c>
      <c r="U150" s="236">
        <f ca="1">INDEX(Photobiology!$21:$421,1+$H150-380,U$14)</f>
        <v>0.860596316250809</v>
      </c>
      <c r="V150" s="236">
        <f ca="1">INDEX(Photobiology!$21:$421,1+$H150-380,V$14)</f>
        <v>0.618614758010169</v>
      </c>
      <c r="W150" s="236">
        <f ca="1">INDEX(Photobiology!$21:$421,1+$H150-380,W$14)</f>
        <v>0.999958393031296</v>
      </c>
      <c r="X150" s="236">
        <f ca="1">INDEX(Photobiology!$21:$421,1+$H150-380,X$14)</f>
        <v>0.841102993961068</v>
      </c>
      <c r="Y150" s="236">
        <f ca="1" t="shared" si="54"/>
        <v>11.7115002186643</v>
      </c>
      <c r="Z150" s="236">
        <f ca="1" t="shared" ref="Z150:Z213" si="68">$Y150*N150</f>
        <v>0.241829083997</v>
      </c>
      <c r="AA150" s="236">
        <f ca="1" t="shared" si="55"/>
        <v>9.44723091657667</v>
      </c>
      <c r="AB150" s="236">
        <f ca="1" t="shared" si="56"/>
        <v>6.47779993544213</v>
      </c>
      <c r="AC150" s="236">
        <f ca="1" t="shared" si="57"/>
        <v>11.6941465170127</v>
      </c>
      <c r="AD150" s="236">
        <f ca="1" t="shared" si="58"/>
        <v>10.2581378496064</v>
      </c>
      <c r="AE150" s="236"/>
      <c r="AF150" s="236"/>
      <c r="AG150" s="236"/>
      <c r="AH150" s="236">
        <f t="shared" ref="AH150:AH213" si="69">MIN(780,AH149+$AJ$14)</f>
        <v>509</v>
      </c>
      <c r="AI150" s="236">
        <f>IF($AH150&gt;$AH149,INDEX(Spectra!150:150,1,MATCH($AI$20,Spectra!$20:$20,0)),AI149)</f>
        <v>1</v>
      </c>
      <c r="AJ150" s="236">
        <f>((Physics!$C$9*Physics!$C$10)/(Physics!$C$11*Physics!$C$12*$AH150))^($AJ$17-$AJ$18)</f>
        <v>2.56308279517245e+18</v>
      </c>
      <c r="AK150" s="236">
        <f t="shared" ref="AK150:AK213" si="70">(AH150&lt;&gt;AH149)*1</f>
        <v>1</v>
      </c>
      <c r="AL150" s="236">
        <f ca="1">INDEX(Photobiology!$21:$421,1+$AH150-380,10)</f>
        <v>0.4829395</v>
      </c>
      <c r="AM150" s="236">
        <f ca="1" t="shared" ref="AM150:AM213" si="71">$AI150*$AJ$15*IF($AJ$18,1,$AJ150)</f>
        <v>13.3319879209511</v>
      </c>
      <c r="AN150" s="236">
        <f ca="1">INDEX(Photobiology!$21:$421,1+$AH150-380,AN$14)</f>
        <v>0.0206488562081571</v>
      </c>
      <c r="AO150" s="236">
        <f ca="1">INDEX(Photobiology!$21:$421,1+$AH150-380,AO$14)</f>
        <v>0.806662745181089</v>
      </c>
      <c r="AP150" s="236">
        <f ca="1">INDEX(Photobiology!$21:$421,1+$AH150-380,AP$14)</f>
        <v>0.553114444306515</v>
      </c>
      <c r="AQ150" s="236">
        <f ca="1">INDEX(Photobiology!$21:$421,1+$AH150-380,AQ$14)</f>
        <v>0.998518234100878</v>
      </c>
      <c r="AR150" s="236">
        <f ca="1">INDEX(Photobiology!$21:$421,1+$AH150-380,AR$14)</f>
        <v>0.875902972128056</v>
      </c>
      <c r="AS150" s="236">
        <f ca="1" t="shared" ref="AS150:AS213" si="72">$AI150*$AJ$15*IF($AJ$17,1,$AJ150)</f>
        <v>3.41709888656367e+19</v>
      </c>
      <c r="AT150" s="236">
        <f ca="1">INDEX(Photobiology!$21:$421,1+$AH150-380,AT$14)</f>
        <v>0.0178496988832792</v>
      </c>
      <c r="AU150" s="236">
        <f ca="1">INDEX(Photobiology!$21:$421,1+$AH150-380,AU$14)</f>
        <v>0.860596316250809</v>
      </c>
      <c r="AV150" s="236">
        <f ca="1">INDEX(Photobiology!$21:$421,1+$AH150-380,AV$14)</f>
        <v>0.618614758010169</v>
      </c>
      <c r="AW150" s="236">
        <f ca="1">INDEX(Photobiology!$21:$421,1+$AH150-380,AW$14)</f>
        <v>0.999958393031296</v>
      </c>
      <c r="AX150" s="236">
        <f ca="1">INDEX(Photobiology!$21:$421,1+$AH150-380,AX$14)</f>
        <v>0.841102993961068</v>
      </c>
      <c r="AY150" s="236">
        <f ca="1" t="shared" si="59"/>
        <v>13.3319879209511</v>
      </c>
      <c r="AZ150" s="236">
        <f ca="1" t="shared" ref="AZ150:AZ213" si="73">$AY150*AN150</f>
        <v>0.275290301548607</v>
      </c>
      <c r="BA150" s="236">
        <f ca="1" t="shared" si="60"/>
        <v>10.7544179750356</v>
      </c>
      <c r="BB150" s="236">
        <f ca="1" t="shared" si="61"/>
        <v>7.37411509039806</v>
      </c>
      <c r="BC150" s="236">
        <f ca="1" t="shared" si="62"/>
        <v>13.3122330358824</v>
      </c>
      <c r="BD150" s="236">
        <f ca="1" t="shared" si="63"/>
        <v>11.6775278443364</v>
      </c>
    </row>
    <row r="151" s="234" customFormat="1" ht="0.2" customHeight="1" spans="7:56">
      <c r="G151" s="236"/>
      <c r="H151" s="236">
        <f t="shared" si="64"/>
        <v>510</v>
      </c>
      <c r="I151" s="236">
        <f>IF($H151&gt;$H150,INDEX(Spectra!151:151,1,MATCH($I$20,Spectra!$20:$20,0)),I150)</f>
        <v>12.2645948923477</v>
      </c>
      <c r="J151" s="236">
        <f>((Physics!$C$9*Physics!$C$10)/(Physics!$C$11*Physics!$C$12*$H151))^($J$17-$J$18)</f>
        <v>2.56811832129263e+18</v>
      </c>
      <c r="K151" s="236">
        <f t="shared" si="65"/>
        <v>1</v>
      </c>
      <c r="L151" s="236">
        <f ca="1">INDEX(Photobiology!$21:$421,1+$H151-380,10)</f>
        <v>0.503</v>
      </c>
      <c r="M151" s="236">
        <f ca="1" t="shared" si="66"/>
        <v>12.2645948923477</v>
      </c>
      <c r="N151" s="236">
        <f ca="1">INDEX(Photobiology!$21:$421,1+$H151-380,N$14)</f>
        <v>0.0187148348924942</v>
      </c>
      <c r="O151" s="236">
        <f ca="1">INDEX(Photobiology!$21:$421,1+$H151-380,O$14)</f>
        <v>0.816804271049528</v>
      </c>
      <c r="P151" s="236">
        <f ca="1">INDEX(Photobiology!$21:$421,1+$H151-380,P$14)</f>
        <v>0.564060905175121</v>
      </c>
      <c r="Q151" s="236">
        <f ca="1">INDEX(Photobiology!$21:$421,1+$H151-380,Q$14)</f>
        <v>1</v>
      </c>
      <c r="R151" s="236">
        <f ca="1">INDEX(Photobiology!$21:$421,1+$H151-380,R$14)</f>
        <v>0.862887146856774</v>
      </c>
      <c r="S151" s="236">
        <f ca="1" t="shared" si="67"/>
        <v>3.14969308462701e+19</v>
      </c>
      <c r="T151" s="236">
        <f ca="1">INDEX(Photobiology!$21:$421,1+$H151-380,T$14)</f>
        <v>0.0161461320641126</v>
      </c>
      <c r="U151" s="236">
        <f ca="1">INDEX(Photobiology!$21:$421,1+$H151-380,U$14)</f>
        <v>0.869707247156299</v>
      </c>
      <c r="V151" s="236">
        <f ca="1">INDEX(Photobiology!$21:$421,1+$H151-380,V$14)</f>
        <v>0.629620533186812</v>
      </c>
      <c r="W151" s="236">
        <f ca="1">INDEX(Photobiology!$21:$421,1+$H151-380,W$14)</f>
        <v>0.999478683730313</v>
      </c>
      <c r="X151" s="236">
        <f ca="1">INDEX(Photobiology!$21:$421,1+$H151-380,X$14)</f>
        <v>0.826979578375248</v>
      </c>
      <c r="Y151" s="236">
        <f ca="1" t="shared" si="54"/>
        <v>12.2645948923477</v>
      </c>
      <c r="Z151" s="236">
        <f ca="1" t="shared" si="68"/>
        <v>0.229529868433615</v>
      </c>
      <c r="AA151" s="236">
        <f ca="1" t="shared" si="55"/>
        <v>10.0177734907618</v>
      </c>
      <c r="AB151" s="236">
        <f ca="1" t="shared" si="56"/>
        <v>6.91797849658381</v>
      </c>
      <c r="AC151" s="236">
        <f ca="1" t="shared" si="57"/>
        <v>12.2645948923477</v>
      </c>
      <c r="AD151" s="236">
        <f ca="1" t="shared" si="58"/>
        <v>10.5829612940121</v>
      </c>
      <c r="AE151" s="236"/>
      <c r="AF151" s="236"/>
      <c r="AG151" s="236"/>
      <c r="AH151" s="236">
        <f t="shared" si="69"/>
        <v>510</v>
      </c>
      <c r="AI151" s="236">
        <f>IF($AH151&gt;$AH150,INDEX(Spectra!151:151,1,MATCH($AI$20,Spectra!$20:$20,0)),AI150)</f>
        <v>1</v>
      </c>
      <c r="AJ151" s="236">
        <f>((Physics!$C$9*Physics!$C$10)/(Physics!$C$11*Physics!$C$12*$AH151))^($AJ$17-$AJ$18)</f>
        <v>2.56811832129263e+18</v>
      </c>
      <c r="AK151" s="236">
        <f t="shared" si="70"/>
        <v>1</v>
      </c>
      <c r="AL151" s="236">
        <f ca="1">INDEX(Photobiology!$21:$421,1+$AH151-380,10)</f>
        <v>0.503</v>
      </c>
      <c r="AM151" s="236">
        <f ca="1" t="shared" si="71"/>
        <v>13.3319879209511</v>
      </c>
      <c r="AN151" s="236">
        <f ca="1">INDEX(Photobiology!$21:$421,1+$AH151-380,AN$14)</f>
        <v>0.0187148348924942</v>
      </c>
      <c r="AO151" s="236">
        <f ca="1">INDEX(Photobiology!$21:$421,1+$AH151-380,AO$14)</f>
        <v>0.816804271049528</v>
      </c>
      <c r="AP151" s="236">
        <f ca="1">INDEX(Photobiology!$21:$421,1+$AH151-380,AP$14)</f>
        <v>0.564060905175121</v>
      </c>
      <c r="AQ151" s="236">
        <f ca="1">INDEX(Photobiology!$21:$421,1+$AH151-380,AQ$14)</f>
        <v>1</v>
      </c>
      <c r="AR151" s="236">
        <f ca="1">INDEX(Photobiology!$21:$421,1+$AH151-380,AR$14)</f>
        <v>0.862887146856774</v>
      </c>
      <c r="AS151" s="236">
        <f ca="1" t="shared" si="72"/>
        <v>3.42381224390466e+19</v>
      </c>
      <c r="AT151" s="236">
        <f ca="1">INDEX(Photobiology!$21:$421,1+$AH151-380,AT$14)</f>
        <v>0.0161461320641126</v>
      </c>
      <c r="AU151" s="236">
        <f ca="1">INDEX(Photobiology!$21:$421,1+$AH151-380,AU$14)</f>
        <v>0.869707247156299</v>
      </c>
      <c r="AV151" s="236">
        <f ca="1">INDEX(Photobiology!$21:$421,1+$AH151-380,AV$14)</f>
        <v>0.629620533186812</v>
      </c>
      <c r="AW151" s="236">
        <f ca="1">INDEX(Photobiology!$21:$421,1+$AH151-380,AW$14)</f>
        <v>0.999478683730313</v>
      </c>
      <c r="AX151" s="236">
        <f ca="1">INDEX(Photobiology!$21:$421,1+$AH151-380,AX$14)</f>
        <v>0.826979578375248</v>
      </c>
      <c r="AY151" s="236">
        <f ca="1" t="shared" si="59"/>
        <v>13.3319879209511</v>
      </c>
      <c r="AZ151" s="236">
        <f ca="1" t="shared" si="73"/>
        <v>0.249505952729328</v>
      </c>
      <c r="BA151" s="236">
        <f ca="1" t="shared" si="60"/>
        <v>10.8896246754136</v>
      </c>
      <c r="BB151" s="236">
        <f ca="1" t="shared" si="61"/>
        <v>7.52005317447548</v>
      </c>
      <c r="BC151" s="236">
        <f ca="1" t="shared" si="62"/>
        <v>13.3319879209511</v>
      </c>
      <c r="BD151" s="236">
        <f ca="1" t="shared" si="63"/>
        <v>11.5040010190385</v>
      </c>
    </row>
    <row r="152" s="234" customFormat="1" ht="0.2" customHeight="1" spans="7:56">
      <c r="G152" s="236"/>
      <c r="H152" s="236">
        <f t="shared" si="64"/>
        <v>511</v>
      </c>
      <c r="I152" s="236">
        <f>IF($H152&gt;$H151,INDEX(Spectra!152:152,1,MATCH($I$20,Spectra!$20:$20,0)),I151)</f>
        <v>12.7650756320387</v>
      </c>
      <c r="J152" s="236">
        <f>((Physics!$C$9*Physics!$C$10)/(Physics!$C$11*Physics!$C$12*$H152))^($J$17-$J$18)</f>
        <v>2.57315384741281e+18</v>
      </c>
      <c r="K152" s="236">
        <f t="shared" si="65"/>
        <v>1</v>
      </c>
      <c r="L152" s="236">
        <f ca="1">INDEX(Photobiology!$21:$421,1+$H152-380,10)</f>
        <v>0.5235693</v>
      </c>
      <c r="M152" s="236">
        <f ca="1" t="shared" si="66"/>
        <v>12.7650756320387</v>
      </c>
      <c r="N152" s="236">
        <f ca="1">INDEX(Photobiology!$21:$421,1+$H152-380,N$14)</f>
        <v>0.0169374489795103</v>
      </c>
      <c r="O152" s="236">
        <f ca="1">INDEX(Photobiology!$21:$421,1+$H152-380,O$14)</f>
        <v>0.825703261409048</v>
      </c>
      <c r="P152" s="236">
        <f ca="1">INDEX(Photobiology!$21:$421,1+$H152-380,P$14)</f>
        <v>0.574249994886738</v>
      </c>
      <c r="Q152" s="236">
        <f ca="1">INDEX(Photobiology!$21:$421,1+$H152-380,Q$14)</f>
        <v>0.999652370088243</v>
      </c>
      <c r="R152" s="236">
        <f ca="1">INDEX(Photobiology!$21:$421,1+$H152-380,R$14)</f>
        <v>0.848185805090357</v>
      </c>
      <c r="S152" s="236">
        <f ca="1" t="shared" si="67"/>
        <v>3.28465034750959e+19</v>
      </c>
      <c r="T152" s="236">
        <f ca="1">INDEX(Photobiology!$21:$421,1+$H152-380,T$14)</f>
        <v>0.0145841047964472</v>
      </c>
      <c r="U152" s="236">
        <f ca="1">INDEX(Photobiology!$21:$421,1+$H152-380,U$14)</f>
        <v>0.877462095557725</v>
      </c>
      <c r="V152" s="236">
        <f ca="1">INDEX(Photobiology!$21:$421,1+$H152-380,V$14)</f>
        <v>0.639739488489044</v>
      </c>
      <c r="W152" s="236">
        <f ca="1">INDEX(Photobiology!$21:$421,1+$H152-380,W$14)</f>
        <v>0.997175988008374</v>
      </c>
      <c r="X152" s="236">
        <f ca="1">INDEX(Photobiology!$21:$421,1+$H152-380,X$14)</f>
        <v>0.81129922493482</v>
      </c>
      <c r="Y152" s="236">
        <f ca="1" t="shared" si="54"/>
        <v>12.7650756320387</v>
      </c>
      <c r="Z152" s="236">
        <f ca="1" t="shared" si="68"/>
        <v>0.216207817237246</v>
      </c>
      <c r="AA152" s="236">
        <f ca="1" t="shared" si="55"/>
        <v>10.5401645815075</v>
      </c>
      <c r="AB152" s="236">
        <f ca="1" t="shared" si="56"/>
        <v>7.33034461642705</v>
      </c>
      <c r="AC152" s="236">
        <f ca="1" t="shared" si="57"/>
        <v>12.7606381099232</v>
      </c>
      <c r="AD152" s="236">
        <f ca="1" t="shared" si="58"/>
        <v>10.827155952</v>
      </c>
      <c r="AE152" s="236"/>
      <c r="AF152" s="236"/>
      <c r="AG152" s="236"/>
      <c r="AH152" s="236">
        <f t="shared" si="69"/>
        <v>511</v>
      </c>
      <c r="AI152" s="236">
        <f>IF($AH152&gt;$AH151,INDEX(Spectra!152:152,1,MATCH($AI$20,Spectra!$20:$20,0)),AI151)</f>
        <v>1</v>
      </c>
      <c r="AJ152" s="236">
        <f>((Physics!$C$9*Physics!$C$10)/(Physics!$C$11*Physics!$C$12*$AH152))^($AJ$17-$AJ$18)</f>
        <v>2.57315384741281e+18</v>
      </c>
      <c r="AK152" s="236">
        <f t="shared" si="70"/>
        <v>1</v>
      </c>
      <c r="AL152" s="236">
        <f ca="1">INDEX(Photobiology!$21:$421,1+$AH152-380,10)</f>
        <v>0.5235693</v>
      </c>
      <c r="AM152" s="236">
        <f ca="1" t="shared" si="71"/>
        <v>13.3319879209511</v>
      </c>
      <c r="AN152" s="236">
        <f ca="1">INDEX(Photobiology!$21:$421,1+$AH152-380,AN$14)</f>
        <v>0.0169374489795103</v>
      </c>
      <c r="AO152" s="236">
        <f ca="1">INDEX(Photobiology!$21:$421,1+$AH152-380,AO$14)</f>
        <v>0.825703261409048</v>
      </c>
      <c r="AP152" s="236">
        <f ca="1">INDEX(Photobiology!$21:$421,1+$AH152-380,AP$14)</f>
        <v>0.574249994886738</v>
      </c>
      <c r="AQ152" s="236">
        <f ca="1">INDEX(Photobiology!$21:$421,1+$AH152-380,AQ$14)</f>
        <v>0.999652370088243</v>
      </c>
      <c r="AR152" s="236">
        <f ca="1">INDEX(Photobiology!$21:$421,1+$AH152-380,AR$14)</f>
        <v>0.848185805090357</v>
      </c>
      <c r="AS152" s="236">
        <f ca="1" t="shared" si="72"/>
        <v>3.43052560124565e+19</v>
      </c>
      <c r="AT152" s="236">
        <f ca="1">INDEX(Photobiology!$21:$421,1+$AH152-380,AT$14)</f>
        <v>0.0145841047964472</v>
      </c>
      <c r="AU152" s="236">
        <f ca="1">INDEX(Photobiology!$21:$421,1+$AH152-380,AU$14)</f>
        <v>0.877462095557725</v>
      </c>
      <c r="AV152" s="236">
        <f ca="1">INDEX(Photobiology!$21:$421,1+$AH152-380,AV$14)</f>
        <v>0.639739488489044</v>
      </c>
      <c r="AW152" s="236">
        <f ca="1">INDEX(Photobiology!$21:$421,1+$AH152-380,AW$14)</f>
        <v>0.997175988008374</v>
      </c>
      <c r="AX152" s="236">
        <f ca="1">INDEX(Photobiology!$21:$421,1+$AH152-380,AX$14)</f>
        <v>0.81129922493482</v>
      </c>
      <c r="AY152" s="236">
        <f ca="1" t="shared" si="59"/>
        <v>13.3319879209511</v>
      </c>
      <c r="AZ152" s="236">
        <f ca="1" t="shared" si="73"/>
        <v>0.225809865206558</v>
      </c>
      <c r="BA152" s="236">
        <f ca="1" t="shared" si="60"/>
        <v>11.0082659073954</v>
      </c>
      <c r="BB152" s="236">
        <f ca="1" t="shared" si="61"/>
        <v>7.65589399543625</v>
      </c>
      <c r="BC152" s="236">
        <f ca="1" t="shared" si="62"/>
        <v>13.3273533231666</v>
      </c>
      <c r="BD152" s="236">
        <f ca="1" t="shared" si="63"/>
        <v>11.3080029081869</v>
      </c>
    </row>
    <row r="153" s="234" customFormat="1" ht="0.2" customHeight="1" spans="7:56">
      <c r="G153" s="236"/>
      <c r="H153" s="236">
        <f t="shared" si="64"/>
        <v>512</v>
      </c>
      <c r="I153" s="236">
        <f>IF($H153&gt;$H152,INDEX(Spectra!153:153,1,MATCH($I$20,Spectra!$20:$20,0)),I152)</f>
        <v>13.3204828408773</v>
      </c>
      <c r="J153" s="236">
        <f>((Physics!$C$9*Physics!$C$10)/(Physics!$C$11*Physics!$C$12*$H153))^($J$17-$J$18)</f>
        <v>2.57818937353299e+18</v>
      </c>
      <c r="K153" s="236">
        <f t="shared" si="65"/>
        <v>1</v>
      </c>
      <c r="L153" s="236">
        <f ca="1">INDEX(Photobiology!$21:$421,1+$H153-380,10)</f>
        <v>0.544512</v>
      </c>
      <c r="M153" s="236">
        <f ca="1" t="shared" si="66"/>
        <v>13.3204828408773</v>
      </c>
      <c r="N153" s="236">
        <f ca="1">INDEX(Photobiology!$21:$421,1+$H153-380,N$14)</f>
        <v>0.015328370883466</v>
      </c>
      <c r="O153" s="236">
        <f ca="1">INDEX(Photobiology!$21:$421,1+$H153-380,O$14)</f>
        <v>0.834466679778498</v>
      </c>
      <c r="P153" s="236">
        <f ca="1">INDEX(Photobiology!$21:$421,1+$H153-380,P$14)</f>
        <v>0.584441437123103</v>
      </c>
      <c r="Q153" s="236">
        <f ca="1">INDEX(Photobiology!$21:$421,1+$H153-380,Q$14)</f>
        <v>0.998842470153328</v>
      </c>
      <c r="R153" s="236">
        <f ca="1">INDEX(Photobiology!$21:$421,1+$H153-380,R$14)</f>
        <v>0.833038359252541</v>
      </c>
      <c r="S153" s="236">
        <f ca="1" t="shared" si="67"/>
        <v>3.43427273106784e+19</v>
      </c>
      <c r="T153" s="236">
        <f ca="1">INDEX(Photobiology!$21:$421,1+$H153-380,T$14)</f>
        <v>0.0131728187279786</v>
      </c>
      <c r="U153" s="236">
        <f ca="1">INDEX(Photobiology!$21:$421,1+$H153-380,U$14)</f>
        <v>0.885042862711076</v>
      </c>
      <c r="V153" s="236">
        <f ca="1">INDEX(Photobiology!$21:$421,1+$H153-380,V$14)</f>
        <v>0.649821532318311</v>
      </c>
      <c r="W153" s="236">
        <f ca="1">INDEX(Photobiology!$21:$421,1+$H153-380,W$14)</f>
        <v>0.994422062958241</v>
      </c>
      <c r="X153" s="236">
        <f ca="1">INDEX(Photobiology!$21:$421,1+$H153-380,X$14)</f>
        <v>0.795254252738304</v>
      </c>
      <c r="Y153" s="236">
        <f ca="1" t="shared" si="54"/>
        <v>13.3204828408773</v>
      </c>
      <c r="Z153" s="236">
        <f ca="1" t="shared" si="68"/>
        <v>0.204181301331812</v>
      </c>
      <c r="AA153" s="236">
        <f ca="1" t="shared" si="55"/>
        <v>11.1154990892733</v>
      </c>
      <c r="AB153" s="236">
        <f ca="1" t="shared" si="56"/>
        <v>7.78504213469596</v>
      </c>
      <c r="AC153" s="236">
        <f ca="1" t="shared" si="57"/>
        <v>13.3050639844169</v>
      </c>
      <c r="AD153" s="236">
        <f ca="1" t="shared" si="58"/>
        <v>11.0964731702161</v>
      </c>
      <c r="AE153" s="236"/>
      <c r="AF153" s="236"/>
      <c r="AG153" s="236"/>
      <c r="AH153" s="236">
        <f t="shared" si="69"/>
        <v>512</v>
      </c>
      <c r="AI153" s="236">
        <f>IF($AH153&gt;$AH152,INDEX(Spectra!153:153,1,MATCH($AI$20,Spectra!$20:$20,0)),AI152)</f>
        <v>1</v>
      </c>
      <c r="AJ153" s="236">
        <f>((Physics!$C$9*Physics!$C$10)/(Physics!$C$11*Physics!$C$12*$AH153))^($AJ$17-$AJ$18)</f>
        <v>2.57818937353299e+18</v>
      </c>
      <c r="AK153" s="236">
        <f t="shared" si="70"/>
        <v>1</v>
      </c>
      <c r="AL153" s="236">
        <f ca="1">INDEX(Photobiology!$21:$421,1+$AH153-380,10)</f>
        <v>0.544512</v>
      </c>
      <c r="AM153" s="236">
        <f ca="1" t="shared" si="71"/>
        <v>13.3319879209511</v>
      </c>
      <c r="AN153" s="236">
        <f ca="1">INDEX(Photobiology!$21:$421,1+$AH153-380,AN$14)</f>
        <v>0.015328370883466</v>
      </c>
      <c r="AO153" s="236">
        <f ca="1">INDEX(Photobiology!$21:$421,1+$AH153-380,AO$14)</f>
        <v>0.834466679778498</v>
      </c>
      <c r="AP153" s="236">
        <f ca="1">INDEX(Photobiology!$21:$421,1+$AH153-380,AP$14)</f>
        <v>0.584441437123103</v>
      </c>
      <c r="AQ153" s="236">
        <f ca="1">INDEX(Photobiology!$21:$421,1+$AH153-380,AQ$14)</f>
        <v>0.998842470153328</v>
      </c>
      <c r="AR153" s="236">
        <f ca="1">INDEX(Photobiology!$21:$421,1+$AH153-380,AR$14)</f>
        <v>0.833038359252541</v>
      </c>
      <c r="AS153" s="236">
        <f ca="1" t="shared" si="72"/>
        <v>3.43723895858664e+19</v>
      </c>
      <c r="AT153" s="236">
        <f ca="1">INDEX(Photobiology!$21:$421,1+$AH153-380,AT$14)</f>
        <v>0.0131728187279786</v>
      </c>
      <c r="AU153" s="236">
        <f ca="1">INDEX(Photobiology!$21:$421,1+$AH153-380,AU$14)</f>
        <v>0.885042862711076</v>
      </c>
      <c r="AV153" s="236">
        <f ca="1">INDEX(Photobiology!$21:$421,1+$AH153-380,AV$14)</f>
        <v>0.649821532318311</v>
      </c>
      <c r="AW153" s="236">
        <f ca="1">INDEX(Photobiology!$21:$421,1+$AH153-380,AW$14)</f>
        <v>0.994422062958241</v>
      </c>
      <c r="AX153" s="236">
        <f ca="1">INDEX(Photobiology!$21:$421,1+$AH153-380,AX$14)</f>
        <v>0.795254252738304</v>
      </c>
      <c r="AY153" s="236">
        <f ca="1" t="shared" si="59"/>
        <v>13.3319879209511</v>
      </c>
      <c r="AZ153" s="236">
        <f ca="1" t="shared" si="73"/>
        <v>0.204357655466228</v>
      </c>
      <c r="BA153" s="236">
        <f ca="1" t="shared" si="60"/>
        <v>11.1250996952431</v>
      </c>
      <c r="BB153" s="236">
        <f ca="1" t="shared" si="61"/>
        <v>7.79176618022854</v>
      </c>
      <c r="BC153" s="236">
        <f ca="1" t="shared" si="62"/>
        <v>13.3165557470172</v>
      </c>
      <c r="BD153" s="236">
        <f ca="1" t="shared" si="63"/>
        <v>11.1060573432438</v>
      </c>
    </row>
    <row r="154" s="234" customFormat="1" ht="0.2" customHeight="1" spans="7:56">
      <c r="G154" s="236"/>
      <c r="H154" s="236">
        <f t="shared" si="64"/>
        <v>513</v>
      </c>
      <c r="I154" s="236">
        <f>IF($H154&gt;$H153,INDEX(Spectra!154:154,1,MATCH($I$20,Spectra!$20:$20,0)),I153)</f>
        <v>13.8921907974295</v>
      </c>
      <c r="J154" s="236">
        <f>((Physics!$C$9*Physics!$C$10)/(Physics!$C$11*Physics!$C$12*$H154))^($J$17-$J$18)</f>
        <v>2.58322489965317e+18</v>
      </c>
      <c r="K154" s="236">
        <f t="shared" si="65"/>
        <v>1</v>
      </c>
      <c r="L154" s="236">
        <f ca="1">INDEX(Photobiology!$21:$421,1+$H154-380,10)</f>
        <v>0.56569</v>
      </c>
      <c r="M154" s="236">
        <f ca="1" t="shared" si="66"/>
        <v>13.8921907974295</v>
      </c>
      <c r="N154" s="236">
        <f ca="1">INDEX(Photobiology!$21:$421,1+$H154-380,N$14)</f>
        <v>0.0138720932651573</v>
      </c>
      <c r="O154" s="236">
        <f ca="1">INDEX(Photobiology!$21:$421,1+$H154-380,O$14)</f>
        <v>0.843090120148578</v>
      </c>
      <c r="P154" s="236">
        <f ca="1">INDEX(Photobiology!$21:$421,1+$H154-380,P$14)</f>
        <v>0.594628882406063</v>
      </c>
      <c r="Q154" s="236">
        <f ca="1">INDEX(Photobiology!$21:$421,1+$H154-380,Q$14)</f>
        <v>0.997562235985928</v>
      </c>
      <c r="R154" s="236">
        <f ca="1">INDEX(Photobiology!$21:$421,1+$H154-380,R$14)</f>
        <v>0.817475978889123</v>
      </c>
      <c r="S154" s="236">
        <f ca="1" t="shared" si="67"/>
        <v>3.58866531786525e+19</v>
      </c>
      <c r="T154" s="236">
        <f ca="1">INDEX(Photobiology!$21:$421,1+$H154-380,T$14)</f>
        <v>0.0118980916894137</v>
      </c>
      <c r="U154" s="236">
        <f ca="1">INDEX(Photobiology!$21:$421,1+$H154-380,U$14)</f>
        <v>0.892445902691537</v>
      </c>
      <c r="V154" s="236">
        <f ca="1">INDEX(Photobiology!$21:$421,1+$H154-380,V$14)</f>
        <v>0.659859834513525</v>
      </c>
      <c r="W154" s="236">
        <f ca="1">INDEX(Photobiology!$21:$421,1+$H154-380,W$14)</f>
        <v>0.991211534477124</v>
      </c>
      <c r="X154" s="236">
        <f ca="1">INDEX(Photobiology!$21:$421,1+$H154-380,X$14)</f>
        <v>0.778876491844883</v>
      </c>
      <c r="Y154" s="236">
        <f ca="1" t="shared" si="54"/>
        <v>13.8921907974295</v>
      </c>
      <c r="Z154" s="236">
        <f ca="1" t="shared" si="68"/>
        <v>0.192713766399302</v>
      </c>
      <c r="AA154" s="236">
        <f ca="1" t="shared" si="55"/>
        <v>11.7123688085318</v>
      </c>
      <c r="AB154" s="236">
        <f ca="1" t="shared" si="56"/>
        <v>8.2606978880473</v>
      </c>
      <c r="AC154" s="236">
        <f ca="1" t="shared" si="57"/>
        <v>13.8583249146269</v>
      </c>
      <c r="AD154" s="236">
        <f ca="1" t="shared" si="58"/>
        <v>11.3565322710431</v>
      </c>
      <c r="AE154" s="236"/>
      <c r="AF154" s="236"/>
      <c r="AG154" s="236"/>
      <c r="AH154" s="236">
        <f t="shared" si="69"/>
        <v>513</v>
      </c>
      <c r="AI154" s="236">
        <f>IF($AH154&gt;$AH153,INDEX(Spectra!154:154,1,MATCH($AI$20,Spectra!$20:$20,0)),AI153)</f>
        <v>1</v>
      </c>
      <c r="AJ154" s="236">
        <f>((Physics!$C$9*Physics!$C$10)/(Physics!$C$11*Physics!$C$12*$AH154))^($AJ$17-$AJ$18)</f>
        <v>2.58322489965317e+18</v>
      </c>
      <c r="AK154" s="236">
        <f t="shared" si="70"/>
        <v>1</v>
      </c>
      <c r="AL154" s="236">
        <f ca="1">INDEX(Photobiology!$21:$421,1+$AH154-380,10)</f>
        <v>0.56569</v>
      </c>
      <c r="AM154" s="236">
        <f ca="1" t="shared" si="71"/>
        <v>13.3319879209511</v>
      </c>
      <c r="AN154" s="236">
        <f ca="1">INDEX(Photobiology!$21:$421,1+$AH154-380,AN$14)</f>
        <v>0.0138720932651573</v>
      </c>
      <c r="AO154" s="236">
        <f ca="1">INDEX(Photobiology!$21:$421,1+$AH154-380,AO$14)</f>
        <v>0.843090120148578</v>
      </c>
      <c r="AP154" s="236">
        <f ca="1">INDEX(Photobiology!$21:$421,1+$AH154-380,AP$14)</f>
        <v>0.594628882406063</v>
      </c>
      <c r="AQ154" s="236">
        <f ca="1">INDEX(Photobiology!$21:$421,1+$AH154-380,AQ$14)</f>
        <v>0.997562235985928</v>
      </c>
      <c r="AR154" s="236">
        <f ca="1">INDEX(Photobiology!$21:$421,1+$AH154-380,AR$14)</f>
        <v>0.817475978889123</v>
      </c>
      <c r="AS154" s="236">
        <f ca="1" t="shared" si="72"/>
        <v>3.44395231592763e+19</v>
      </c>
      <c r="AT154" s="236">
        <f ca="1">INDEX(Photobiology!$21:$421,1+$AH154-380,AT$14)</f>
        <v>0.0118980916894137</v>
      </c>
      <c r="AU154" s="236">
        <f ca="1">INDEX(Photobiology!$21:$421,1+$AH154-380,AU$14)</f>
        <v>0.892445902691537</v>
      </c>
      <c r="AV154" s="236">
        <f ca="1">INDEX(Photobiology!$21:$421,1+$AH154-380,AV$14)</f>
        <v>0.659859834513525</v>
      </c>
      <c r="AW154" s="236">
        <f ca="1">INDEX(Photobiology!$21:$421,1+$AH154-380,AW$14)</f>
        <v>0.991211534477124</v>
      </c>
      <c r="AX154" s="236">
        <f ca="1">INDEX(Photobiology!$21:$421,1+$AH154-380,AX$14)</f>
        <v>0.778876491844883</v>
      </c>
      <c r="AY154" s="236">
        <f ca="1" t="shared" si="59"/>
        <v>13.3319879209511</v>
      </c>
      <c r="AZ154" s="236">
        <f ca="1" t="shared" si="73"/>
        <v>0.184942579849385</v>
      </c>
      <c r="BA154" s="236">
        <f ca="1" t="shared" si="60"/>
        <v>11.2400672980941</v>
      </c>
      <c r="BB154" s="236">
        <f ca="1" t="shared" si="61"/>
        <v>7.92758507768631</v>
      </c>
      <c r="BC154" s="236">
        <f ca="1" t="shared" si="62"/>
        <v>13.2994876805614</v>
      </c>
      <c r="BD154" s="236">
        <f ca="1" t="shared" si="63"/>
        <v>10.8985798762175</v>
      </c>
    </row>
    <row r="155" s="234" customFormat="1" ht="0.2" customHeight="1" spans="7:56">
      <c r="G155" s="236"/>
      <c r="H155" s="236">
        <f t="shared" si="64"/>
        <v>514</v>
      </c>
      <c r="I155" s="236">
        <f>IF($H155&gt;$H154,INDEX(Spectra!155:155,1,MATCH($I$20,Spectra!$20:$20,0)),I154)</f>
        <v>14.3777950946825</v>
      </c>
      <c r="J155" s="236">
        <f>((Physics!$C$9*Physics!$C$10)/(Physics!$C$11*Physics!$C$12*$H155))^($J$17-$J$18)</f>
        <v>2.58826042577335e+18</v>
      </c>
      <c r="K155" s="236">
        <f t="shared" si="65"/>
        <v>1</v>
      </c>
      <c r="L155" s="236">
        <f ca="1">INDEX(Photobiology!$21:$421,1+$H155-380,10)</f>
        <v>0.5869653</v>
      </c>
      <c r="M155" s="236">
        <f ca="1" t="shared" si="66"/>
        <v>14.3777950946825</v>
      </c>
      <c r="N155" s="236">
        <f ca="1">INDEX(Photobiology!$21:$421,1+$H155-380,N$14)</f>
        <v>0.0125544589213183</v>
      </c>
      <c r="O155" s="236">
        <f ca="1">INDEX(Photobiology!$21:$421,1+$H155-380,O$14)</f>
        <v>0.851567346525291</v>
      </c>
      <c r="P155" s="236">
        <f ca="1">INDEX(Photobiology!$21:$421,1+$H155-380,P$14)</f>
        <v>0.604810051208562</v>
      </c>
      <c r="Q155" s="236">
        <f ca="1">INDEX(Photobiology!$21:$421,1+$H155-380,Q$14)</f>
        <v>0.995804306241103</v>
      </c>
      <c r="R155" s="236">
        <f ca="1">INDEX(Photobiology!$21:$421,1+$H155-380,R$14)</f>
        <v>0.801530402431522</v>
      </c>
      <c r="S155" s="236">
        <f ca="1" t="shared" si="67"/>
        <v>3.72134780534449e+19</v>
      </c>
      <c r="T155" s="236">
        <f ca="1">INDEX(Photobiology!$21:$421,1+$H155-380,T$14)</f>
        <v>0.0107470076369262</v>
      </c>
      <c r="U155" s="236">
        <f ca="1">INDEX(Photobiology!$21:$421,1+$H155-380,U$14)</f>
        <v>0.89966566460116</v>
      </c>
      <c r="V155" s="236">
        <f ca="1">INDEX(Photobiology!$21:$421,1+$H155-380,V$14)</f>
        <v>0.669852125705634</v>
      </c>
      <c r="W155" s="236">
        <f ca="1">INDEX(Photobiology!$21:$421,1+$H155-380,W$14)</f>
        <v>0.987539767315109</v>
      </c>
      <c r="X155" s="236">
        <f ca="1">INDEX(Photobiology!$21:$421,1+$H155-380,X$14)</f>
        <v>0.762198065578527</v>
      </c>
      <c r="Y155" s="236">
        <f ca="1" t="shared" si="54"/>
        <v>14.3777950946825</v>
      </c>
      <c r="Z155" s="236">
        <f ca="1" t="shared" si="68"/>
        <v>0.180505437895323</v>
      </c>
      <c r="AA155" s="236">
        <f ca="1" t="shared" si="55"/>
        <v>12.2436608176631</v>
      </c>
      <c r="AB155" s="236">
        <f ca="1" t="shared" si="56"/>
        <v>8.69583498748113</v>
      </c>
      <c r="AC155" s="236">
        <f ca="1" t="shared" si="57"/>
        <v>14.317470269537</v>
      </c>
      <c r="AD155" s="236">
        <f ca="1" t="shared" si="58"/>
        <v>11.5242398883188</v>
      </c>
      <c r="AE155" s="236"/>
      <c r="AF155" s="236"/>
      <c r="AG155" s="236"/>
      <c r="AH155" s="236">
        <f t="shared" si="69"/>
        <v>514</v>
      </c>
      <c r="AI155" s="236">
        <f>IF($AH155&gt;$AH154,INDEX(Spectra!155:155,1,MATCH($AI$20,Spectra!$20:$20,0)),AI154)</f>
        <v>1</v>
      </c>
      <c r="AJ155" s="236">
        <f>((Physics!$C$9*Physics!$C$10)/(Physics!$C$11*Physics!$C$12*$AH155))^($AJ$17-$AJ$18)</f>
        <v>2.58826042577335e+18</v>
      </c>
      <c r="AK155" s="236">
        <f t="shared" si="70"/>
        <v>1</v>
      </c>
      <c r="AL155" s="236">
        <f ca="1">INDEX(Photobiology!$21:$421,1+$AH155-380,10)</f>
        <v>0.5869653</v>
      </c>
      <c r="AM155" s="236">
        <f ca="1" t="shared" si="71"/>
        <v>13.3319879209511</v>
      </c>
      <c r="AN155" s="236">
        <f ca="1">INDEX(Photobiology!$21:$421,1+$AH155-380,AN$14)</f>
        <v>0.0125544589213183</v>
      </c>
      <c r="AO155" s="236">
        <f ca="1">INDEX(Photobiology!$21:$421,1+$AH155-380,AO$14)</f>
        <v>0.851567346525291</v>
      </c>
      <c r="AP155" s="236">
        <f ca="1">INDEX(Photobiology!$21:$421,1+$AH155-380,AP$14)</f>
        <v>0.604810051208562</v>
      </c>
      <c r="AQ155" s="236">
        <f ca="1">INDEX(Photobiology!$21:$421,1+$AH155-380,AQ$14)</f>
        <v>0.995804306241103</v>
      </c>
      <c r="AR155" s="236">
        <f ca="1">INDEX(Photobiology!$21:$421,1+$AH155-380,AR$14)</f>
        <v>0.801530402431522</v>
      </c>
      <c r="AS155" s="236">
        <f ca="1" t="shared" si="72"/>
        <v>3.45066567326862e+19</v>
      </c>
      <c r="AT155" s="236">
        <f ca="1">INDEX(Photobiology!$21:$421,1+$AH155-380,AT$14)</f>
        <v>0.0107470076369262</v>
      </c>
      <c r="AU155" s="236">
        <f ca="1">INDEX(Photobiology!$21:$421,1+$AH155-380,AU$14)</f>
        <v>0.89966566460116</v>
      </c>
      <c r="AV155" s="236">
        <f ca="1">INDEX(Photobiology!$21:$421,1+$AH155-380,AV$14)</f>
        <v>0.669852125705634</v>
      </c>
      <c r="AW155" s="236">
        <f ca="1">INDEX(Photobiology!$21:$421,1+$AH155-380,AW$14)</f>
        <v>0.987539767315109</v>
      </c>
      <c r="AX155" s="236">
        <f ca="1">INDEX(Photobiology!$21:$421,1+$AH155-380,AX$14)</f>
        <v>0.762198065578527</v>
      </c>
      <c r="AY155" s="236">
        <f ca="1" t="shared" si="59"/>
        <v>13.3319879209511</v>
      </c>
      <c r="AZ155" s="236">
        <f ca="1" t="shared" si="73"/>
        <v>0.167375894693093</v>
      </c>
      <c r="BA155" s="236">
        <f ca="1" t="shared" si="60"/>
        <v>11.3530855777516</v>
      </c>
      <c r="BB155" s="236">
        <f ca="1" t="shared" si="61"/>
        <v>8.06332029718239</v>
      </c>
      <c r="BC155" s="236">
        <f ca="1" t="shared" si="62"/>
        <v>13.2760509824375</v>
      </c>
      <c r="BD155" s="236">
        <f ca="1" t="shared" si="63"/>
        <v>10.6859936434922</v>
      </c>
    </row>
    <row r="156" s="234" customFormat="1" ht="0.2" customHeight="1" spans="7:56">
      <c r="G156" s="236"/>
      <c r="H156" s="236">
        <f t="shared" si="64"/>
        <v>515</v>
      </c>
      <c r="I156" s="236">
        <f>IF($H156&gt;$H155,INDEX(Spectra!156:156,1,MATCH($I$20,Spectra!$20:$20,0)),I155)</f>
        <v>14.8765280608693</v>
      </c>
      <c r="J156" s="236">
        <f>((Physics!$C$9*Physics!$C$10)/(Physics!$C$11*Physics!$C$12*$H156))^($J$17-$J$18)</f>
        <v>2.59329595189354e+18</v>
      </c>
      <c r="K156" s="236">
        <f t="shared" si="65"/>
        <v>1</v>
      </c>
      <c r="L156" s="236">
        <f ca="1">INDEX(Photobiology!$21:$421,1+$H156-380,10)</f>
        <v>0.6082</v>
      </c>
      <c r="M156" s="236">
        <f ca="1" t="shared" si="66"/>
        <v>14.8765280608693</v>
      </c>
      <c r="N156" s="236">
        <f ca="1">INDEX(Photobiology!$21:$421,1+$H156-380,N$14)</f>
        <v>0.011362502714947</v>
      </c>
      <c r="O156" s="236">
        <f ca="1">INDEX(Photobiology!$21:$421,1+$H156-380,O$14)</f>
        <v>0.859894161121737</v>
      </c>
      <c r="P156" s="236">
        <f ca="1">INDEX(Photobiology!$21:$421,1+$H156-380,P$14)</f>
        <v>0.614977179037717</v>
      </c>
      <c r="Q156" s="236">
        <f ca="1">INDEX(Photobiology!$21:$421,1+$H156-380,Q$14)</f>
        <v>0.993555198455164</v>
      </c>
      <c r="R156" s="236">
        <f ca="1">INDEX(Photobiology!$21:$421,1+$H156-380,R$14)</f>
        <v>0.785233826540287</v>
      </c>
      <c r="S156" s="236">
        <f ca="1" t="shared" si="67"/>
        <v>3.8579239998483e+19</v>
      </c>
      <c r="T156" s="236">
        <f ca="1">INDEX(Photobiology!$21:$421,1+$H156-380,T$14)</f>
        <v>0.00970776930985763</v>
      </c>
      <c r="U156" s="236">
        <f ca="1">INDEX(Photobiology!$21:$421,1+$H156-380,U$14)</f>
        <v>0.906698789803875</v>
      </c>
      <c r="V156" s="236">
        <f ca="1">INDEX(Photobiology!$21:$421,1+$H156-380,V$14)</f>
        <v>0.679790091121215</v>
      </c>
      <c r="W156" s="236">
        <f ca="1">INDEX(Photobiology!$21:$421,1+$H156-380,W$14)</f>
        <v>0.983396103693869</v>
      </c>
      <c r="X156" s="236">
        <f ca="1">INDEX(Photobiology!$21:$421,1+$H156-380,X$14)</f>
        <v>0.745251282658673</v>
      </c>
      <c r="Y156" s="236">
        <f ca="1" t="shared" si="54"/>
        <v>14.8765280608693</v>
      </c>
      <c r="Z156" s="236">
        <f ca="1" t="shared" si="68"/>
        <v>0.169034590480613</v>
      </c>
      <c r="AA156" s="236">
        <f ca="1" t="shared" si="55"/>
        <v>12.7922396173052</v>
      </c>
      <c r="AB156" s="236">
        <f ca="1" t="shared" si="56"/>
        <v>9.14872526074884</v>
      </c>
      <c r="AC156" s="236">
        <f ca="1" t="shared" si="57"/>
        <v>14.7806517898408</v>
      </c>
      <c r="AD156" s="236">
        <f ca="1" t="shared" si="58"/>
        <v>11.6815530548704</v>
      </c>
      <c r="AE156" s="236"/>
      <c r="AF156" s="236"/>
      <c r="AG156" s="236"/>
      <c r="AH156" s="236">
        <f t="shared" si="69"/>
        <v>515</v>
      </c>
      <c r="AI156" s="236">
        <f>IF($AH156&gt;$AH155,INDEX(Spectra!156:156,1,MATCH($AI$20,Spectra!$20:$20,0)),AI155)</f>
        <v>1</v>
      </c>
      <c r="AJ156" s="236">
        <f>((Physics!$C$9*Physics!$C$10)/(Physics!$C$11*Physics!$C$12*$AH156))^($AJ$17-$AJ$18)</f>
        <v>2.59329595189354e+18</v>
      </c>
      <c r="AK156" s="236">
        <f t="shared" si="70"/>
        <v>1</v>
      </c>
      <c r="AL156" s="236">
        <f ca="1">INDEX(Photobiology!$21:$421,1+$AH156-380,10)</f>
        <v>0.6082</v>
      </c>
      <c r="AM156" s="236">
        <f ca="1" t="shared" si="71"/>
        <v>13.3319879209511</v>
      </c>
      <c r="AN156" s="236">
        <f ca="1">INDEX(Photobiology!$21:$421,1+$AH156-380,AN$14)</f>
        <v>0.011362502714947</v>
      </c>
      <c r="AO156" s="236">
        <f ca="1">INDEX(Photobiology!$21:$421,1+$AH156-380,AO$14)</f>
        <v>0.859894161121737</v>
      </c>
      <c r="AP156" s="236">
        <f ca="1">INDEX(Photobiology!$21:$421,1+$AH156-380,AP$14)</f>
        <v>0.614977179037717</v>
      </c>
      <c r="AQ156" s="236">
        <f ca="1">INDEX(Photobiology!$21:$421,1+$AH156-380,AQ$14)</f>
        <v>0.993555198455164</v>
      </c>
      <c r="AR156" s="236">
        <f ca="1">INDEX(Photobiology!$21:$421,1+$AH156-380,AR$14)</f>
        <v>0.785233826540287</v>
      </c>
      <c r="AS156" s="236">
        <f ca="1" t="shared" si="72"/>
        <v>3.45737903060961e+19</v>
      </c>
      <c r="AT156" s="236">
        <f ca="1">INDEX(Photobiology!$21:$421,1+$AH156-380,AT$14)</f>
        <v>0.00970776930985763</v>
      </c>
      <c r="AU156" s="236">
        <f ca="1">INDEX(Photobiology!$21:$421,1+$AH156-380,AU$14)</f>
        <v>0.906698789803875</v>
      </c>
      <c r="AV156" s="236">
        <f ca="1">INDEX(Photobiology!$21:$421,1+$AH156-380,AV$14)</f>
        <v>0.679790091121215</v>
      </c>
      <c r="AW156" s="236">
        <f ca="1">INDEX(Photobiology!$21:$421,1+$AH156-380,AW$14)</f>
        <v>0.983396103693869</v>
      </c>
      <c r="AX156" s="236">
        <f ca="1">INDEX(Photobiology!$21:$421,1+$AH156-380,AX$14)</f>
        <v>0.745251282658673</v>
      </c>
      <c r="AY156" s="236">
        <f ca="1" t="shared" si="59"/>
        <v>13.3319879209511</v>
      </c>
      <c r="AZ156" s="236">
        <f ca="1" t="shared" si="73"/>
        <v>0.151484748947448</v>
      </c>
      <c r="BA156" s="236">
        <f ca="1" t="shared" si="60"/>
        <v>11.4640985693714</v>
      </c>
      <c r="BB156" s="236">
        <f ca="1" t="shared" si="61"/>
        <v>8.19886832259145</v>
      </c>
      <c r="BC156" s="236">
        <f ca="1" t="shared" si="62"/>
        <v>13.2460659046025</v>
      </c>
      <c r="BD156" s="236">
        <f ca="1" t="shared" si="63"/>
        <v>10.4687278905573</v>
      </c>
    </row>
    <row r="157" s="234" customFormat="1" ht="0.2" customHeight="1" spans="7:56">
      <c r="G157" s="236"/>
      <c r="H157" s="236">
        <f t="shared" si="64"/>
        <v>516</v>
      </c>
      <c r="I157" s="236">
        <f>IF($H157&gt;$H156,INDEX(Spectra!157:157,1,MATCH($I$20,Spectra!$20:$20,0)),I156)</f>
        <v>15.2940171830991</v>
      </c>
      <c r="J157" s="236">
        <f>((Physics!$C$9*Physics!$C$10)/(Physics!$C$11*Physics!$C$12*$H157))^($J$17-$J$18)</f>
        <v>2.59833147801372e+18</v>
      </c>
      <c r="K157" s="236">
        <f t="shared" si="65"/>
        <v>1</v>
      </c>
      <c r="L157" s="236">
        <f ca="1">INDEX(Photobiology!$21:$421,1+$H157-380,10)</f>
        <v>0.6293456</v>
      </c>
      <c r="M157" s="236">
        <f ca="1" t="shared" si="66"/>
        <v>15.2940171830991</v>
      </c>
      <c r="N157" s="236">
        <f ca="1">INDEX(Photobiology!$21:$421,1+$H157-380,N$14)</f>
        <v>0.0102844009546282</v>
      </c>
      <c r="O157" s="236">
        <f ca="1">INDEX(Photobiology!$21:$421,1+$H157-380,O$14)</f>
        <v>0.868062509484719</v>
      </c>
      <c r="P157" s="236">
        <f ca="1">INDEX(Photobiology!$21:$421,1+$H157-380,P$14)</f>
        <v>0.625128069455303</v>
      </c>
      <c r="Q157" s="236">
        <f ca="1">INDEX(Photobiology!$21:$421,1+$H157-380,Q$14)</f>
        <v>0.99081141183173</v>
      </c>
      <c r="R157" s="236">
        <f ca="1">INDEX(Photobiology!$21:$421,1+$H157-380,R$14)</f>
        <v>0.768617025119045</v>
      </c>
      <c r="S157" s="236">
        <f ca="1" t="shared" si="67"/>
        <v>3.97389262721291e+19</v>
      </c>
      <c r="T157" s="236">
        <f ca="1">INDEX(Photobiology!$21:$421,1+$H157-380,T$14)</f>
        <v>0.00876964422487676</v>
      </c>
      <c r="U157" s="236">
        <f ca="1">INDEX(Photobiology!$21:$421,1+$H157-380,U$14)</f>
        <v>0.913537886993243</v>
      </c>
      <c r="V157" s="236">
        <f ca="1">INDEX(Photobiology!$21:$421,1+$H157-380,V$14)</f>
        <v>0.689671623390561</v>
      </c>
      <c r="W157" s="236">
        <f ca="1">INDEX(Photobiology!$21:$421,1+$H157-380,W$14)</f>
        <v>0.978779828911823</v>
      </c>
      <c r="X157" s="236">
        <f ca="1">INDEX(Photobiology!$21:$421,1+$H157-380,X$14)</f>
        <v>0.728066853653484</v>
      </c>
      <c r="Y157" s="236">
        <f ca="1" t="shared" si="54"/>
        <v>15.2940171830991</v>
      </c>
      <c r="Z157" s="236">
        <f ca="1" t="shared" si="68"/>
        <v>0.157289804917964</v>
      </c>
      <c r="AA157" s="236">
        <f ca="1" t="shared" si="55"/>
        <v>13.2761629360634</v>
      </c>
      <c r="AB157" s="236">
        <f ca="1" t="shared" si="56"/>
        <v>9.56071943588697</v>
      </c>
      <c r="AC157" s="236">
        <f ca="1" t="shared" si="57"/>
        <v>15.1534867577652</v>
      </c>
      <c r="AD157" s="236">
        <f ca="1" t="shared" si="58"/>
        <v>11.7552419893932</v>
      </c>
      <c r="AE157" s="236"/>
      <c r="AF157" s="236"/>
      <c r="AG157" s="236"/>
      <c r="AH157" s="236">
        <f t="shared" si="69"/>
        <v>516</v>
      </c>
      <c r="AI157" s="236">
        <f>IF($AH157&gt;$AH156,INDEX(Spectra!157:157,1,MATCH($AI$20,Spectra!$20:$20,0)),AI156)</f>
        <v>1</v>
      </c>
      <c r="AJ157" s="236">
        <f>((Physics!$C$9*Physics!$C$10)/(Physics!$C$11*Physics!$C$12*$AH157))^($AJ$17-$AJ$18)</f>
        <v>2.59833147801372e+18</v>
      </c>
      <c r="AK157" s="236">
        <f t="shared" si="70"/>
        <v>1</v>
      </c>
      <c r="AL157" s="236">
        <f ca="1">INDEX(Photobiology!$21:$421,1+$AH157-380,10)</f>
        <v>0.6293456</v>
      </c>
      <c r="AM157" s="236">
        <f ca="1" t="shared" si="71"/>
        <v>13.3319879209511</v>
      </c>
      <c r="AN157" s="236">
        <f ca="1">INDEX(Photobiology!$21:$421,1+$AH157-380,AN$14)</f>
        <v>0.0102844009546282</v>
      </c>
      <c r="AO157" s="236">
        <f ca="1">INDEX(Photobiology!$21:$421,1+$AH157-380,AO$14)</f>
        <v>0.868062509484719</v>
      </c>
      <c r="AP157" s="236">
        <f ca="1">INDEX(Photobiology!$21:$421,1+$AH157-380,AP$14)</f>
        <v>0.625128069455303</v>
      </c>
      <c r="AQ157" s="236">
        <f ca="1">INDEX(Photobiology!$21:$421,1+$AH157-380,AQ$14)</f>
        <v>0.99081141183173</v>
      </c>
      <c r="AR157" s="236">
        <f ca="1">INDEX(Photobiology!$21:$421,1+$AH157-380,AR$14)</f>
        <v>0.768617025119045</v>
      </c>
      <c r="AS157" s="236">
        <f ca="1" t="shared" si="72"/>
        <v>3.4640923879506e+19</v>
      </c>
      <c r="AT157" s="236">
        <f ca="1">INDEX(Photobiology!$21:$421,1+$AH157-380,AT$14)</f>
        <v>0.00876964422487676</v>
      </c>
      <c r="AU157" s="236">
        <f ca="1">INDEX(Photobiology!$21:$421,1+$AH157-380,AU$14)</f>
        <v>0.913537886993243</v>
      </c>
      <c r="AV157" s="236">
        <f ca="1">INDEX(Photobiology!$21:$421,1+$AH157-380,AV$14)</f>
        <v>0.689671623390561</v>
      </c>
      <c r="AW157" s="236">
        <f ca="1">INDEX(Photobiology!$21:$421,1+$AH157-380,AW$14)</f>
        <v>0.978779828911823</v>
      </c>
      <c r="AX157" s="236">
        <f ca="1">INDEX(Photobiology!$21:$421,1+$AH157-380,AX$14)</f>
        <v>0.728066853653484</v>
      </c>
      <c r="AY157" s="236">
        <f ca="1" t="shared" si="59"/>
        <v>13.3319879209511</v>
      </c>
      <c r="AZ157" s="236">
        <f ca="1" t="shared" si="73"/>
        <v>0.137111509301322</v>
      </c>
      <c r="BA157" s="236">
        <f ca="1" t="shared" si="60"/>
        <v>11.5729988910808</v>
      </c>
      <c r="BB157" s="236">
        <f ca="1" t="shared" si="61"/>
        <v>8.33419987102561</v>
      </c>
      <c r="BC157" s="236">
        <f ca="1" t="shared" si="62"/>
        <v>13.2094857744812</v>
      </c>
      <c r="BD157" s="236">
        <f ca="1" t="shared" si="63"/>
        <v>10.2471928947245</v>
      </c>
    </row>
    <row r="158" s="234" customFormat="1" ht="0.2" customHeight="1" spans="7:56">
      <c r="G158" s="236"/>
      <c r="H158" s="236">
        <f t="shared" si="64"/>
        <v>517</v>
      </c>
      <c r="I158" s="236">
        <f>IF($H158&gt;$H157,INDEX(Spectra!158:158,1,MATCH($I$20,Spectra!$20:$20,0)),I157)</f>
        <v>15.7339328128988</v>
      </c>
      <c r="J158" s="236">
        <f>((Physics!$C$9*Physics!$C$10)/(Physics!$C$11*Physics!$C$12*$H158))^($J$17-$J$18)</f>
        <v>2.6033670041339e+18</v>
      </c>
      <c r="K158" s="236">
        <f t="shared" si="65"/>
        <v>1</v>
      </c>
      <c r="L158" s="236">
        <f ca="1">INDEX(Photobiology!$21:$421,1+$H158-380,10)</f>
        <v>0.6503068</v>
      </c>
      <c r="M158" s="236">
        <f ca="1" t="shared" si="66"/>
        <v>15.7339328128988</v>
      </c>
      <c r="N158" s="236">
        <f ca="1">INDEX(Photobiology!$21:$421,1+$H158-380,N$14)</f>
        <v>0.00930944949135346</v>
      </c>
      <c r="O158" s="236">
        <f ca="1">INDEX(Photobiology!$21:$421,1+$H158-380,O$14)</f>
        <v>0.876068368714369</v>
      </c>
      <c r="P158" s="236">
        <f ca="1">INDEX(Photobiology!$21:$421,1+$H158-380,P$14)</f>
        <v>0.635254865422014</v>
      </c>
      <c r="Q158" s="236">
        <f ca="1">INDEX(Photobiology!$21:$421,1+$H158-380,Q$14)</f>
        <v>0.987563431360754</v>
      </c>
      <c r="R158" s="236">
        <f ca="1">INDEX(Photobiology!$21:$421,1+$H158-380,R$14)</f>
        <v>0.751716356314868</v>
      </c>
      <c r="S158" s="236">
        <f ca="1" t="shared" si="67"/>
        <v>4.09612015303604e+19</v>
      </c>
      <c r="T158" s="236">
        <f ca="1">INDEX(Photobiology!$21:$421,1+$H158-380,T$14)</f>
        <v>0.00792293573732209</v>
      </c>
      <c r="U158" s="236">
        <f ca="1">INDEX(Photobiology!$21:$421,1+$H158-380,U$14)</f>
        <v>0.920179856597644</v>
      </c>
      <c r="V158" s="236">
        <f ca="1">INDEX(Photobiology!$21:$421,1+$H158-380,V$14)</f>
        <v>0.699488398478152</v>
      </c>
      <c r="W158" s="236">
        <f ca="1">INDEX(Photobiology!$21:$421,1+$H158-380,W$14)</f>
        <v>0.973684304106548</v>
      </c>
      <c r="X158" s="236">
        <f ca="1">INDEX(Photobiology!$21:$421,1+$H158-380,X$14)</f>
        <v>0.710680530927528</v>
      </c>
      <c r="Y158" s="236">
        <f ca="1" t="shared" si="54"/>
        <v>15.7339328128988</v>
      </c>
      <c r="Z158" s="236">
        <f ca="1" t="shared" si="68"/>
        <v>0.14647425282203</v>
      </c>
      <c r="AA158" s="236">
        <f ca="1" t="shared" si="55"/>
        <v>13.7840008528577</v>
      </c>
      <c r="AB158" s="236">
        <f ca="1" t="shared" si="56"/>
        <v>9.99505737161704</v>
      </c>
      <c r="AC158" s="236">
        <f ca="1" t="shared" si="57"/>
        <v>15.5382566775059</v>
      </c>
      <c r="AD158" s="236">
        <f ca="1" t="shared" si="58"/>
        <v>11.8274546446152</v>
      </c>
      <c r="AE158" s="236"/>
      <c r="AF158" s="236"/>
      <c r="AG158" s="236"/>
      <c r="AH158" s="236">
        <f t="shared" si="69"/>
        <v>517</v>
      </c>
      <c r="AI158" s="236">
        <f>IF($AH158&gt;$AH157,INDEX(Spectra!158:158,1,MATCH($AI$20,Spectra!$20:$20,0)),AI157)</f>
        <v>1</v>
      </c>
      <c r="AJ158" s="236">
        <f>((Physics!$C$9*Physics!$C$10)/(Physics!$C$11*Physics!$C$12*$AH158))^($AJ$17-$AJ$18)</f>
        <v>2.6033670041339e+18</v>
      </c>
      <c r="AK158" s="236">
        <f t="shared" si="70"/>
        <v>1</v>
      </c>
      <c r="AL158" s="236">
        <f ca="1">INDEX(Photobiology!$21:$421,1+$AH158-380,10)</f>
        <v>0.6503068</v>
      </c>
      <c r="AM158" s="236">
        <f ca="1" t="shared" si="71"/>
        <v>13.3319879209511</v>
      </c>
      <c r="AN158" s="236">
        <f ca="1">INDEX(Photobiology!$21:$421,1+$AH158-380,AN$14)</f>
        <v>0.00930944949135346</v>
      </c>
      <c r="AO158" s="236">
        <f ca="1">INDEX(Photobiology!$21:$421,1+$AH158-380,AO$14)</f>
        <v>0.876068368714369</v>
      </c>
      <c r="AP158" s="236">
        <f ca="1">INDEX(Photobiology!$21:$421,1+$AH158-380,AP$14)</f>
        <v>0.635254865422014</v>
      </c>
      <c r="AQ158" s="236">
        <f ca="1">INDEX(Photobiology!$21:$421,1+$AH158-380,AQ$14)</f>
        <v>0.987563431360754</v>
      </c>
      <c r="AR158" s="236">
        <f ca="1">INDEX(Photobiology!$21:$421,1+$AH158-380,AR$14)</f>
        <v>0.751716356314868</v>
      </c>
      <c r="AS158" s="236">
        <f ca="1" t="shared" si="72"/>
        <v>3.47080574529159e+19</v>
      </c>
      <c r="AT158" s="236">
        <f ca="1">INDEX(Photobiology!$21:$421,1+$AH158-380,AT$14)</f>
        <v>0.00792293573732209</v>
      </c>
      <c r="AU158" s="236">
        <f ca="1">INDEX(Photobiology!$21:$421,1+$AH158-380,AU$14)</f>
        <v>0.920179856597644</v>
      </c>
      <c r="AV158" s="236">
        <f ca="1">INDEX(Photobiology!$21:$421,1+$AH158-380,AV$14)</f>
        <v>0.699488398478152</v>
      </c>
      <c r="AW158" s="236">
        <f ca="1">INDEX(Photobiology!$21:$421,1+$AH158-380,AW$14)</f>
        <v>0.973684304106548</v>
      </c>
      <c r="AX158" s="236">
        <f ca="1">INDEX(Photobiology!$21:$421,1+$AH158-380,AX$14)</f>
        <v>0.710680530927528</v>
      </c>
      <c r="AY158" s="236">
        <f ca="1" t="shared" si="59"/>
        <v>13.3319879209511</v>
      </c>
      <c r="AZ158" s="236">
        <f ca="1" t="shared" si="73"/>
        <v>0.124113468169429</v>
      </c>
      <c r="BA158" s="236">
        <f ca="1" t="shared" si="60"/>
        <v>11.6797329096273</v>
      </c>
      <c r="BB158" s="236">
        <f ca="1" t="shared" si="61"/>
        <v>8.46921019253173</v>
      </c>
      <c r="BC158" s="236">
        <f ca="1" t="shared" si="62"/>
        <v>13.1661837380746</v>
      </c>
      <c r="BD158" s="236">
        <f ca="1" t="shared" si="63"/>
        <v>10.0218733823712</v>
      </c>
    </row>
    <row r="159" s="234" customFormat="1" ht="0.2" customHeight="1" spans="7:56">
      <c r="G159" s="236"/>
      <c r="H159" s="236">
        <f t="shared" si="64"/>
        <v>518</v>
      </c>
      <c r="I159" s="236">
        <f>IF($H159&gt;$H158,INDEX(Spectra!159:159,1,MATCH($I$20,Spectra!$20:$20,0)),I158)</f>
        <v>16.0881197045686</v>
      </c>
      <c r="J159" s="236">
        <f>((Physics!$C$9*Physics!$C$10)/(Physics!$C$11*Physics!$C$12*$H159))^($J$17-$J$18)</f>
        <v>2.60840253025408e+18</v>
      </c>
      <c r="K159" s="236">
        <f t="shared" si="65"/>
        <v>1</v>
      </c>
      <c r="L159" s="236">
        <f ca="1">INDEX(Photobiology!$21:$421,1+$H159-380,10)</f>
        <v>0.6708752</v>
      </c>
      <c r="M159" s="236">
        <f ca="1" t="shared" si="66"/>
        <v>16.0881197045686</v>
      </c>
      <c r="N159" s="236">
        <f ca="1">INDEX(Photobiology!$21:$421,1+$H159-380,N$14)</f>
        <v>0.00842783452630729</v>
      </c>
      <c r="O159" s="236">
        <f ca="1">INDEX(Photobiology!$21:$421,1+$H159-380,O$14)</f>
        <v>0.883903797999372</v>
      </c>
      <c r="P159" s="236">
        <f ca="1">INDEX(Photobiology!$21:$421,1+$H159-380,P$14)</f>
        <v>0.645355476739794</v>
      </c>
      <c r="Q159" s="236">
        <f ca="1">INDEX(Photobiology!$21:$421,1+$H159-380,Q$14)</f>
        <v>0.983804942354522</v>
      </c>
      <c r="R159" s="236">
        <f ca="1">INDEX(Photobiology!$21:$421,1+$H159-380,R$14)</f>
        <v>0.734562916934531</v>
      </c>
      <c r="S159" s="236">
        <f ca="1" t="shared" si="67"/>
        <v>4.19642921444273e+19</v>
      </c>
      <c r="T159" s="236">
        <f ca="1">INDEX(Photobiology!$21:$421,1+$H159-380,T$14)</f>
        <v>0.0071587783621143</v>
      </c>
      <c r="U159" s="236">
        <f ca="1">INDEX(Photobiology!$21:$421,1+$H159-380,U$14)</f>
        <v>0.926617515739989</v>
      </c>
      <c r="V159" s="236">
        <f ca="1">INDEX(Photobiology!$21:$421,1+$H159-380,V$14)</f>
        <v>0.709238494321155</v>
      </c>
      <c r="W159" s="236">
        <f ca="1">INDEX(Photobiology!$21:$421,1+$H159-380,W$14)</f>
        <v>0.968106090934857</v>
      </c>
      <c r="X159" s="236">
        <f ca="1">INDEX(Photobiology!$21:$421,1+$H159-380,X$14)</f>
        <v>0.693122826241573</v>
      </c>
      <c r="Y159" s="236">
        <f ca="1" t="shared" si="54"/>
        <v>16.0881197045686</v>
      </c>
      <c r="Z159" s="236">
        <f ca="1" t="shared" si="68"/>
        <v>0.135588010709528</v>
      </c>
      <c r="AA159" s="236">
        <f ca="1" t="shared" si="55"/>
        <v>14.2203501095367</v>
      </c>
      <c r="AB159" s="236">
        <f ca="1" t="shared" si="56"/>
        <v>10.3825561617887</v>
      </c>
      <c r="AC159" s="236">
        <f ca="1" t="shared" si="57"/>
        <v>15.8275716785458</v>
      </c>
      <c r="AD159" s="236">
        <f ca="1" t="shared" si="58"/>
        <v>11.8177361381798</v>
      </c>
      <c r="AE159" s="236"/>
      <c r="AF159" s="236"/>
      <c r="AG159" s="236"/>
      <c r="AH159" s="236">
        <f t="shared" si="69"/>
        <v>518</v>
      </c>
      <c r="AI159" s="236">
        <f>IF($AH159&gt;$AH158,INDEX(Spectra!159:159,1,MATCH($AI$20,Spectra!$20:$20,0)),AI158)</f>
        <v>1</v>
      </c>
      <c r="AJ159" s="236">
        <f>((Physics!$C$9*Physics!$C$10)/(Physics!$C$11*Physics!$C$12*$AH159))^($AJ$17-$AJ$18)</f>
        <v>2.60840253025408e+18</v>
      </c>
      <c r="AK159" s="236">
        <f t="shared" si="70"/>
        <v>1</v>
      </c>
      <c r="AL159" s="236">
        <f ca="1">INDEX(Photobiology!$21:$421,1+$AH159-380,10)</f>
        <v>0.6708752</v>
      </c>
      <c r="AM159" s="236">
        <f ca="1" t="shared" si="71"/>
        <v>13.3319879209511</v>
      </c>
      <c r="AN159" s="236">
        <f ca="1">INDEX(Photobiology!$21:$421,1+$AH159-380,AN$14)</f>
        <v>0.00842783452630729</v>
      </c>
      <c r="AO159" s="236">
        <f ca="1">INDEX(Photobiology!$21:$421,1+$AH159-380,AO$14)</f>
        <v>0.883903797999372</v>
      </c>
      <c r="AP159" s="236">
        <f ca="1">INDEX(Photobiology!$21:$421,1+$AH159-380,AP$14)</f>
        <v>0.645355476739794</v>
      </c>
      <c r="AQ159" s="236">
        <f ca="1">INDEX(Photobiology!$21:$421,1+$AH159-380,AQ$14)</f>
        <v>0.983804942354522</v>
      </c>
      <c r="AR159" s="236">
        <f ca="1">INDEX(Photobiology!$21:$421,1+$AH159-380,AR$14)</f>
        <v>0.734562916934531</v>
      </c>
      <c r="AS159" s="236">
        <f ca="1" t="shared" si="72"/>
        <v>3.47751910263258e+19</v>
      </c>
      <c r="AT159" s="236">
        <f ca="1">INDEX(Photobiology!$21:$421,1+$AH159-380,AT$14)</f>
        <v>0.0071587783621143</v>
      </c>
      <c r="AU159" s="236">
        <f ca="1">INDEX(Photobiology!$21:$421,1+$AH159-380,AU$14)</f>
        <v>0.926617515739989</v>
      </c>
      <c r="AV159" s="236">
        <f ca="1">INDEX(Photobiology!$21:$421,1+$AH159-380,AV$14)</f>
        <v>0.709238494321155</v>
      </c>
      <c r="AW159" s="236">
        <f ca="1">INDEX(Photobiology!$21:$421,1+$AH159-380,AW$14)</f>
        <v>0.968106090934857</v>
      </c>
      <c r="AX159" s="236">
        <f ca="1">INDEX(Photobiology!$21:$421,1+$AH159-380,AX$14)</f>
        <v>0.693122826241573</v>
      </c>
      <c r="AY159" s="236">
        <f ca="1" t="shared" si="59"/>
        <v>13.3319879209511</v>
      </c>
      <c r="AZ159" s="236">
        <f ca="1" t="shared" si="73"/>
        <v>0.112359788104504</v>
      </c>
      <c r="BA159" s="236">
        <f ca="1" t="shared" si="60"/>
        <v>11.7841947582105</v>
      </c>
      <c r="BB159" s="236">
        <f ca="1" t="shared" si="61"/>
        <v>8.6038714206146</v>
      </c>
      <c r="BC159" s="236">
        <f ca="1" t="shared" si="62"/>
        <v>13.1160756080425</v>
      </c>
      <c r="BD159" s="236">
        <f ca="1" t="shared" si="63"/>
        <v>9.7931839357498</v>
      </c>
    </row>
    <row r="160" s="234" customFormat="1" ht="0.2" customHeight="1" spans="7:56">
      <c r="G160" s="236"/>
      <c r="H160" s="236">
        <f t="shared" si="64"/>
        <v>519</v>
      </c>
      <c r="I160" s="236">
        <f>IF($H160&gt;$H159,INDEX(Spectra!160:160,1,MATCH($I$20,Spectra!$20:$20,0)),I159)</f>
        <v>16.3773847649142</v>
      </c>
      <c r="J160" s="236">
        <f>((Physics!$C$9*Physics!$C$10)/(Physics!$C$11*Physics!$C$12*$H160))^($J$17-$J$18)</f>
        <v>2.61343805637426e+18</v>
      </c>
      <c r="K160" s="236">
        <f t="shared" si="65"/>
        <v>1</v>
      </c>
      <c r="L160" s="236">
        <f ca="1">INDEX(Photobiology!$21:$421,1+$H160-380,10)</f>
        <v>0.6908424</v>
      </c>
      <c r="M160" s="236">
        <f ca="1" t="shared" si="66"/>
        <v>16.3773847649142</v>
      </c>
      <c r="N160" s="236">
        <f ca="1">INDEX(Photobiology!$21:$421,1+$H160-380,N$14)</f>
        <v>0.00763071089962946</v>
      </c>
      <c r="O160" s="236">
        <f ca="1">INDEX(Photobiology!$21:$421,1+$H160-380,O$14)</f>
        <v>0.891564977159781</v>
      </c>
      <c r="P160" s="236">
        <f ca="1">INDEX(Photobiology!$21:$421,1+$H160-380,P$14)</f>
        <v>0.655423486696246</v>
      </c>
      <c r="Q160" s="236">
        <f ca="1">INDEX(Photobiology!$21:$421,1+$H160-380,Q$14)</f>
        <v>0.979530582712706</v>
      </c>
      <c r="R160" s="236">
        <f ca="1">INDEX(Photobiology!$21:$421,1+$H160-380,R$14)</f>
        <v>0.717189627724905</v>
      </c>
      <c r="S160" s="236">
        <f ca="1" t="shared" si="67"/>
        <v>4.28012806085108e+19</v>
      </c>
      <c r="T160" s="236">
        <f ca="1">INDEX(Photobiology!$21:$421,1+$H160-380,T$14)</f>
        <v>0.00646919613841419</v>
      </c>
      <c r="U160" s="236">
        <f ca="1">INDEX(Photobiology!$21:$421,1+$H160-380,U$14)</f>
        <v>0.93284804833585</v>
      </c>
      <c r="V160" s="236">
        <f ca="1">INDEX(Photobiology!$21:$421,1+$H160-380,V$14)</f>
        <v>0.71891525804061</v>
      </c>
      <c r="W160" s="236">
        <f ca="1">INDEX(Photobiology!$21:$421,1+$H160-380,W$14)</f>
        <v>0.962042713133861</v>
      </c>
      <c r="X160" s="236">
        <f ca="1">INDEX(Photobiology!$21:$421,1+$H160-380,X$14)</f>
        <v>0.675425733925437</v>
      </c>
      <c r="Y160" s="236">
        <f ca="1" t="shared" si="54"/>
        <v>16.3773847649142</v>
      </c>
      <c r="Z160" s="236">
        <f ca="1" t="shared" si="68"/>
        <v>0.124971088433056</v>
      </c>
      <c r="AA160" s="236">
        <f ca="1" t="shared" si="55"/>
        <v>14.6015026738677</v>
      </c>
      <c r="AB160" s="236">
        <f ca="1" t="shared" si="56"/>
        <v>10.734122625586</v>
      </c>
      <c r="AC160" s="236">
        <f ca="1" t="shared" si="57"/>
        <v>16.0421492420866</v>
      </c>
      <c r="AD160" s="236">
        <f ca="1" t="shared" si="58"/>
        <v>11.7456904826563</v>
      </c>
      <c r="AE160" s="236"/>
      <c r="AF160" s="236"/>
      <c r="AG160" s="236"/>
      <c r="AH160" s="236">
        <f t="shared" si="69"/>
        <v>519</v>
      </c>
      <c r="AI160" s="236">
        <f>IF($AH160&gt;$AH159,INDEX(Spectra!160:160,1,MATCH($AI$20,Spectra!$20:$20,0)),AI159)</f>
        <v>1</v>
      </c>
      <c r="AJ160" s="236">
        <f>((Physics!$C$9*Physics!$C$10)/(Physics!$C$11*Physics!$C$12*$AH160))^($AJ$17-$AJ$18)</f>
        <v>2.61343805637426e+18</v>
      </c>
      <c r="AK160" s="236">
        <f t="shared" si="70"/>
        <v>1</v>
      </c>
      <c r="AL160" s="236">
        <f ca="1">INDEX(Photobiology!$21:$421,1+$AH160-380,10)</f>
        <v>0.6908424</v>
      </c>
      <c r="AM160" s="236">
        <f ca="1" t="shared" si="71"/>
        <v>13.3319879209511</v>
      </c>
      <c r="AN160" s="236">
        <f ca="1">INDEX(Photobiology!$21:$421,1+$AH160-380,AN$14)</f>
        <v>0.00763071089962946</v>
      </c>
      <c r="AO160" s="236">
        <f ca="1">INDEX(Photobiology!$21:$421,1+$AH160-380,AO$14)</f>
        <v>0.891564977159781</v>
      </c>
      <c r="AP160" s="236">
        <f ca="1">INDEX(Photobiology!$21:$421,1+$AH160-380,AP$14)</f>
        <v>0.655423486696246</v>
      </c>
      <c r="AQ160" s="236">
        <f ca="1">INDEX(Photobiology!$21:$421,1+$AH160-380,AQ$14)</f>
        <v>0.979530582712706</v>
      </c>
      <c r="AR160" s="236">
        <f ca="1">INDEX(Photobiology!$21:$421,1+$AH160-380,AR$14)</f>
        <v>0.717189627724905</v>
      </c>
      <c r="AS160" s="236">
        <f ca="1" t="shared" si="72"/>
        <v>3.48423245997357e+19</v>
      </c>
      <c r="AT160" s="236">
        <f ca="1">INDEX(Photobiology!$21:$421,1+$AH160-380,AT$14)</f>
        <v>0.00646919613841419</v>
      </c>
      <c r="AU160" s="236">
        <f ca="1">INDEX(Photobiology!$21:$421,1+$AH160-380,AU$14)</f>
        <v>0.93284804833585</v>
      </c>
      <c r="AV160" s="236">
        <f ca="1">INDEX(Photobiology!$21:$421,1+$AH160-380,AV$14)</f>
        <v>0.71891525804061</v>
      </c>
      <c r="AW160" s="236">
        <f ca="1">INDEX(Photobiology!$21:$421,1+$AH160-380,AW$14)</f>
        <v>0.962042713133861</v>
      </c>
      <c r="AX160" s="236">
        <f ca="1">INDEX(Photobiology!$21:$421,1+$AH160-380,AX$14)</f>
        <v>0.675425733925437</v>
      </c>
      <c r="AY160" s="236">
        <f ca="1" t="shared" si="59"/>
        <v>13.3319879209511</v>
      </c>
      <c r="AZ160" s="236">
        <f ca="1" t="shared" si="73"/>
        <v>0.10173254554213</v>
      </c>
      <c r="BA160" s="236">
        <f ca="1" t="shared" si="60"/>
        <v>11.8863335062373</v>
      </c>
      <c r="BB160" s="236">
        <f ca="1" t="shared" si="61"/>
        <v>8.73809800774203</v>
      </c>
      <c r="BC160" s="236">
        <f ca="1" t="shared" si="62"/>
        <v>13.059089896928</v>
      </c>
      <c r="BD160" s="236">
        <f ca="1" t="shared" si="63"/>
        <v>9.56156345385988</v>
      </c>
    </row>
    <row r="161" s="234" customFormat="1" ht="0.2" customHeight="1" spans="7:56">
      <c r="G161" s="236"/>
      <c r="H161" s="236">
        <f t="shared" si="64"/>
        <v>520</v>
      </c>
      <c r="I161" s="236">
        <f>IF($H161&gt;$H160,INDEX(Spectra!161:161,1,MATCH($I$20,Spectra!$20:$20,0)),I160)</f>
        <v>16.6629861508874</v>
      </c>
      <c r="J161" s="236">
        <f>((Physics!$C$9*Physics!$C$10)/(Physics!$C$11*Physics!$C$12*$H161))^($J$17-$J$18)</f>
        <v>2.61847358249444e+18</v>
      </c>
      <c r="K161" s="236">
        <f t="shared" si="65"/>
        <v>1</v>
      </c>
      <c r="L161" s="236">
        <f ca="1">INDEX(Photobiology!$21:$421,1+$H161-380,10)</f>
        <v>0.71</v>
      </c>
      <c r="M161" s="236">
        <f ca="1" t="shared" si="66"/>
        <v>16.6629861508874</v>
      </c>
      <c r="N161" s="236">
        <f ca="1">INDEX(Photobiology!$21:$421,1+$H161-380,N$14)</f>
        <v>0.00690996742458642</v>
      </c>
      <c r="O161" s="236">
        <f ca="1">INDEX(Photobiology!$21:$421,1+$H161-380,O$14)</f>
        <v>0.899042039582496</v>
      </c>
      <c r="P161" s="236">
        <f ca="1">INDEX(Photobiology!$21:$421,1+$H161-380,P$14)</f>
        <v>0.665453938830569</v>
      </c>
      <c r="Q161" s="236">
        <f ca="1">INDEX(Photobiology!$21:$421,1+$H161-380,Q$14)</f>
        <v>0.97473149728669</v>
      </c>
      <c r="R161" s="236">
        <f ca="1">INDEX(Photobiology!$21:$421,1+$H161-380,R$14)</f>
        <v>0.699627706531951</v>
      </c>
      <c r="S161" s="236">
        <f ca="1" t="shared" si="67"/>
        <v>4.36315890415694e+19</v>
      </c>
      <c r="T161" s="236">
        <f ca="1">INDEX(Photobiology!$21:$421,1+$H161-380,T$14)</f>
        <v>0.00584689551311159</v>
      </c>
      <c r="U161" s="236">
        <f ca="1">INDEX(Photobiology!$21:$421,1+$H161-380,U$14)</f>
        <v>0.938862345721645</v>
      </c>
      <c r="V161" s="236">
        <f ca="1">INDEX(Photobiology!$21:$421,1+$H161-380,V$14)</f>
        <v>0.728513686561507</v>
      </c>
      <c r="W161" s="236">
        <f ca="1">INDEX(Photobiology!$21:$421,1+$H161-380,W$14)</f>
        <v>0.955488289400528</v>
      </c>
      <c r="X161" s="236">
        <f ca="1">INDEX(Photobiology!$21:$421,1+$H161-380,X$14)</f>
        <v>0.657619401546433</v>
      </c>
      <c r="Y161" s="236">
        <f ca="1" t="shared" si="54"/>
        <v>16.6629861508874</v>
      </c>
      <c r="Z161" s="236">
        <f ca="1" t="shared" si="68"/>
        <v>0.115140691498967</v>
      </c>
      <c r="AA161" s="236">
        <f ca="1" t="shared" si="55"/>
        <v>14.9807250546287</v>
      </c>
      <c r="AB161" s="236">
        <f ca="1" t="shared" si="56"/>
        <v>11.0884497667872</v>
      </c>
      <c r="AC161" s="236">
        <f ca="1" t="shared" si="57"/>
        <v>16.2419374401219</v>
      </c>
      <c r="AD161" s="236">
        <f ca="1" t="shared" si="58"/>
        <v>11.657886784719</v>
      </c>
      <c r="AE161" s="236"/>
      <c r="AF161" s="236"/>
      <c r="AG161" s="236"/>
      <c r="AH161" s="236">
        <f t="shared" si="69"/>
        <v>520</v>
      </c>
      <c r="AI161" s="236">
        <f>IF($AH161&gt;$AH160,INDEX(Spectra!161:161,1,MATCH($AI$20,Spectra!$20:$20,0)),AI160)</f>
        <v>1</v>
      </c>
      <c r="AJ161" s="236">
        <f>((Physics!$C$9*Physics!$C$10)/(Physics!$C$11*Physics!$C$12*$AH161))^($AJ$17-$AJ$18)</f>
        <v>2.61847358249444e+18</v>
      </c>
      <c r="AK161" s="236">
        <f t="shared" si="70"/>
        <v>1</v>
      </c>
      <c r="AL161" s="236">
        <f ca="1">INDEX(Photobiology!$21:$421,1+$AH161-380,10)</f>
        <v>0.71</v>
      </c>
      <c r="AM161" s="236">
        <f ca="1" t="shared" si="71"/>
        <v>13.3319879209511</v>
      </c>
      <c r="AN161" s="236">
        <f ca="1">INDEX(Photobiology!$21:$421,1+$AH161-380,AN$14)</f>
        <v>0.00690996742458642</v>
      </c>
      <c r="AO161" s="236">
        <f ca="1">INDEX(Photobiology!$21:$421,1+$AH161-380,AO$14)</f>
        <v>0.899042039582496</v>
      </c>
      <c r="AP161" s="236">
        <f ca="1">INDEX(Photobiology!$21:$421,1+$AH161-380,AP$14)</f>
        <v>0.665453938830569</v>
      </c>
      <c r="AQ161" s="236">
        <f ca="1">INDEX(Photobiology!$21:$421,1+$AH161-380,AQ$14)</f>
        <v>0.97473149728669</v>
      </c>
      <c r="AR161" s="236">
        <f ca="1">INDEX(Photobiology!$21:$421,1+$AH161-380,AR$14)</f>
        <v>0.699627706531951</v>
      </c>
      <c r="AS161" s="236">
        <f ca="1" t="shared" si="72"/>
        <v>3.49094581731456e+19</v>
      </c>
      <c r="AT161" s="236">
        <f ca="1">INDEX(Photobiology!$21:$421,1+$AH161-380,AT$14)</f>
        <v>0.00584689551311159</v>
      </c>
      <c r="AU161" s="236">
        <f ca="1">INDEX(Photobiology!$21:$421,1+$AH161-380,AU$14)</f>
        <v>0.938862345721645</v>
      </c>
      <c r="AV161" s="236">
        <f ca="1">INDEX(Photobiology!$21:$421,1+$AH161-380,AV$14)</f>
        <v>0.728513686561507</v>
      </c>
      <c r="AW161" s="236">
        <f ca="1">INDEX(Photobiology!$21:$421,1+$AH161-380,AW$14)</f>
        <v>0.955488289400528</v>
      </c>
      <c r="AX161" s="236">
        <f ca="1">INDEX(Photobiology!$21:$421,1+$AH161-380,AX$14)</f>
        <v>0.657619401546433</v>
      </c>
      <c r="AY161" s="236">
        <f ca="1" t="shared" si="59"/>
        <v>13.3319879209511</v>
      </c>
      <c r="AZ161" s="236">
        <f ca="1" t="shared" si="73"/>
        <v>0.092123602238752</v>
      </c>
      <c r="BA161" s="236">
        <f ca="1" t="shared" si="60"/>
        <v>11.9860176121411</v>
      </c>
      <c r="BB161" s="236">
        <f ca="1" t="shared" si="61"/>
        <v>8.87182387443851</v>
      </c>
      <c r="BC161" s="236">
        <f ca="1" t="shared" si="62"/>
        <v>12.9951085479968</v>
      </c>
      <c r="BD161" s="236">
        <f ca="1" t="shared" si="63"/>
        <v>9.32742813264672</v>
      </c>
    </row>
    <row r="162" s="234" customFormat="1" ht="0.2" customHeight="1" spans="7:56">
      <c r="G162" s="236"/>
      <c r="H162" s="236">
        <f t="shared" si="64"/>
        <v>521</v>
      </c>
      <c r="I162" s="236">
        <f>IF($H162&gt;$H161,INDEX(Spectra!162:162,1,MATCH($I$20,Spectra!$20:$20,0)),I161)</f>
        <v>16.8198233407592</v>
      </c>
      <c r="J162" s="236">
        <f>((Physics!$C$9*Physics!$C$10)/(Physics!$C$11*Physics!$C$12*$H162))^($J$17-$J$18)</f>
        <v>2.62350910861463e+18</v>
      </c>
      <c r="K162" s="236">
        <f t="shared" si="65"/>
        <v>1</v>
      </c>
      <c r="L162" s="236">
        <f ca="1">INDEX(Photobiology!$21:$421,1+$H162-380,10)</f>
        <v>0.7281852</v>
      </c>
      <c r="M162" s="236">
        <f ca="1" t="shared" si="66"/>
        <v>16.8198233407592</v>
      </c>
      <c r="N162" s="236">
        <f ca="1">INDEX(Photobiology!$21:$421,1+$H162-380,N$14)</f>
        <v>0.00625685369615746</v>
      </c>
      <c r="O162" s="236">
        <f ca="1">INDEX(Photobiology!$21:$421,1+$H162-380,O$14)</f>
        <v>0.906122678306612</v>
      </c>
      <c r="P162" s="236">
        <f ca="1">INDEX(Photobiology!$21:$421,1+$H162-380,P$14)</f>
        <v>0.675286394884658</v>
      </c>
      <c r="Q162" s="236">
        <f ca="1">INDEX(Photobiology!$21:$421,1+$H162-380,Q$14)</f>
        <v>0.969185705249299</v>
      </c>
      <c r="R162" s="236">
        <f ca="1">INDEX(Photobiology!$21:$421,1+$H162-380,R$14)</f>
        <v>0.68175447922459</v>
      </c>
      <c r="S162" s="236">
        <f ca="1" t="shared" si="67"/>
        <v>4.41269597397707e+19</v>
      </c>
      <c r="T162" s="236">
        <f ca="1">INDEX(Photobiology!$21:$421,1+$H162-380,T$14)</f>
        <v>0.00528409909080477</v>
      </c>
      <c r="U162" s="236">
        <f ca="1">INDEX(Photobiology!$21:$421,1+$H162-380,U$14)</f>
        <v>0.944440368115896</v>
      </c>
      <c r="V162" s="236">
        <f ca="1">INDEX(Photobiology!$21:$421,1+$H162-380,V$14)</f>
        <v>0.737858926365751</v>
      </c>
      <c r="W162" s="236">
        <f ca="1">INDEX(Photobiology!$21:$421,1+$H162-380,W$14)</f>
        <v>0.948228466441709</v>
      </c>
      <c r="X162" s="236">
        <f ca="1">INDEX(Photobiology!$21:$421,1+$H162-380,X$14)</f>
        <v>0.639589371136891</v>
      </c>
      <c r="Y162" s="236">
        <f ca="1" t="shared" si="54"/>
        <v>16.8198233407592</v>
      </c>
      <c r="Z162" s="236">
        <f ca="1" t="shared" si="68"/>
        <v>0.105239173838345</v>
      </c>
      <c r="AA162" s="236">
        <f ca="1" t="shared" si="55"/>
        <v>15.2408233741728</v>
      </c>
      <c r="AB162" s="236">
        <f ca="1" t="shared" si="56"/>
        <v>11.3581978663781</v>
      </c>
      <c r="AC162" s="236">
        <f ca="1" t="shared" si="57"/>
        <v>16.3015323466823</v>
      </c>
      <c r="AD162" s="236">
        <f ca="1" t="shared" si="58"/>
        <v>11.4669899023289</v>
      </c>
      <c r="AE162" s="236"/>
      <c r="AF162" s="236"/>
      <c r="AG162" s="236"/>
      <c r="AH162" s="236">
        <f t="shared" si="69"/>
        <v>521</v>
      </c>
      <c r="AI162" s="236">
        <f>IF($AH162&gt;$AH161,INDEX(Spectra!162:162,1,MATCH($AI$20,Spectra!$20:$20,0)),AI161)</f>
        <v>1</v>
      </c>
      <c r="AJ162" s="236">
        <f>((Physics!$C$9*Physics!$C$10)/(Physics!$C$11*Physics!$C$12*$AH162))^($AJ$17-$AJ$18)</f>
        <v>2.62350910861463e+18</v>
      </c>
      <c r="AK162" s="236">
        <f t="shared" si="70"/>
        <v>1</v>
      </c>
      <c r="AL162" s="236">
        <f ca="1">INDEX(Photobiology!$21:$421,1+$AH162-380,10)</f>
        <v>0.7281852</v>
      </c>
      <c r="AM162" s="236">
        <f ca="1" t="shared" si="71"/>
        <v>13.3319879209511</v>
      </c>
      <c r="AN162" s="236">
        <f ca="1">INDEX(Photobiology!$21:$421,1+$AH162-380,AN$14)</f>
        <v>0.00625685369615746</v>
      </c>
      <c r="AO162" s="236">
        <f ca="1">INDEX(Photobiology!$21:$421,1+$AH162-380,AO$14)</f>
        <v>0.906122678306612</v>
      </c>
      <c r="AP162" s="236">
        <f ca="1">INDEX(Photobiology!$21:$421,1+$AH162-380,AP$14)</f>
        <v>0.675286394884658</v>
      </c>
      <c r="AQ162" s="236">
        <f ca="1">INDEX(Photobiology!$21:$421,1+$AH162-380,AQ$14)</f>
        <v>0.969185705249299</v>
      </c>
      <c r="AR162" s="236">
        <f ca="1">INDEX(Photobiology!$21:$421,1+$AH162-380,AR$14)</f>
        <v>0.68175447922459</v>
      </c>
      <c r="AS162" s="236">
        <f ca="1" t="shared" si="72"/>
        <v>3.49765917465555e+19</v>
      </c>
      <c r="AT162" s="236">
        <f ca="1">INDEX(Photobiology!$21:$421,1+$AH162-380,AT$14)</f>
        <v>0.00528409909080477</v>
      </c>
      <c r="AU162" s="236">
        <f ca="1">INDEX(Photobiology!$21:$421,1+$AH162-380,AU$14)</f>
        <v>0.944440368115896</v>
      </c>
      <c r="AV162" s="236">
        <f ca="1">INDEX(Photobiology!$21:$421,1+$AH162-380,AV$14)</f>
        <v>0.737858926365751</v>
      </c>
      <c r="AW162" s="236">
        <f ca="1">INDEX(Photobiology!$21:$421,1+$AH162-380,AW$14)</f>
        <v>0.948228466441709</v>
      </c>
      <c r="AX162" s="236">
        <f ca="1">INDEX(Photobiology!$21:$421,1+$AH162-380,AX$14)</f>
        <v>0.639589371136891</v>
      </c>
      <c r="AY162" s="236">
        <f ca="1" t="shared" si="59"/>
        <v>13.3319879209511</v>
      </c>
      <c r="AZ162" s="236">
        <f ca="1" t="shared" si="73"/>
        <v>0.0834162979003298</v>
      </c>
      <c r="BA162" s="236">
        <f ca="1" t="shared" si="60"/>
        <v>12.0804166020836</v>
      </c>
      <c r="BB162" s="236">
        <f ca="1" t="shared" si="61"/>
        <v>9.0029100597849</v>
      </c>
      <c r="BC162" s="236">
        <f ca="1" t="shared" si="62"/>
        <v>12.9211721155422</v>
      </c>
      <c r="BD162" s="236">
        <f ca="1" t="shared" si="63"/>
        <v>9.08914248207657</v>
      </c>
    </row>
    <row r="163" s="234" customFormat="1" ht="0.2" customHeight="1" spans="7:56">
      <c r="G163" s="236"/>
      <c r="H163" s="236">
        <f t="shared" si="64"/>
        <v>522</v>
      </c>
      <c r="I163" s="236">
        <f>IF($H163&gt;$H162,INDEX(Spectra!163:163,1,MATCH($I$20,Spectra!$20:$20,0)),I162)</f>
        <v>16.9075394311666</v>
      </c>
      <c r="J163" s="236">
        <f>((Physics!$C$9*Physics!$C$10)/(Physics!$C$11*Physics!$C$12*$H163))^($J$17-$J$18)</f>
        <v>2.62854463473481e+18</v>
      </c>
      <c r="K163" s="236">
        <f t="shared" si="65"/>
        <v>1</v>
      </c>
      <c r="L163" s="236">
        <f ca="1">INDEX(Photobiology!$21:$421,1+$H163-380,10)</f>
        <v>0.7454636</v>
      </c>
      <c r="M163" s="236">
        <f ca="1" t="shared" si="66"/>
        <v>16.9075394311666</v>
      </c>
      <c r="N163" s="236">
        <f ca="1">INDEX(Photobiology!$21:$421,1+$H163-380,N$14)</f>
        <v>0.00566647529959763</v>
      </c>
      <c r="O163" s="236">
        <f ca="1">INDEX(Photobiology!$21:$421,1+$H163-380,O$14)</f>
        <v>0.91300677448649</v>
      </c>
      <c r="P163" s="236">
        <f ca="1">INDEX(Photobiology!$21:$421,1+$H163-380,P$14)</f>
        <v>0.685070079371696</v>
      </c>
      <c r="Q163" s="236">
        <f ca="1">INDEX(Photobiology!$21:$421,1+$H163-380,Q$14)</f>
        <v>0.963114674411399</v>
      </c>
      <c r="R163" s="236">
        <f ca="1">INDEX(Photobiology!$21:$421,1+$H163-380,R$14)</f>
        <v>0.663767524050751</v>
      </c>
      <c r="S163" s="236">
        <f ca="1" t="shared" si="67"/>
        <v>4.44422220583602e+19</v>
      </c>
      <c r="T163" s="236">
        <f ca="1">INDEX(Photobiology!$21:$421,1+$H163-380,T$14)</f>
        <v>0.00477633933299417</v>
      </c>
      <c r="U163" s="236">
        <f ca="1">INDEX(Photobiology!$21:$421,1+$H163-380,U$14)</f>
        <v>0.949792557374202</v>
      </c>
      <c r="V163" s="236">
        <f ca="1">INDEX(Photobiology!$21:$421,1+$H163-380,V$14)</f>
        <v>0.747115171966971</v>
      </c>
      <c r="W163" s="236">
        <f ca="1">INDEX(Photobiology!$21:$421,1+$H163-380,W$14)</f>
        <v>0.940483562072122</v>
      </c>
      <c r="X163" s="236">
        <f ca="1">INDEX(Photobiology!$21:$421,1+$H163-380,X$14)</f>
        <v>0.621521931665774</v>
      </c>
      <c r="Y163" s="236">
        <f ca="1" t="shared" si="54"/>
        <v>16.9075394311666</v>
      </c>
      <c r="Z163" s="236">
        <f ca="1" t="shared" si="68"/>
        <v>0.0958061545636785</v>
      </c>
      <c r="AA163" s="236">
        <f ca="1" t="shared" si="55"/>
        <v>15.4366980405526</v>
      </c>
      <c r="AB163" s="236">
        <f ca="1" t="shared" si="56"/>
        <v>11.5828493800894</v>
      </c>
      <c r="AC163" s="236">
        <f ca="1" t="shared" si="57"/>
        <v>16.2838993343459</v>
      </c>
      <c r="AD163" s="236">
        <f ca="1" t="shared" si="58"/>
        <v>11.2226755860159</v>
      </c>
      <c r="AE163" s="236"/>
      <c r="AF163" s="236"/>
      <c r="AG163" s="236"/>
      <c r="AH163" s="236">
        <f t="shared" si="69"/>
        <v>522</v>
      </c>
      <c r="AI163" s="236">
        <f>IF($AH163&gt;$AH162,INDEX(Spectra!163:163,1,MATCH($AI$20,Spectra!$20:$20,0)),AI162)</f>
        <v>1</v>
      </c>
      <c r="AJ163" s="236">
        <f>((Physics!$C$9*Physics!$C$10)/(Physics!$C$11*Physics!$C$12*$AH163))^($AJ$17-$AJ$18)</f>
        <v>2.62854463473481e+18</v>
      </c>
      <c r="AK163" s="236">
        <f t="shared" si="70"/>
        <v>1</v>
      </c>
      <c r="AL163" s="236">
        <f ca="1">INDEX(Photobiology!$21:$421,1+$AH163-380,10)</f>
        <v>0.7454636</v>
      </c>
      <c r="AM163" s="236">
        <f ca="1" t="shared" si="71"/>
        <v>13.3319879209511</v>
      </c>
      <c r="AN163" s="236">
        <f ca="1">INDEX(Photobiology!$21:$421,1+$AH163-380,AN$14)</f>
        <v>0.00566647529959763</v>
      </c>
      <c r="AO163" s="236">
        <f ca="1">INDEX(Photobiology!$21:$421,1+$AH163-380,AO$14)</f>
        <v>0.91300677448649</v>
      </c>
      <c r="AP163" s="236">
        <f ca="1">INDEX(Photobiology!$21:$421,1+$AH163-380,AP$14)</f>
        <v>0.685070079371696</v>
      </c>
      <c r="AQ163" s="236">
        <f ca="1">INDEX(Photobiology!$21:$421,1+$AH163-380,AQ$14)</f>
        <v>0.963114674411399</v>
      </c>
      <c r="AR163" s="236">
        <f ca="1">INDEX(Photobiology!$21:$421,1+$AH163-380,AR$14)</f>
        <v>0.663767524050751</v>
      </c>
      <c r="AS163" s="236">
        <f ca="1" t="shared" si="72"/>
        <v>3.50437253199654e+19</v>
      </c>
      <c r="AT163" s="236">
        <f ca="1">INDEX(Photobiology!$21:$421,1+$AH163-380,AT$14)</f>
        <v>0.00477633933299417</v>
      </c>
      <c r="AU163" s="236">
        <f ca="1">INDEX(Photobiology!$21:$421,1+$AH163-380,AU$14)</f>
        <v>0.949792557374202</v>
      </c>
      <c r="AV163" s="236">
        <f ca="1">INDEX(Photobiology!$21:$421,1+$AH163-380,AV$14)</f>
        <v>0.747115171966971</v>
      </c>
      <c r="AW163" s="236">
        <f ca="1">INDEX(Photobiology!$21:$421,1+$AH163-380,AW$14)</f>
        <v>0.940483562072122</v>
      </c>
      <c r="AX163" s="236">
        <f ca="1">INDEX(Photobiology!$21:$421,1+$AH163-380,AX$14)</f>
        <v>0.621521931665774</v>
      </c>
      <c r="AY163" s="236">
        <f ca="1" t="shared" si="59"/>
        <v>13.3319879209511</v>
      </c>
      <c r="AZ163" s="236">
        <f ca="1" t="shared" si="73"/>
        <v>0.0755453802486036</v>
      </c>
      <c r="BA163" s="236">
        <f ca="1" t="shared" si="60"/>
        <v>12.1721952892004</v>
      </c>
      <c r="BB163" s="236">
        <f ca="1" t="shared" si="61"/>
        <v>9.13334602318849</v>
      </c>
      <c r="BC163" s="236">
        <f ca="1" t="shared" si="62"/>
        <v>12.8402332057436</v>
      </c>
      <c r="BD163" s="236">
        <f ca="1" t="shared" si="63"/>
        <v>8.84934061296426</v>
      </c>
    </row>
    <row r="164" s="234" customFormat="1" ht="0.2" customHeight="1" spans="7:56">
      <c r="G164" s="236"/>
      <c r="H164" s="236">
        <f t="shared" si="64"/>
        <v>523</v>
      </c>
      <c r="I164" s="236">
        <f>IF($H164&gt;$H163,INDEX(Spectra!164:164,1,MATCH($I$20,Spectra!$20:$20,0)),I163)</f>
        <v>16.9899652885703</v>
      </c>
      <c r="J164" s="236">
        <f>((Physics!$C$9*Physics!$C$10)/(Physics!$C$11*Physics!$C$12*$H164))^($J$17-$J$18)</f>
        <v>2.63358016085499e+18</v>
      </c>
      <c r="K164" s="236">
        <f t="shared" si="65"/>
        <v>1</v>
      </c>
      <c r="L164" s="236">
        <f ca="1">INDEX(Photobiology!$21:$421,1+$H164-380,10)</f>
        <v>0.7619694</v>
      </c>
      <c r="M164" s="236">
        <f ca="1" t="shared" si="66"/>
        <v>16.9899652885703</v>
      </c>
      <c r="N164" s="236">
        <f ca="1">INDEX(Photobiology!$21:$421,1+$H164-380,N$14)</f>
        <v>0.00513277231749071</v>
      </c>
      <c r="O164" s="236">
        <f ca="1">INDEX(Photobiology!$21:$421,1+$H164-380,O$14)</f>
        <v>0.919684781396721</v>
      </c>
      <c r="P164" s="236">
        <f ca="1">INDEX(Photobiology!$21:$421,1+$H164-380,P$14)</f>
        <v>0.694797104662516</v>
      </c>
      <c r="Q164" s="236">
        <f ca="1">INDEX(Photobiology!$21:$421,1+$H164-380,Q$14)</f>
        <v>0.95651327109073</v>
      </c>
      <c r="R164" s="236">
        <f ca="1">INDEX(Photobiology!$21:$421,1+$H164-380,R$14)</f>
        <v>0.64569585724306</v>
      </c>
      <c r="S164" s="236">
        <f ca="1" t="shared" si="67"/>
        <v>4.47444355175937e+19</v>
      </c>
      <c r="T164" s="236">
        <f ca="1">INDEX(Photobiology!$21:$421,1+$H164-380,T$14)</f>
        <v>0.00431820233211455</v>
      </c>
      <c r="U164" s="236">
        <f ca="1">INDEX(Photobiology!$21:$421,1+$H164-380,U$14)</f>
        <v>0.954910296525046</v>
      </c>
      <c r="V164" s="236">
        <f ca="1">INDEX(Photobiology!$21:$421,1+$H164-380,V$14)</f>
        <v>0.756274348303456</v>
      </c>
      <c r="W164" s="236">
        <f ca="1">INDEX(Photobiology!$21:$421,1+$H164-380,W$14)</f>
        <v>0.932251355318877</v>
      </c>
      <c r="X164" s="236">
        <f ca="1">INDEX(Photobiology!$21:$421,1+$H164-380,X$14)</f>
        <v>0.603444415257062</v>
      </c>
      <c r="Y164" s="236">
        <f ca="1" t="shared" si="54"/>
        <v>16.9899652885703</v>
      </c>
      <c r="Z164" s="236">
        <f ca="1" t="shared" si="68"/>
        <v>0.0872056235083017</v>
      </c>
      <c r="AA164" s="236">
        <f ca="1" t="shared" si="55"/>
        <v>15.6254125123567</v>
      </c>
      <c r="AB164" s="236">
        <f ca="1" t="shared" si="56"/>
        <v>11.8045786908153</v>
      </c>
      <c r="AC164" s="236">
        <f ca="1" t="shared" si="57"/>
        <v>16.2511272738883</v>
      </c>
      <c r="AD164" s="236">
        <f ca="1" t="shared" si="58"/>
        <v>10.9703502015332</v>
      </c>
      <c r="AE164" s="236"/>
      <c r="AF164" s="236"/>
      <c r="AG164" s="236"/>
      <c r="AH164" s="236">
        <f t="shared" si="69"/>
        <v>523</v>
      </c>
      <c r="AI164" s="236">
        <f>IF($AH164&gt;$AH163,INDEX(Spectra!164:164,1,MATCH($AI$20,Spectra!$20:$20,0)),AI163)</f>
        <v>1</v>
      </c>
      <c r="AJ164" s="236">
        <f>((Physics!$C$9*Physics!$C$10)/(Physics!$C$11*Physics!$C$12*$AH164))^($AJ$17-$AJ$18)</f>
        <v>2.63358016085499e+18</v>
      </c>
      <c r="AK164" s="236">
        <f t="shared" si="70"/>
        <v>1</v>
      </c>
      <c r="AL164" s="236">
        <f ca="1">INDEX(Photobiology!$21:$421,1+$AH164-380,10)</f>
        <v>0.7619694</v>
      </c>
      <c r="AM164" s="236">
        <f ca="1" t="shared" si="71"/>
        <v>13.3319879209511</v>
      </c>
      <c r="AN164" s="236">
        <f ca="1">INDEX(Photobiology!$21:$421,1+$AH164-380,AN$14)</f>
        <v>0.00513277231749071</v>
      </c>
      <c r="AO164" s="236">
        <f ca="1">INDEX(Photobiology!$21:$421,1+$AH164-380,AO$14)</f>
        <v>0.919684781396721</v>
      </c>
      <c r="AP164" s="236">
        <f ca="1">INDEX(Photobiology!$21:$421,1+$AH164-380,AP$14)</f>
        <v>0.694797104662516</v>
      </c>
      <c r="AQ164" s="236">
        <f ca="1">INDEX(Photobiology!$21:$421,1+$AH164-380,AQ$14)</f>
        <v>0.95651327109073</v>
      </c>
      <c r="AR164" s="236">
        <f ca="1">INDEX(Photobiology!$21:$421,1+$AH164-380,AR$14)</f>
        <v>0.64569585724306</v>
      </c>
      <c r="AS164" s="236">
        <f ca="1" t="shared" si="72"/>
        <v>3.51108588933753e+19</v>
      </c>
      <c r="AT164" s="236">
        <f ca="1">INDEX(Photobiology!$21:$421,1+$AH164-380,AT$14)</f>
        <v>0.00431820233211455</v>
      </c>
      <c r="AU164" s="236">
        <f ca="1">INDEX(Photobiology!$21:$421,1+$AH164-380,AU$14)</f>
        <v>0.954910296525046</v>
      </c>
      <c r="AV164" s="236">
        <f ca="1">INDEX(Photobiology!$21:$421,1+$AH164-380,AV$14)</f>
        <v>0.756274348303456</v>
      </c>
      <c r="AW164" s="236">
        <f ca="1">INDEX(Photobiology!$21:$421,1+$AH164-380,AW$14)</f>
        <v>0.932251355318877</v>
      </c>
      <c r="AX164" s="236">
        <f ca="1">INDEX(Photobiology!$21:$421,1+$AH164-380,AX$14)</f>
        <v>0.603444415257062</v>
      </c>
      <c r="AY164" s="236">
        <f ca="1" t="shared" si="59"/>
        <v>13.3319879209511</v>
      </c>
      <c r="AZ164" s="236">
        <f ca="1" t="shared" si="73"/>
        <v>0.0684300585377785</v>
      </c>
      <c r="BA164" s="236">
        <f ca="1" t="shared" si="60"/>
        <v>12.2612263966637</v>
      </c>
      <c r="BB164" s="236">
        <f ca="1" t="shared" si="61"/>
        <v>9.26302660687249</v>
      </c>
      <c r="BC164" s="236">
        <f ca="1" t="shared" si="62"/>
        <v>12.7522233764111</v>
      </c>
      <c r="BD164" s="236">
        <f ca="1" t="shared" si="63"/>
        <v>8.60840936937267</v>
      </c>
    </row>
    <row r="165" s="234" customFormat="1" ht="0.2" customHeight="1" spans="7:56">
      <c r="G165" s="236"/>
      <c r="H165" s="236">
        <f t="shared" si="64"/>
        <v>524</v>
      </c>
      <c r="I165" s="236">
        <f>IF($H165&gt;$H164,INDEX(Spectra!165:165,1,MATCH($I$20,Spectra!$20:$20,0)),I164)</f>
        <v>16.9542953706186</v>
      </c>
      <c r="J165" s="236">
        <f>((Physics!$C$9*Physics!$C$10)/(Physics!$C$11*Physics!$C$12*$H165))^($J$17-$J$18)</f>
        <v>2.63861568697517e+18</v>
      </c>
      <c r="K165" s="236">
        <f t="shared" si="65"/>
        <v>1</v>
      </c>
      <c r="L165" s="236">
        <f ca="1">INDEX(Photobiology!$21:$421,1+$H165-380,10)</f>
        <v>0.7778368</v>
      </c>
      <c r="M165" s="236">
        <f ca="1" t="shared" si="66"/>
        <v>16.9542953706186</v>
      </c>
      <c r="N165" s="236">
        <f ca="1">INDEX(Photobiology!$21:$421,1+$H165-380,N$14)</f>
        <v>0.00465026818765883</v>
      </c>
      <c r="O165" s="236">
        <f ca="1">INDEX(Photobiology!$21:$421,1+$H165-380,O$14)</f>
        <v>0.926149293996065</v>
      </c>
      <c r="P165" s="236">
        <f ca="1">INDEX(Photobiology!$21:$421,1+$H165-380,P$14)</f>
        <v>0.704464317281373</v>
      </c>
      <c r="Q165" s="236">
        <f ca="1">INDEX(Photobiology!$21:$421,1+$H165-380,Q$14)</f>
        <v>0.949386386577189</v>
      </c>
      <c r="R165" s="236">
        <f ca="1">INDEX(Photobiology!$21:$421,1+$H165-380,R$14)</f>
        <v>0.627569747633299</v>
      </c>
      <c r="S165" s="236">
        <f ca="1" t="shared" si="67"/>
        <v>4.47358697265247e+19</v>
      </c>
      <c r="T165" s="236">
        <f ca="1">INDEX(Photobiology!$21:$421,1+$H165-380,T$14)</f>
        <v>0.00390480534841581</v>
      </c>
      <c r="U165" s="236">
        <f ca="1">INDEX(Photobiology!$21:$421,1+$H165-380,U$14)</f>
        <v>0.959787253845958</v>
      </c>
      <c r="V165" s="236">
        <f ca="1">INDEX(Photobiology!$21:$421,1+$H165-380,V$14)</f>
        <v>0.765333585163325</v>
      </c>
      <c r="W165" s="236">
        <f ca="1">INDEX(Photobiology!$21:$421,1+$H165-380,W$14)</f>
        <v>0.923539394205916</v>
      </c>
      <c r="X165" s="236">
        <f ca="1">INDEX(Photobiology!$21:$421,1+$H165-380,X$14)</f>
        <v>0.585385113793217</v>
      </c>
      <c r="Y165" s="236">
        <f ca="1" t="shared" si="54"/>
        <v>16.9542953706186</v>
      </c>
      <c r="Z165" s="236">
        <f ca="1" t="shared" si="68"/>
        <v>0.078842020406159</v>
      </c>
      <c r="AA165" s="236">
        <f ca="1" t="shared" si="55"/>
        <v>15.7022086876992</v>
      </c>
      <c r="AB165" s="236">
        <f ca="1" t="shared" si="56"/>
        <v>11.9436961132496</v>
      </c>
      <c r="AC165" s="236">
        <f ca="1" t="shared" si="57"/>
        <v>16.096177218874</v>
      </c>
      <c r="AD165" s="236">
        <f ca="1" t="shared" si="58"/>
        <v>10.6400028670395</v>
      </c>
      <c r="AE165" s="236"/>
      <c r="AF165" s="236"/>
      <c r="AG165" s="236"/>
      <c r="AH165" s="236">
        <f t="shared" si="69"/>
        <v>524</v>
      </c>
      <c r="AI165" s="236">
        <f>IF($AH165&gt;$AH164,INDEX(Spectra!165:165,1,MATCH($AI$20,Spectra!$20:$20,0)),AI164)</f>
        <v>1</v>
      </c>
      <c r="AJ165" s="236">
        <f>((Physics!$C$9*Physics!$C$10)/(Physics!$C$11*Physics!$C$12*$AH165))^($AJ$17-$AJ$18)</f>
        <v>2.63861568697517e+18</v>
      </c>
      <c r="AK165" s="236">
        <f t="shared" si="70"/>
        <v>1</v>
      </c>
      <c r="AL165" s="236">
        <f ca="1">INDEX(Photobiology!$21:$421,1+$AH165-380,10)</f>
        <v>0.7778368</v>
      </c>
      <c r="AM165" s="236">
        <f ca="1" t="shared" si="71"/>
        <v>13.3319879209511</v>
      </c>
      <c r="AN165" s="236">
        <f ca="1">INDEX(Photobiology!$21:$421,1+$AH165-380,AN$14)</f>
        <v>0.00465026818765883</v>
      </c>
      <c r="AO165" s="236">
        <f ca="1">INDEX(Photobiology!$21:$421,1+$AH165-380,AO$14)</f>
        <v>0.926149293996065</v>
      </c>
      <c r="AP165" s="236">
        <f ca="1">INDEX(Photobiology!$21:$421,1+$AH165-380,AP$14)</f>
        <v>0.704464317281373</v>
      </c>
      <c r="AQ165" s="236">
        <f ca="1">INDEX(Photobiology!$21:$421,1+$AH165-380,AQ$14)</f>
        <v>0.949386386577189</v>
      </c>
      <c r="AR165" s="236">
        <f ca="1">INDEX(Photobiology!$21:$421,1+$AH165-380,AR$14)</f>
        <v>0.627569747633299</v>
      </c>
      <c r="AS165" s="236">
        <f ca="1" t="shared" si="72"/>
        <v>3.51779924667852e+19</v>
      </c>
      <c r="AT165" s="236">
        <f ca="1">INDEX(Photobiology!$21:$421,1+$AH165-380,AT$14)</f>
        <v>0.00390480534841581</v>
      </c>
      <c r="AU165" s="236">
        <f ca="1">INDEX(Photobiology!$21:$421,1+$AH165-380,AU$14)</f>
        <v>0.959787253845958</v>
      </c>
      <c r="AV165" s="236">
        <f ca="1">INDEX(Photobiology!$21:$421,1+$AH165-380,AV$14)</f>
        <v>0.765333585163325</v>
      </c>
      <c r="AW165" s="236">
        <f ca="1">INDEX(Photobiology!$21:$421,1+$AH165-380,AW$14)</f>
        <v>0.923539394205916</v>
      </c>
      <c r="AX165" s="236">
        <f ca="1">INDEX(Photobiology!$21:$421,1+$AH165-380,AX$14)</f>
        <v>0.585385113793217</v>
      </c>
      <c r="AY165" s="236">
        <f ca="1" t="shared" si="59"/>
        <v>13.3319879209511</v>
      </c>
      <c r="AZ165" s="236">
        <f ca="1" t="shared" si="73"/>
        <v>0.0619973193070509</v>
      </c>
      <c r="BA165" s="236">
        <f ca="1" t="shared" si="60"/>
        <v>12.347411200553</v>
      </c>
      <c r="BB165" s="236">
        <f ca="1" t="shared" si="61"/>
        <v>9.39190976873636</v>
      </c>
      <c r="BC165" s="236">
        <f ca="1" t="shared" si="62"/>
        <v>12.6572078381625</v>
      </c>
      <c r="BD165" s="236">
        <f ca="1" t="shared" si="63"/>
        <v>8.3667522950015</v>
      </c>
    </row>
    <row r="166" s="234" customFormat="1" ht="0.2" customHeight="1" spans="7:56">
      <c r="G166" s="236"/>
      <c r="H166" s="236">
        <f t="shared" si="64"/>
        <v>525</v>
      </c>
      <c r="I166" s="236">
        <f>IF($H166&gt;$H165,INDEX(Spectra!166:166,1,MATCH($I$20,Spectra!$20:$20,0)),I165)</f>
        <v>16.8957805642625</v>
      </c>
      <c r="J166" s="236">
        <f>((Physics!$C$9*Physics!$C$10)/(Physics!$C$11*Physics!$C$12*$H166))^($J$17-$J$18)</f>
        <v>2.64365121309535e+18</v>
      </c>
      <c r="K166" s="236">
        <f t="shared" si="65"/>
        <v>1</v>
      </c>
      <c r="L166" s="236">
        <f ca="1">INDEX(Photobiology!$21:$421,1+$H166-380,10)</f>
        <v>0.7932</v>
      </c>
      <c r="M166" s="236">
        <f ca="1" t="shared" si="66"/>
        <v>16.8957805642625</v>
      </c>
      <c r="N166" s="236">
        <f ca="1">INDEX(Photobiology!$21:$421,1+$H166-380,N$14)</f>
        <v>0.00421401425122854</v>
      </c>
      <c r="O166" s="236">
        <f ca="1">INDEX(Photobiology!$21:$421,1+$H166-380,O$14)</f>
        <v>0.932395137540633</v>
      </c>
      <c r="P166" s="236">
        <f ca="1">INDEX(Photobiology!$21:$421,1+$H166-380,P$14)</f>
        <v>0.714068705057427</v>
      </c>
      <c r="Q166" s="236">
        <f ca="1">INDEX(Photobiology!$21:$421,1+$H166-380,Q$14)</f>
        <v>0.941729120405226</v>
      </c>
      <c r="R166" s="236">
        <f ca="1">INDEX(Photobiology!$21:$421,1+$H166-380,R$14)</f>
        <v>0.609421820237466</v>
      </c>
      <c r="S166" s="236">
        <f ca="1" t="shared" si="67"/>
        <v>4.46665507849054e+19</v>
      </c>
      <c r="T166" s="236">
        <f ca="1">INDEX(Photobiology!$21:$421,1+$H166-380,T$14)</f>
        <v>0.00353174527722011</v>
      </c>
      <c r="U166" s="236">
        <f ca="1">INDEX(Photobiology!$21:$421,1+$H166-380,U$14)</f>
        <v>0.964419452755958</v>
      </c>
      <c r="V166" s="236">
        <f ca="1">INDEX(Photobiology!$21:$421,1+$H166-380,V$14)</f>
        <v>0.774290187424934</v>
      </c>
      <c r="W166" s="236">
        <f ca="1">INDEX(Photobiology!$21:$421,1+$H166-380,W$14)</f>
        <v>0.914345662216175</v>
      </c>
      <c r="X166" s="236">
        <f ca="1">INDEX(Photobiology!$21:$421,1+$H166-380,X$14)</f>
        <v>0.567374297216992</v>
      </c>
      <c r="Y166" s="236">
        <f ca="1" t="shared" si="54"/>
        <v>16.8957805642625</v>
      </c>
      <c r="Z166" s="236">
        <f ca="1" t="shared" si="68"/>
        <v>0.0711990600834324</v>
      </c>
      <c r="AA166" s="236">
        <f ca="1" t="shared" si="55"/>
        <v>15.7535436430719</v>
      </c>
      <c r="AB166" s="236">
        <f ca="1" t="shared" si="56"/>
        <v>12.0647481484574</v>
      </c>
      <c r="AC166" s="236">
        <f ca="1" t="shared" si="57"/>
        <v>15.9112485693426</v>
      </c>
      <c r="AD166" s="236">
        <f ca="1" t="shared" si="58"/>
        <v>10.2966573458057</v>
      </c>
      <c r="AE166" s="236"/>
      <c r="AF166" s="236"/>
      <c r="AG166" s="236"/>
      <c r="AH166" s="236">
        <f t="shared" si="69"/>
        <v>525</v>
      </c>
      <c r="AI166" s="236">
        <f>IF($AH166&gt;$AH165,INDEX(Spectra!166:166,1,MATCH($AI$20,Spectra!$20:$20,0)),AI165)</f>
        <v>1</v>
      </c>
      <c r="AJ166" s="236">
        <f>((Physics!$C$9*Physics!$C$10)/(Physics!$C$11*Physics!$C$12*$AH166))^($AJ$17-$AJ$18)</f>
        <v>2.64365121309535e+18</v>
      </c>
      <c r="AK166" s="236">
        <f t="shared" si="70"/>
        <v>1</v>
      </c>
      <c r="AL166" s="236">
        <f ca="1">INDEX(Photobiology!$21:$421,1+$AH166-380,10)</f>
        <v>0.7932</v>
      </c>
      <c r="AM166" s="236">
        <f ca="1" t="shared" si="71"/>
        <v>13.3319879209511</v>
      </c>
      <c r="AN166" s="236">
        <f ca="1">INDEX(Photobiology!$21:$421,1+$AH166-380,AN$14)</f>
        <v>0.00421401425122854</v>
      </c>
      <c r="AO166" s="236">
        <f ca="1">INDEX(Photobiology!$21:$421,1+$AH166-380,AO$14)</f>
        <v>0.932395137540633</v>
      </c>
      <c r="AP166" s="236">
        <f ca="1">INDEX(Photobiology!$21:$421,1+$AH166-380,AP$14)</f>
        <v>0.714068705057427</v>
      </c>
      <c r="AQ166" s="236">
        <f ca="1">INDEX(Photobiology!$21:$421,1+$AH166-380,AQ$14)</f>
        <v>0.941729120405226</v>
      </c>
      <c r="AR166" s="236">
        <f ca="1">INDEX(Photobiology!$21:$421,1+$AH166-380,AR$14)</f>
        <v>0.609421820237466</v>
      </c>
      <c r="AS166" s="236">
        <f ca="1" t="shared" si="72"/>
        <v>3.52451260401951e+19</v>
      </c>
      <c r="AT166" s="236">
        <f ca="1">INDEX(Photobiology!$21:$421,1+$AH166-380,AT$14)</f>
        <v>0.00353174527722011</v>
      </c>
      <c r="AU166" s="236">
        <f ca="1">INDEX(Photobiology!$21:$421,1+$AH166-380,AU$14)</f>
        <v>0.964419452755958</v>
      </c>
      <c r="AV166" s="236">
        <f ca="1">INDEX(Photobiology!$21:$421,1+$AH166-380,AV$14)</f>
        <v>0.774290187424934</v>
      </c>
      <c r="AW166" s="236">
        <f ca="1">INDEX(Photobiology!$21:$421,1+$AH166-380,AW$14)</f>
        <v>0.914345662216175</v>
      </c>
      <c r="AX166" s="236">
        <f ca="1">INDEX(Photobiology!$21:$421,1+$AH166-380,AX$14)</f>
        <v>0.567374297216992</v>
      </c>
      <c r="AY166" s="236">
        <f ca="1" t="shared" si="59"/>
        <v>13.3319879209511</v>
      </c>
      <c r="AZ166" s="236">
        <f ca="1" t="shared" si="73"/>
        <v>0.0561811870960949</v>
      </c>
      <c r="BA166" s="236">
        <f ca="1" t="shared" si="60"/>
        <v>12.4306807112453</v>
      </c>
      <c r="BB166" s="236">
        <f ca="1" t="shared" si="61"/>
        <v>9.51995535055484</v>
      </c>
      <c r="BC166" s="236">
        <f ca="1" t="shared" si="62"/>
        <v>12.5551212580504</v>
      </c>
      <c r="BD166" s="236">
        <f ca="1" t="shared" si="63"/>
        <v>8.12480434616995</v>
      </c>
    </row>
    <row r="167" s="234" customFormat="1" ht="0.2" customHeight="1" spans="7:56">
      <c r="G167" s="236"/>
      <c r="H167" s="236">
        <f t="shared" si="64"/>
        <v>526</v>
      </c>
      <c r="I167" s="236">
        <f>IF($H167&gt;$H166,INDEX(Spectra!167:167,1,MATCH($I$20,Spectra!$20:$20,0)),I166)</f>
        <v>16.8773640282288</v>
      </c>
      <c r="J167" s="236">
        <f>((Physics!$C$9*Physics!$C$10)/(Physics!$C$11*Physics!$C$12*$H167))^($J$17-$J$18)</f>
        <v>2.64868673921553e+18</v>
      </c>
      <c r="K167" s="236">
        <f t="shared" si="65"/>
        <v>1</v>
      </c>
      <c r="L167" s="236">
        <f ca="1">INDEX(Photobiology!$21:$421,1+$H167-380,10)</f>
        <v>0.8081104</v>
      </c>
      <c r="M167" s="236">
        <f ca="1" t="shared" si="66"/>
        <v>16.8773640282288</v>
      </c>
      <c r="N167" s="236">
        <f ca="1">INDEX(Photobiology!$21:$421,1+$H167-380,N$14)</f>
        <v>0.0038195394501359</v>
      </c>
      <c r="O167" s="236">
        <f ca="1">INDEX(Photobiology!$21:$421,1+$H167-380,O$14)</f>
        <v>0.93841512727141</v>
      </c>
      <c r="P167" s="236">
        <f ca="1">INDEX(Photobiology!$21:$421,1+$H167-380,P$14)</f>
        <v>0.723602402280251</v>
      </c>
      <c r="Q167" s="236">
        <f ca="1">INDEX(Photobiology!$21:$421,1+$H167-380,Q$14)</f>
        <v>0.933548746185976</v>
      </c>
      <c r="R167" s="236">
        <f ca="1">INDEX(Photobiology!$21:$421,1+$H167-380,R$14)</f>
        <v>0.5912797423135</v>
      </c>
      <c r="S167" s="236">
        <f ca="1" t="shared" si="67"/>
        <v>4.47028502944828e+19</v>
      </c>
      <c r="T167" s="236">
        <f ca="1">INDEX(Photobiology!$21:$421,1+$H167-380,T$14)</f>
        <v>0.00319505201152053</v>
      </c>
      <c r="U167" s="236">
        <f ca="1">INDEX(Photobiology!$21:$421,1+$H167-380,U$14)</f>
        <v>0.968800871815104</v>
      </c>
      <c r="V167" s="236">
        <f ca="1">INDEX(Photobiology!$21:$421,1+$H167-380,V$14)</f>
        <v>0.783136227601074</v>
      </c>
      <c r="W167" s="236">
        <f ca="1">INDEX(Photobiology!$21:$421,1+$H167-380,W$14)</f>
        <v>0.904679955776392</v>
      </c>
      <c r="X167" s="236">
        <f ca="1">INDEX(Photobiology!$21:$421,1+$H167-380,X$14)</f>
        <v>0.549437398362777</v>
      </c>
      <c r="Y167" s="236">
        <f ca="1" t="shared" si="54"/>
        <v>16.8773640282288</v>
      </c>
      <c r="Z167" s="236">
        <f ca="1" t="shared" si="68"/>
        <v>0.0644637577201245</v>
      </c>
      <c r="AA167" s="236">
        <f ca="1" t="shared" si="55"/>
        <v>15.8379737125562</v>
      </c>
      <c r="AB167" s="236">
        <f ca="1" t="shared" si="56"/>
        <v>12.2125011549847</v>
      </c>
      <c r="AC167" s="236">
        <f ca="1" t="shared" si="57"/>
        <v>15.7558420274773</v>
      </c>
      <c r="AD167" s="236">
        <f ca="1" t="shared" si="58"/>
        <v>9.97924345354226</v>
      </c>
      <c r="AE167" s="236"/>
      <c r="AF167" s="236"/>
      <c r="AG167" s="236"/>
      <c r="AH167" s="236">
        <f t="shared" si="69"/>
        <v>526</v>
      </c>
      <c r="AI167" s="236">
        <f>IF($AH167&gt;$AH166,INDEX(Spectra!167:167,1,MATCH($AI$20,Spectra!$20:$20,0)),AI166)</f>
        <v>1</v>
      </c>
      <c r="AJ167" s="236">
        <f>((Physics!$C$9*Physics!$C$10)/(Physics!$C$11*Physics!$C$12*$AH167))^($AJ$17-$AJ$18)</f>
        <v>2.64868673921553e+18</v>
      </c>
      <c r="AK167" s="236">
        <f t="shared" si="70"/>
        <v>1</v>
      </c>
      <c r="AL167" s="236">
        <f ca="1">INDEX(Photobiology!$21:$421,1+$AH167-380,10)</f>
        <v>0.8081104</v>
      </c>
      <c r="AM167" s="236">
        <f ca="1" t="shared" si="71"/>
        <v>13.3319879209511</v>
      </c>
      <c r="AN167" s="236">
        <f ca="1">INDEX(Photobiology!$21:$421,1+$AH167-380,AN$14)</f>
        <v>0.0038195394501359</v>
      </c>
      <c r="AO167" s="236">
        <f ca="1">INDEX(Photobiology!$21:$421,1+$AH167-380,AO$14)</f>
        <v>0.93841512727141</v>
      </c>
      <c r="AP167" s="236">
        <f ca="1">INDEX(Photobiology!$21:$421,1+$AH167-380,AP$14)</f>
        <v>0.723602402280251</v>
      </c>
      <c r="AQ167" s="236">
        <f ca="1">INDEX(Photobiology!$21:$421,1+$AH167-380,AQ$14)</f>
        <v>0.933548746185976</v>
      </c>
      <c r="AR167" s="236">
        <f ca="1">INDEX(Photobiology!$21:$421,1+$AH167-380,AR$14)</f>
        <v>0.5912797423135</v>
      </c>
      <c r="AS167" s="236">
        <f ca="1" t="shared" si="72"/>
        <v>3.5312259613605e+19</v>
      </c>
      <c r="AT167" s="236">
        <f ca="1">INDEX(Photobiology!$21:$421,1+$AH167-380,AT$14)</f>
        <v>0.00319505201152053</v>
      </c>
      <c r="AU167" s="236">
        <f ca="1">INDEX(Photobiology!$21:$421,1+$AH167-380,AU$14)</f>
        <v>0.968800871815104</v>
      </c>
      <c r="AV167" s="236">
        <f ca="1">INDEX(Photobiology!$21:$421,1+$AH167-380,AV$14)</f>
        <v>0.783136227601074</v>
      </c>
      <c r="AW167" s="236">
        <f ca="1">INDEX(Photobiology!$21:$421,1+$AH167-380,AW$14)</f>
        <v>0.904679955776392</v>
      </c>
      <c r="AX167" s="236">
        <f ca="1">INDEX(Photobiology!$21:$421,1+$AH167-380,AX$14)</f>
        <v>0.549437398362777</v>
      </c>
      <c r="AY167" s="236">
        <f ca="1" t="shared" si="59"/>
        <v>13.3319879209511</v>
      </c>
      <c r="AZ167" s="236">
        <f ca="1" t="shared" si="73"/>
        <v>0.0509220538128082</v>
      </c>
      <c r="BA167" s="236">
        <f ca="1" t="shared" si="60"/>
        <v>12.5109391416203</v>
      </c>
      <c r="BB167" s="236">
        <f ca="1" t="shared" si="61"/>
        <v>9.64705848677153</v>
      </c>
      <c r="BC167" s="236">
        <f ca="1" t="shared" si="62"/>
        <v>12.4460606077705</v>
      </c>
      <c r="BD167" s="236">
        <f ca="1" t="shared" si="63"/>
        <v>7.88293438242669</v>
      </c>
    </row>
    <row r="168" s="234" customFormat="1" ht="0.2" customHeight="1" spans="7:56">
      <c r="G168" s="236"/>
      <c r="H168" s="236">
        <f t="shared" si="64"/>
        <v>527</v>
      </c>
      <c r="I168" s="236">
        <f>IF($H168&gt;$H167,INDEX(Spectra!168:168,1,MATCH($I$20,Spectra!$20:$20,0)),I167)</f>
        <v>16.747439676177</v>
      </c>
      <c r="J168" s="236">
        <f>((Physics!$C$9*Physics!$C$10)/(Physics!$C$11*Physics!$C$12*$H168))^($J$17-$J$18)</f>
        <v>2.65372226533571e+18</v>
      </c>
      <c r="K168" s="236">
        <f t="shared" si="65"/>
        <v>1</v>
      </c>
      <c r="L168" s="236">
        <f ca="1">INDEX(Photobiology!$21:$421,1+$H168-380,10)</f>
        <v>0.8224962</v>
      </c>
      <c r="M168" s="236">
        <f ca="1" t="shared" si="66"/>
        <v>16.747439676177</v>
      </c>
      <c r="N168" s="236">
        <f ca="1">INDEX(Photobiology!$21:$421,1+$H168-380,N$14)</f>
        <v>0.00346278876674324</v>
      </c>
      <c r="O168" s="236">
        <f ca="1">INDEX(Photobiology!$21:$421,1+$H168-380,O$14)</f>
        <v>0.944200008489351</v>
      </c>
      <c r="P168" s="236">
        <f ca="1">INDEX(Photobiology!$21:$421,1+$H168-380,P$14)</f>
        <v>0.733064181815485</v>
      </c>
      <c r="Q168" s="236">
        <f ca="1">INDEX(Photobiology!$21:$421,1+$H168-380,Q$14)</f>
        <v>0.924845100149539</v>
      </c>
      <c r="R168" s="236">
        <f ca="1">INDEX(Photobiology!$21:$421,1+$H168-380,R$14)</f>
        <v>0.573170724379929</v>
      </c>
      <c r="S168" s="236">
        <f ca="1" t="shared" si="67"/>
        <v>4.44430535560376e+19</v>
      </c>
      <c r="T168" s="236">
        <f ca="1">INDEX(Photobiology!$21:$421,1+$H168-380,T$14)</f>
        <v>0.00289113293618031</v>
      </c>
      <c r="U168" s="236">
        <f ca="1">INDEX(Photobiology!$21:$421,1+$H168-380,U$14)</f>
        <v>0.972923402377557</v>
      </c>
      <c r="V168" s="236">
        <f ca="1">INDEX(Photobiology!$21:$421,1+$H168-380,V$14)</f>
        <v>0.791871009501651</v>
      </c>
      <c r="W168" s="236">
        <f ca="1">INDEX(Photobiology!$21:$421,1+$H168-380,W$14)</f>
        <v>0.894544803243765</v>
      </c>
      <c r="X168" s="236">
        <f ca="1">INDEX(Photobiology!$21:$421,1+$H168-380,X$14)</f>
        <v>0.531599233413812</v>
      </c>
      <c r="Y168" s="236">
        <f ca="1" t="shared" si="54"/>
        <v>16.747439676177</v>
      </c>
      <c r="Z168" s="236">
        <f ca="1" t="shared" si="68"/>
        <v>0.0579928459823758</v>
      </c>
      <c r="AA168" s="236">
        <f ca="1" t="shared" si="55"/>
        <v>15.8129326844212</v>
      </c>
      <c r="AB168" s="236">
        <f ca="1" t="shared" si="56"/>
        <v>12.2769481637209</v>
      </c>
      <c r="AC168" s="236">
        <f ca="1" t="shared" si="57"/>
        <v>15.4887875245623</v>
      </c>
      <c r="AD168" s="236">
        <f ca="1" t="shared" si="58"/>
        <v>9.59914213070353</v>
      </c>
      <c r="AE168" s="236"/>
      <c r="AF168" s="236"/>
      <c r="AG168" s="236"/>
      <c r="AH168" s="236">
        <f t="shared" si="69"/>
        <v>527</v>
      </c>
      <c r="AI168" s="236">
        <f>IF($AH168&gt;$AH167,INDEX(Spectra!168:168,1,MATCH($AI$20,Spectra!$20:$20,0)),AI167)</f>
        <v>1</v>
      </c>
      <c r="AJ168" s="236">
        <f>((Physics!$C$9*Physics!$C$10)/(Physics!$C$11*Physics!$C$12*$AH168))^($AJ$17-$AJ$18)</f>
        <v>2.65372226533571e+18</v>
      </c>
      <c r="AK168" s="236">
        <f t="shared" si="70"/>
        <v>1</v>
      </c>
      <c r="AL168" s="236">
        <f ca="1">INDEX(Photobiology!$21:$421,1+$AH168-380,10)</f>
        <v>0.8224962</v>
      </c>
      <c r="AM168" s="236">
        <f ca="1" t="shared" si="71"/>
        <v>13.3319879209511</v>
      </c>
      <c r="AN168" s="236">
        <f ca="1">INDEX(Photobiology!$21:$421,1+$AH168-380,AN$14)</f>
        <v>0.00346278876674324</v>
      </c>
      <c r="AO168" s="236">
        <f ca="1">INDEX(Photobiology!$21:$421,1+$AH168-380,AO$14)</f>
        <v>0.944200008489351</v>
      </c>
      <c r="AP168" s="236">
        <f ca="1">INDEX(Photobiology!$21:$421,1+$AH168-380,AP$14)</f>
        <v>0.733064181815485</v>
      </c>
      <c r="AQ168" s="236">
        <f ca="1">INDEX(Photobiology!$21:$421,1+$AH168-380,AQ$14)</f>
        <v>0.924845100149539</v>
      </c>
      <c r="AR168" s="236">
        <f ca="1">INDEX(Photobiology!$21:$421,1+$AH168-380,AR$14)</f>
        <v>0.573170724379929</v>
      </c>
      <c r="AS168" s="236">
        <f ca="1" t="shared" si="72"/>
        <v>3.53793931870148e+19</v>
      </c>
      <c r="AT168" s="236">
        <f ca="1">INDEX(Photobiology!$21:$421,1+$AH168-380,AT$14)</f>
        <v>0.00289113293618031</v>
      </c>
      <c r="AU168" s="236">
        <f ca="1">INDEX(Photobiology!$21:$421,1+$AH168-380,AU$14)</f>
        <v>0.972923402377557</v>
      </c>
      <c r="AV168" s="236">
        <f ca="1">INDEX(Photobiology!$21:$421,1+$AH168-380,AV$14)</f>
        <v>0.791871009501651</v>
      </c>
      <c r="AW168" s="236">
        <f ca="1">INDEX(Photobiology!$21:$421,1+$AH168-380,AW$14)</f>
        <v>0.894544803243765</v>
      </c>
      <c r="AX168" s="236">
        <f ca="1">INDEX(Photobiology!$21:$421,1+$AH168-380,AX$14)</f>
        <v>0.531599233413812</v>
      </c>
      <c r="AY168" s="236">
        <f ca="1" t="shared" si="59"/>
        <v>13.3319879209511</v>
      </c>
      <c r="AZ168" s="236">
        <f ca="1" t="shared" si="73"/>
        <v>0.0461658580110262</v>
      </c>
      <c r="BA168" s="236">
        <f ca="1" t="shared" si="60"/>
        <v>12.588063108142</v>
      </c>
      <c r="BB168" s="236">
        <f ca="1" t="shared" si="61"/>
        <v>9.77320281724598</v>
      </c>
      <c r="BC168" s="236">
        <f ca="1" t="shared" si="62"/>
        <v>12.3300237039445</v>
      </c>
      <c r="BD168" s="236">
        <f ca="1" t="shared" si="63"/>
        <v>7.64150517407603</v>
      </c>
    </row>
    <row r="169" s="234" customFormat="1" ht="0.2" customHeight="1" spans="7:56">
      <c r="G169" s="236"/>
      <c r="H169" s="236">
        <f t="shared" si="64"/>
        <v>528</v>
      </c>
      <c r="I169" s="236">
        <f>IF($H169&gt;$H168,INDEX(Spectra!169:169,1,MATCH($I$20,Spectra!$20:$20,0)),I168)</f>
        <v>16.5874742063677</v>
      </c>
      <c r="J169" s="236">
        <f>((Physics!$C$9*Physics!$C$10)/(Physics!$C$11*Physics!$C$12*$H169))^($J$17-$J$18)</f>
        <v>2.6587577914559e+18</v>
      </c>
      <c r="K169" s="236">
        <f t="shared" si="65"/>
        <v>1</v>
      </c>
      <c r="L169" s="236">
        <f ca="1">INDEX(Photobiology!$21:$421,1+$H169-380,10)</f>
        <v>0.8363068</v>
      </c>
      <c r="M169" s="236">
        <f ca="1" t="shared" si="66"/>
        <v>16.5874742063677</v>
      </c>
      <c r="N169" s="236">
        <f ca="1">INDEX(Photobiology!$21:$421,1+$H169-380,N$14)</f>
        <v>0.00314011822857271</v>
      </c>
      <c r="O169" s="236">
        <f ca="1">INDEX(Photobiology!$21:$421,1+$H169-380,O$14)</f>
        <v>0.949742778453168</v>
      </c>
      <c r="P169" s="236">
        <f ca="1">INDEX(Photobiology!$21:$421,1+$H169-380,P$14)</f>
        <v>0.742449638284289</v>
      </c>
      <c r="Q169" s="236">
        <f ca="1">INDEX(Photobiology!$21:$421,1+$H169-380,Q$14)</f>
        <v>0.915625754701202</v>
      </c>
      <c r="R169" s="236">
        <f ca="1">INDEX(Photobiology!$21:$421,1+$H169-380,R$14)</f>
        <v>0.555121438651106</v>
      </c>
      <c r="S169" s="236">
        <f ca="1" t="shared" si="67"/>
        <v>4.41020762867539e+19</v>
      </c>
      <c r="T169" s="236">
        <f ca="1">INDEX(Photobiology!$21:$421,1+$H169-380,T$14)</f>
        <v>0.00261676519047726</v>
      </c>
      <c r="U169" s="236">
        <f ca="1">INDEX(Photobiology!$21:$421,1+$H169-380,U$14)</f>
        <v>0.976781313296087</v>
      </c>
      <c r="V169" s="236">
        <f ca="1">INDEX(Photobiology!$21:$421,1+$H169-380,V$14)</f>
        <v>0.800490415507952</v>
      </c>
      <c r="W169" s="236">
        <f ca="1">INDEX(Photobiology!$21:$421,1+$H169-380,W$14)</f>
        <v>0.883950182367707</v>
      </c>
      <c r="X169" s="236">
        <f ca="1">INDEX(Photobiology!$21:$421,1+$H169-380,X$14)</f>
        <v>0.513883932235997</v>
      </c>
      <c r="Y169" s="236">
        <f ca="1" t="shared" si="54"/>
        <v>16.5874742063677</v>
      </c>
      <c r="Z169" s="236">
        <f ca="1" t="shared" si="68"/>
        <v>0.0520866301213949</v>
      </c>
      <c r="AA169" s="236">
        <f ca="1" t="shared" si="55"/>
        <v>15.7538338402759</v>
      </c>
      <c r="AB169" s="236">
        <f ca="1" t="shared" si="56"/>
        <v>12.3153642245677</v>
      </c>
      <c r="AC169" s="236">
        <f ca="1" t="shared" si="57"/>
        <v>15.1879185887921</v>
      </c>
      <c r="AD169" s="236">
        <f ca="1" t="shared" si="58"/>
        <v>9.20806254502695</v>
      </c>
      <c r="AE169" s="236"/>
      <c r="AF169" s="236"/>
      <c r="AG169" s="236"/>
      <c r="AH169" s="236">
        <f t="shared" si="69"/>
        <v>528</v>
      </c>
      <c r="AI169" s="236">
        <f>IF($AH169&gt;$AH168,INDEX(Spectra!169:169,1,MATCH($AI$20,Spectra!$20:$20,0)),AI168)</f>
        <v>1</v>
      </c>
      <c r="AJ169" s="236">
        <f>((Physics!$C$9*Physics!$C$10)/(Physics!$C$11*Physics!$C$12*$AH169))^($AJ$17-$AJ$18)</f>
        <v>2.6587577914559e+18</v>
      </c>
      <c r="AK169" s="236">
        <f t="shared" si="70"/>
        <v>1</v>
      </c>
      <c r="AL169" s="236">
        <f ca="1">INDEX(Photobiology!$21:$421,1+$AH169-380,10)</f>
        <v>0.8363068</v>
      </c>
      <c r="AM169" s="236">
        <f ca="1" t="shared" si="71"/>
        <v>13.3319879209511</v>
      </c>
      <c r="AN169" s="236">
        <f ca="1">INDEX(Photobiology!$21:$421,1+$AH169-380,AN$14)</f>
        <v>0.00314011822857271</v>
      </c>
      <c r="AO169" s="236">
        <f ca="1">INDEX(Photobiology!$21:$421,1+$AH169-380,AO$14)</f>
        <v>0.949742778453168</v>
      </c>
      <c r="AP169" s="236">
        <f ca="1">INDEX(Photobiology!$21:$421,1+$AH169-380,AP$14)</f>
        <v>0.742449638284289</v>
      </c>
      <c r="AQ169" s="236">
        <f ca="1">INDEX(Photobiology!$21:$421,1+$AH169-380,AQ$14)</f>
        <v>0.915625754701202</v>
      </c>
      <c r="AR169" s="236">
        <f ca="1">INDEX(Photobiology!$21:$421,1+$AH169-380,AR$14)</f>
        <v>0.555121438651106</v>
      </c>
      <c r="AS169" s="236">
        <f ca="1" t="shared" si="72"/>
        <v>3.54465267604247e+19</v>
      </c>
      <c r="AT169" s="236">
        <f ca="1">INDEX(Photobiology!$21:$421,1+$AH169-380,AT$14)</f>
        <v>0.00261676519047726</v>
      </c>
      <c r="AU169" s="236">
        <f ca="1">INDEX(Photobiology!$21:$421,1+$AH169-380,AU$14)</f>
        <v>0.976781313296087</v>
      </c>
      <c r="AV169" s="236">
        <f ca="1">INDEX(Photobiology!$21:$421,1+$AH169-380,AV$14)</f>
        <v>0.800490415507952</v>
      </c>
      <c r="AW169" s="236">
        <f ca="1">INDEX(Photobiology!$21:$421,1+$AH169-380,AW$14)</f>
        <v>0.883950182367707</v>
      </c>
      <c r="AX169" s="236">
        <f ca="1">INDEX(Photobiology!$21:$421,1+$AH169-380,AX$14)</f>
        <v>0.513883932235997</v>
      </c>
      <c r="AY169" s="236">
        <f ca="1" t="shared" si="59"/>
        <v>13.3319879209511</v>
      </c>
      <c r="AZ169" s="236">
        <f ca="1" t="shared" si="73"/>
        <v>0.0418640182936899</v>
      </c>
      <c r="BA169" s="236">
        <f ca="1" t="shared" si="60"/>
        <v>12.6619592503482</v>
      </c>
      <c r="BB169" s="236">
        <f ca="1" t="shared" si="61"/>
        <v>9.89832960952068</v>
      </c>
      <c r="BC169" s="236">
        <f ca="1" t="shared" si="62"/>
        <v>12.2071115017882</v>
      </c>
      <c r="BD169" s="236">
        <f ca="1" t="shared" si="63"/>
        <v>7.40087231475756</v>
      </c>
    </row>
    <row r="170" s="234" customFormat="1" ht="0.2" customHeight="1" spans="7:56">
      <c r="G170" s="236"/>
      <c r="H170" s="236">
        <f t="shared" si="64"/>
        <v>529</v>
      </c>
      <c r="I170" s="236">
        <f>IF($H170&gt;$H169,INDEX(Spectra!170:170,1,MATCH($I$20,Spectra!$20:$20,0)),I169)</f>
        <v>16.4208446797811</v>
      </c>
      <c r="J170" s="236">
        <f>((Physics!$C$9*Physics!$C$10)/(Physics!$C$11*Physics!$C$12*$H170))^($J$17-$J$18)</f>
        <v>2.66379331757608e+18</v>
      </c>
      <c r="K170" s="236">
        <f t="shared" si="65"/>
        <v>1</v>
      </c>
      <c r="L170" s="236">
        <f ca="1">INDEX(Photobiology!$21:$421,1+$H170-380,10)</f>
        <v>0.8494916</v>
      </c>
      <c r="M170" s="236">
        <f ca="1" t="shared" si="66"/>
        <v>16.4208446797811</v>
      </c>
      <c r="N170" s="236">
        <f ca="1">INDEX(Photobiology!$21:$421,1+$H170-380,N$14)</f>
        <v>0.00284822962953604</v>
      </c>
      <c r="O170" s="236">
        <f ca="1">INDEX(Photobiology!$21:$421,1+$H170-380,O$14)</f>
        <v>0.955036566067956</v>
      </c>
      <c r="P170" s="236">
        <f ca="1">INDEX(Photobiology!$21:$421,1+$H170-380,P$14)</f>
        <v>0.751752705902091</v>
      </c>
      <c r="Q170" s="236">
        <f ca="1">INDEX(Photobiology!$21:$421,1+$H170-380,Q$14)</f>
        <v>0.905895286565104</v>
      </c>
      <c r="R170" s="236">
        <f ca="1">INDEX(Photobiology!$21:$421,1+$H170-380,R$14)</f>
        <v>0.53715917729999</v>
      </c>
      <c r="S170" s="236">
        <f ca="1" t="shared" si="67"/>
        <v>4.37417363269556e+19</v>
      </c>
      <c r="T170" s="236">
        <f ca="1">INDEX(Photobiology!$21:$421,1+$H170-380,T$14)</f>
        <v>0.00236903787711882</v>
      </c>
      <c r="U170" s="236">
        <f ca="1">INDEX(Photobiology!$21:$421,1+$H170-380,U$14)</f>
        <v>0.980369051897493</v>
      </c>
      <c r="V170" s="236">
        <f ca="1">INDEX(Photobiology!$21:$421,1+$H170-380,V$14)</f>
        <v>0.80898857231306</v>
      </c>
      <c r="W170" s="236">
        <f ca="1">INDEX(Photobiology!$21:$421,1+$H170-380,W$14)</f>
        <v>0.87290310887132</v>
      </c>
      <c r="X170" s="236">
        <f ca="1">INDEX(Photobiology!$21:$421,1+$H170-380,X$14)</f>
        <v>0.496316015058526</v>
      </c>
      <c r="Y170" s="236">
        <f ca="1" t="shared" si="54"/>
        <v>16.4208446797811</v>
      </c>
      <c r="Z170" s="236">
        <f ca="1" t="shared" si="68"/>
        <v>0.0467703363589618</v>
      </c>
      <c r="AA170" s="236">
        <f ca="1" t="shared" si="55"/>
        <v>15.6825071149134</v>
      </c>
      <c r="AB170" s="236">
        <f ca="1" t="shared" si="56"/>
        <v>12.3444144212234</v>
      </c>
      <c r="AC170" s="236">
        <f ca="1" t="shared" si="57"/>
        <v>14.8755657968314</v>
      </c>
      <c r="AD170" s="236">
        <f ca="1" t="shared" si="58"/>
        <v>8.82060741876213</v>
      </c>
      <c r="AE170" s="236"/>
      <c r="AF170" s="236"/>
      <c r="AG170" s="236"/>
      <c r="AH170" s="236">
        <f t="shared" si="69"/>
        <v>529</v>
      </c>
      <c r="AI170" s="236">
        <f>IF($AH170&gt;$AH169,INDEX(Spectra!170:170,1,MATCH($AI$20,Spectra!$20:$20,0)),AI169)</f>
        <v>1</v>
      </c>
      <c r="AJ170" s="236">
        <f>((Physics!$C$9*Physics!$C$10)/(Physics!$C$11*Physics!$C$12*$AH170))^($AJ$17-$AJ$18)</f>
        <v>2.66379331757608e+18</v>
      </c>
      <c r="AK170" s="236">
        <f t="shared" si="70"/>
        <v>1</v>
      </c>
      <c r="AL170" s="236">
        <f ca="1">INDEX(Photobiology!$21:$421,1+$AH170-380,10)</f>
        <v>0.8494916</v>
      </c>
      <c r="AM170" s="236">
        <f ca="1" t="shared" si="71"/>
        <v>13.3319879209511</v>
      </c>
      <c r="AN170" s="236">
        <f ca="1">INDEX(Photobiology!$21:$421,1+$AH170-380,AN$14)</f>
        <v>0.00284822962953604</v>
      </c>
      <c r="AO170" s="236">
        <f ca="1">INDEX(Photobiology!$21:$421,1+$AH170-380,AO$14)</f>
        <v>0.955036566067956</v>
      </c>
      <c r="AP170" s="236">
        <f ca="1">INDEX(Photobiology!$21:$421,1+$AH170-380,AP$14)</f>
        <v>0.751752705902091</v>
      </c>
      <c r="AQ170" s="236">
        <f ca="1">INDEX(Photobiology!$21:$421,1+$AH170-380,AQ$14)</f>
        <v>0.905895286565104</v>
      </c>
      <c r="AR170" s="236">
        <f ca="1">INDEX(Photobiology!$21:$421,1+$AH170-380,AR$14)</f>
        <v>0.53715917729999</v>
      </c>
      <c r="AS170" s="236">
        <f ca="1" t="shared" si="72"/>
        <v>3.55136603338346e+19</v>
      </c>
      <c r="AT170" s="236">
        <f ca="1">INDEX(Photobiology!$21:$421,1+$AH170-380,AT$14)</f>
        <v>0.00236903787711882</v>
      </c>
      <c r="AU170" s="236">
        <f ca="1">INDEX(Photobiology!$21:$421,1+$AH170-380,AU$14)</f>
        <v>0.980369051897493</v>
      </c>
      <c r="AV170" s="236">
        <f ca="1">INDEX(Photobiology!$21:$421,1+$AH170-380,AV$14)</f>
        <v>0.80898857231306</v>
      </c>
      <c r="AW170" s="236">
        <f ca="1">INDEX(Photobiology!$21:$421,1+$AH170-380,AW$14)</f>
        <v>0.87290310887132</v>
      </c>
      <c r="AX170" s="236">
        <f ca="1">INDEX(Photobiology!$21:$421,1+$AH170-380,AX$14)</f>
        <v>0.496316015058526</v>
      </c>
      <c r="AY170" s="236">
        <f ca="1" t="shared" si="59"/>
        <v>13.3319879209511</v>
      </c>
      <c r="AZ170" s="236">
        <f ca="1" t="shared" si="73"/>
        <v>0.0379725630170696</v>
      </c>
      <c r="BA170" s="236">
        <f ca="1" t="shared" si="60"/>
        <v>12.7325359628846</v>
      </c>
      <c r="BB170" s="236">
        <f ca="1" t="shared" si="61"/>
        <v>10.022357994629</v>
      </c>
      <c r="BC170" s="236">
        <f ca="1" t="shared" si="62"/>
        <v>12.0773850181325</v>
      </c>
      <c r="BD170" s="236">
        <f ca="1" t="shared" si="63"/>
        <v>7.16139966339152</v>
      </c>
    </row>
    <row r="171" s="234" customFormat="1" ht="0.2" customHeight="1" spans="7:56">
      <c r="G171" s="236"/>
      <c r="H171" s="236">
        <f t="shared" si="64"/>
        <v>530</v>
      </c>
      <c r="I171" s="236">
        <f>IF($H171&gt;$H170,INDEX(Spectra!171:171,1,MATCH($I$20,Spectra!$20:$20,0)),I170)</f>
        <v>16.165739738956</v>
      </c>
      <c r="J171" s="236">
        <f>((Physics!$C$9*Physics!$C$10)/(Physics!$C$11*Physics!$C$12*$H171))^($J$17-$J$18)</f>
        <v>2.66882884369626e+18</v>
      </c>
      <c r="K171" s="236">
        <f t="shared" si="65"/>
        <v>1</v>
      </c>
      <c r="L171" s="236">
        <f ca="1">INDEX(Photobiology!$21:$421,1+$H171-380,10)</f>
        <v>0.862</v>
      </c>
      <c r="M171" s="236">
        <f ca="1" t="shared" si="66"/>
        <v>16.165739738956</v>
      </c>
      <c r="N171" s="236">
        <f ca="1">INDEX(Photobiology!$21:$421,1+$H171-380,N$14)</f>
        <v>0.00258412787011016</v>
      </c>
      <c r="O171" s="236">
        <f ca="1">INDEX(Photobiology!$21:$421,1+$H171-380,O$14)</f>
        <v>0.96007243349852</v>
      </c>
      <c r="P171" s="236">
        <f ca="1">INDEX(Photobiology!$21:$421,1+$H171-380,P$14)</f>
        <v>0.760969061248013</v>
      </c>
      <c r="Q171" s="236">
        <f ca="1">INDEX(Photobiology!$21:$421,1+$H171-380,Q$14)</f>
        <v>0.895659630551339</v>
      </c>
      <c r="R171" s="236">
        <f ca="1">INDEX(Photobiology!$21:$421,1+$H171-380,R$14)</f>
        <v>0.51930918020328</v>
      </c>
      <c r="S171" s="236">
        <f ca="1" t="shared" si="67"/>
        <v>4.31435924950126e+19</v>
      </c>
      <c r="T171" s="236">
        <f ca="1">INDEX(Photobiology!$21:$421,1+$H171-380,T$14)</f>
        <v>0.00214531370348768</v>
      </c>
      <c r="U171" s="236">
        <f ca="1">INDEX(Photobiology!$21:$421,1+$H171-380,U$14)</f>
        <v>0.983678989857605</v>
      </c>
      <c r="V171" s="236">
        <f ca="1">INDEX(Photobiology!$21:$421,1+$H171-380,V$14)</f>
        <v>0.817361522420404</v>
      </c>
      <c r="W171" s="236">
        <f ca="1">INDEX(Photobiology!$21:$421,1+$H171-380,W$14)</f>
        <v>0.861411851685007</v>
      </c>
      <c r="X171" s="236">
        <f ca="1">INDEX(Photobiology!$21:$421,1+$H171-380,X$14)</f>
        <v>0.478917924381188</v>
      </c>
      <c r="Y171" s="236">
        <f ca="1" t="shared" si="54"/>
        <v>16.165739738956</v>
      </c>
      <c r="Z171" s="236">
        <f ca="1" t="shared" si="68"/>
        <v>0.0417743386003835</v>
      </c>
      <c r="AA171" s="236">
        <f ca="1" t="shared" si="55"/>
        <v>15.5202810904832</v>
      </c>
      <c r="AB171" s="236">
        <f ca="1" t="shared" si="56"/>
        <v>12.301627793533</v>
      </c>
      <c r="AC171" s="236">
        <f ca="1" t="shared" si="57"/>
        <v>14.4790004821824</v>
      </c>
      <c r="AD171" s="236">
        <f ca="1" t="shared" si="58"/>
        <v>8.39501705121683</v>
      </c>
      <c r="AE171" s="236"/>
      <c r="AF171" s="236"/>
      <c r="AG171" s="236"/>
      <c r="AH171" s="236">
        <f t="shared" si="69"/>
        <v>530</v>
      </c>
      <c r="AI171" s="236">
        <f>IF($AH171&gt;$AH170,INDEX(Spectra!171:171,1,MATCH($AI$20,Spectra!$20:$20,0)),AI170)</f>
        <v>1</v>
      </c>
      <c r="AJ171" s="236">
        <f>((Physics!$C$9*Physics!$C$10)/(Physics!$C$11*Physics!$C$12*$AH171))^($AJ$17-$AJ$18)</f>
        <v>2.66882884369626e+18</v>
      </c>
      <c r="AK171" s="236">
        <f t="shared" si="70"/>
        <v>1</v>
      </c>
      <c r="AL171" s="236">
        <f ca="1">INDEX(Photobiology!$21:$421,1+$AH171-380,10)</f>
        <v>0.862</v>
      </c>
      <c r="AM171" s="236">
        <f ca="1" t="shared" si="71"/>
        <v>13.3319879209511</v>
      </c>
      <c r="AN171" s="236">
        <f ca="1">INDEX(Photobiology!$21:$421,1+$AH171-380,AN$14)</f>
        <v>0.00258412787011016</v>
      </c>
      <c r="AO171" s="236">
        <f ca="1">INDEX(Photobiology!$21:$421,1+$AH171-380,AO$14)</f>
        <v>0.96007243349852</v>
      </c>
      <c r="AP171" s="236">
        <f ca="1">INDEX(Photobiology!$21:$421,1+$AH171-380,AP$14)</f>
        <v>0.760969061248013</v>
      </c>
      <c r="AQ171" s="236">
        <f ca="1">INDEX(Photobiology!$21:$421,1+$AH171-380,AQ$14)</f>
        <v>0.895659630551339</v>
      </c>
      <c r="AR171" s="236">
        <f ca="1">INDEX(Photobiology!$21:$421,1+$AH171-380,AR$14)</f>
        <v>0.51930918020328</v>
      </c>
      <c r="AS171" s="236">
        <f ca="1" t="shared" si="72"/>
        <v>3.55807939072445e+19</v>
      </c>
      <c r="AT171" s="236">
        <f ca="1">INDEX(Photobiology!$21:$421,1+$AH171-380,AT$14)</f>
        <v>0.00214531370348768</v>
      </c>
      <c r="AU171" s="236">
        <f ca="1">INDEX(Photobiology!$21:$421,1+$AH171-380,AU$14)</f>
        <v>0.983678989857605</v>
      </c>
      <c r="AV171" s="236">
        <f ca="1">INDEX(Photobiology!$21:$421,1+$AH171-380,AV$14)</f>
        <v>0.817361522420404</v>
      </c>
      <c r="AW171" s="236">
        <f ca="1">INDEX(Photobiology!$21:$421,1+$AH171-380,AW$14)</f>
        <v>0.861411851685007</v>
      </c>
      <c r="AX171" s="236">
        <f ca="1">INDEX(Photobiology!$21:$421,1+$AH171-380,AX$14)</f>
        <v>0.478917924381188</v>
      </c>
      <c r="AY171" s="236">
        <f ca="1" t="shared" si="59"/>
        <v>13.3319879209511</v>
      </c>
      <c r="AZ171" s="236">
        <f ca="1" t="shared" si="73"/>
        <v>0.0344515615505019</v>
      </c>
      <c r="BA171" s="236">
        <f ca="1" t="shared" si="60"/>
        <v>12.7996740866404</v>
      </c>
      <c r="BB171" s="236">
        <f ca="1" t="shared" si="61"/>
        <v>10.145230332776</v>
      </c>
      <c r="BC171" s="236">
        <f ca="1" t="shared" si="62"/>
        <v>11.940923375794</v>
      </c>
      <c r="BD171" s="236">
        <f ca="1" t="shared" si="63"/>
        <v>6.92342371770917</v>
      </c>
    </row>
    <row r="172" s="234" customFormat="1" ht="0.2" customHeight="1" spans="7:56">
      <c r="G172" s="236"/>
      <c r="H172" s="236">
        <f t="shared" si="64"/>
        <v>531</v>
      </c>
      <c r="I172" s="236">
        <f>IF($H172&gt;$H171,INDEX(Spectra!172:172,1,MATCH($I$20,Spectra!$20:$20,0)),I171)</f>
        <v>15.9799923825239</v>
      </c>
      <c r="J172" s="236">
        <f>((Physics!$C$9*Physics!$C$10)/(Physics!$C$11*Physics!$C$12*$H172))^($J$17-$J$18)</f>
        <v>2.67386436981644e+18</v>
      </c>
      <c r="K172" s="236">
        <f t="shared" si="65"/>
        <v>1</v>
      </c>
      <c r="L172" s="236">
        <f ca="1">INDEX(Photobiology!$21:$421,1+$H172-380,10)</f>
        <v>0.8738108</v>
      </c>
      <c r="M172" s="236">
        <f ca="1" t="shared" si="66"/>
        <v>15.9799923825239</v>
      </c>
      <c r="N172" s="236">
        <f ca="1">INDEX(Photobiology!$21:$421,1+$H172-380,N$14)</f>
        <v>0.0023451358188412</v>
      </c>
      <c r="O172" s="236">
        <f ca="1">INDEX(Photobiology!$21:$421,1+$H172-380,O$14)</f>
        <v>0.964841555143212</v>
      </c>
      <c r="P172" s="236">
        <f ca="1">INDEX(Photobiology!$21:$421,1+$H172-380,P$14)</f>
        <v>0.770096234767972</v>
      </c>
      <c r="Q172" s="236">
        <f ca="1">INDEX(Photobiology!$21:$421,1+$H172-380,Q$14)</f>
        <v>0.884930166345189</v>
      </c>
      <c r="R172" s="236">
        <f ca="1">INDEX(Photobiology!$21:$421,1+$H172-380,R$14)</f>
        <v>0.501593615534354</v>
      </c>
      <c r="S172" s="236">
        <f ca="1" t="shared" si="67"/>
        <v>4.27283322615688e+19</v>
      </c>
      <c r="T172" s="236">
        <f ca="1">INDEX(Photobiology!$21:$421,1+$H172-380,T$14)</f>
        <v>0.00194323871994374</v>
      </c>
      <c r="U172" s="236">
        <f ca="1">INDEX(Photobiology!$21:$421,1+$H172-380,U$14)</f>
        <v>0.98670367109271</v>
      </c>
      <c r="V172" s="236">
        <f ca="1">INDEX(Photobiology!$21:$421,1+$H172-380,V$14)</f>
        <v>0.825607325644725</v>
      </c>
      <c r="W172" s="236">
        <f ca="1">INDEX(Photobiology!$21:$421,1+$H172-380,W$14)</f>
        <v>0.849489844264572</v>
      </c>
      <c r="X172" s="236">
        <f ca="1">INDEX(Photobiology!$21:$421,1+$H172-380,X$14)</f>
        <v>0.461709106190351</v>
      </c>
      <c r="Y172" s="236">
        <f ca="1" t="shared" si="54"/>
        <v>15.9799923825239</v>
      </c>
      <c r="Z172" s="236">
        <f ca="1" t="shared" si="68"/>
        <v>0.0374752525210663</v>
      </c>
      <c r="AA172" s="236">
        <f ca="1" t="shared" si="55"/>
        <v>15.418160701531</v>
      </c>
      <c r="AB172" s="236">
        <f ca="1" t="shared" si="56"/>
        <v>12.3061319654025</v>
      </c>
      <c r="AC172" s="236">
        <f ca="1" t="shared" si="57"/>
        <v>14.1411773172617</v>
      </c>
      <c r="AD172" s="236">
        <f ca="1" t="shared" si="58"/>
        <v>8.0154621553616</v>
      </c>
      <c r="AE172" s="236"/>
      <c r="AF172" s="236"/>
      <c r="AG172" s="236"/>
      <c r="AH172" s="236">
        <f t="shared" si="69"/>
        <v>531</v>
      </c>
      <c r="AI172" s="236">
        <f>IF($AH172&gt;$AH171,INDEX(Spectra!172:172,1,MATCH($AI$20,Spectra!$20:$20,0)),AI171)</f>
        <v>1</v>
      </c>
      <c r="AJ172" s="236">
        <f>((Physics!$C$9*Physics!$C$10)/(Physics!$C$11*Physics!$C$12*$AH172))^($AJ$17-$AJ$18)</f>
        <v>2.67386436981644e+18</v>
      </c>
      <c r="AK172" s="236">
        <f t="shared" si="70"/>
        <v>1</v>
      </c>
      <c r="AL172" s="236">
        <f ca="1">INDEX(Photobiology!$21:$421,1+$AH172-380,10)</f>
        <v>0.8738108</v>
      </c>
      <c r="AM172" s="236">
        <f ca="1" t="shared" si="71"/>
        <v>13.3319879209511</v>
      </c>
      <c r="AN172" s="236">
        <f ca="1">INDEX(Photobiology!$21:$421,1+$AH172-380,AN$14)</f>
        <v>0.0023451358188412</v>
      </c>
      <c r="AO172" s="236">
        <f ca="1">INDEX(Photobiology!$21:$421,1+$AH172-380,AO$14)</f>
        <v>0.964841555143212</v>
      </c>
      <c r="AP172" s="236">
        <f ca="1">INDEX(Photobiology!$21:$421,1+$AH172-380,AP$14)</f>
        <v>0.770096234767972</v>
      </c>
      <c r="AQ172" s="236">
        <f ca="1">INDEX(Photobiology!$21:$421,1+$AH172-380,AQ$14)</f>
        <v>0.884930166345189</v>
      </c>
      <c r="AR172" s="236">
        <f ca="1">INDEX(Photobiology!$21:$421,1+$AH172-380,AR$14)</f>
        <v>0.501593615534354</v>
      </c>
      <c r="AS172" s="236">
        <f ca="1" t="shared" si="72"/>
        <v>3.56479274806544e+19</v>
      </c>
      <c r="AT172" s="236">
        <f ca="1">INDEX(Photobiology!$21:$421,1+$AH172-380,AT$14)</f>
        <v>0.00194323871994374</v>
      </c>
      <c r="AU172" s="236">
        <f ca="1">INDEX(Photobiology!$21:$421,1+$AH172-380,AU$14)</f>
        <v>0.98670367109271</v>
      </c>
      <c r="AV172" s="236">
        <f ca="1">INDEX(Photobiology!$21:$421,1+$AH172-380,AV$14)</f>
        <v>0.825607325644725</v>
      </c>
      <c r="AW172" s="236">
        <f ca="1">INDEX(Photobiology!$21:$421,1+$AH172-380,AW$14)</f>
        <v>0.849489844264572</v>
      </c>
      <c r="AX172" s="236">
        <f ca="1">INDEX(Photobiology!$21:$421,1+$AH172-380,AX$14)</f>
        <v>0.461709106190351</v>
      </c>
      <c r="AY172" s="236">
        <f ca="1" t="shared" si="59"/>
        <v>13.3319879209511</v>
      </c>
      <c r="AZ172" s="236">
        <f ca="1" t="shared" si="73"/>
        <v>0.0312653224097807</v>
      </c>
      <c r="BA172" s="236">
        <f ca="1" t="shared" si="60"/>
        <v>12.863255958801</v>
      </c>
      <c r="BB172" s="236">
        <f ca="1" t="shared" si="61"/>
        <v>10.2669136998966</v>
      </c>
      <c r="BC172" s="236">
        <f ca="1" t="shared" si="62"/>
        <v>11.7978782885993</v>
      </c>
      <c r="BD172" s="236">
        <f ca="1" t="shared" si="63"/>
        <v>6.68724002353022</v>
      </c>
    </row>
    <row r="173" s="234" customFormat="1" ht="0.2" customHeight="1" spans="7:56">
      <c r="G173" s="236"/>
      <c r="H173" s="236">
        <f t="shared" si="64"/>
        <v>532</v>
      </c>
      <c r="I173" s="236">
        <f>IF($H173&gt;$H172,INDEX(Spectra!173:173,1,MATCH($I$20,Spectra!$20:$20,0)),I172)</f>
        <v>15.7396574092444</v>
      </c>
      <c r="J173" s="236">
        <f>((Physics!$C$9*Physics!$C$10)/(Physics!$C$11*Physics!$C$12*$H173))^($J$17-$J$18)</f>
        <v>2.67889989593662e+18</v>
      </c>
      <c r="K173" s="236">
        <f t="shared" si="65"/>
        <v>1</v>
      </c>
      <c r="L173" s="236">
        <f ca="1">INDEX(Photobiology!$21:$421,1+$H173-380,10)</f>
        <v>0.8849624</v>
      </c>
      <c r="M173" s="236">
        <f ca="1" t="shared" si="66"/>
        <v>15.7396574092444</v>
      </c>
      <c r="N173" s="236">
        <f ca="1">INDEX(Photobiology!$21:$421,1+$H173-380,N$14)</f>
        <v>0.00212882028574826</v>
      </c>
      <c r="O173" s="236">
        <f ca="1">INDEX(Photobiology!$21:$421,1+$H173-380,O$14)</f>
        <v>0.969337468144079</v>
      </c>
      <c r="P173" s="236">
        <f ca="1">INDEX(Photobiology!$21:$421,1+$H173-380,P$14)</f>
        <v>0.779128337029443</v>
      </c>
      <c r="Q173" s="236">
        <f ca="1">INDEX(Photobiology!$21:$421,1+$H173-380,Q$14)</f>
        <v>0.873713407108658</v>
      </c>
      <c r="R173" s="236">
        <f ca="1">INDEX(Photobiology!$21:$421,1+$H173-380,R$14)</f>
        <v>0.484037489757115</v>
      </c>
      <c r="S173" s="236">
        <f ca="1" t="shared" si="67"/>
        <v>4.21649665957029e+19</v>
      </c>
      <c r="T173" s="236">
        <f ca="1">INDEX(Photobiology!$21:$421,1+$H173-380,T$14)</f>
        <v>0.00176067843182187</v>
      </c>
      <c r="U173" s="236">
        <f ca="1">INDEX(Photobiology!$21:$421,1+$H173-380,U$14)</f>
        <v>0.989438107318535</v>
      </c>
      <c r="V173" s="236">
        <f ca="1">INDEX(Photobiology!$21:$421,1+$H173-380,V$14)</f>
        <v>0.833720396885719</v>
      </c>
      <c r="W173" s="236">
        <f ca="1">INDEX(Photobiology!$21:$421,1+$H173-380,W$14)</f>
        <v>0.837145756218401</v>
      </c>
      <c r="X173" s="236">
        <f ca="1">INDEX(Photobiology!$21:$421,1+$H173-380,X$14)</f>
        <v>0.444711467953251</v>
      </c>
      <c r="Y173" s="236">
        <f ca="1" t="shared" si="54"/>
        <v>15.7396574092444</v>
      </c>
      <c r="Z173" s="236">
        <f ca="1" t="shared" si="68"/>
        <v>0.0335069019835274</v>
      </c>
      <c r="AA173" s="236">
        <f ca="1" t="shared" si="55"/>
        <v>15.2570396625322</v>
      </c>
      <c r="AB173" s="236">
        <f ca="1" t="shared" si="56"/>
        <v>12.2632131026777</v>
      </c>
      <c r="AC173" s="236">
        <f ca="1" t="shared" si="57"/>
        <v>13.751949701754</v>
      </c>
      <c r="AD173" s="236">
        <f ca="1" t="shared" si="58"/>
        <v>7.61858426200764</v>
      </c>
      <c r="AE173" s="236"/>
      <c r="AF173" s="236"/>
      <c r="AG173" s="236"/>
      <c r="AH173" s="236">
        <f t="shared" si="69"/>
        <v>532</v>
      </c>
      <c r="AI173" s="236">
        <f>IF($AH173&gt;$AH172,INDEX(Spectra!173:173,1,MATCH($AI$20,Spectra!$20:$20,0)),AI172)</f>
        <v>1</v>
      </c>
      <c r="AJ173" s="236">
        <f>((Physics!$C$9*Physics!$C$10)/(Physics!$C$11*Physics!$C$12*$AH173))^($AJ$17-$AJ$18)</f>
        <v>2.67889989593662e+18</v>
      </c>
      <c r="AK173" s="236">
        <f t="shared" si="70"/>
        <v>1</v>
      </c>
      <c r="AL173" s="236">
        <f ca="1">INDEX(Photobiology!$21:$421,1+$AH173-380,10)</f>
        <v>0.8849624</v>
      </c>
      <c r="AM173" s="236">
        <f ca="1" t="shared" si="71"/>
        <v>13.3319879209511</v>
      </c>
      <c r="AN173" s="236">
        <f ca="1">INDEX(Photobiology!$21:$421,1+$AH173-380,AN$14)</f>
        <v>0.00212882028574826</v>
      </c>
      <c r="AO173" s="236">
        <f ca="1">INDEX(Photobiology!$21:$421,1+$AH173-380,AO$14)</f>
        <v>0.969337468144079</v>
      </c>
      <c r="AP173" s="236">
        <f ca="1">INDEX(Photobiology!$21:$421,1+$AH173-380,AP$14)</f>
        <v>0.779128337029443</v>
      </c>
      <c r="AQ173" s="236">
        <f ca="1">INDEX(Photobiology!$21:$421,1+$AH173-380,AQ$14)</f>
        <v>0.873713407108658</v>
      </c>
      <c r="AR173" s="236">
        <f ca="1">INDEX(Photobiology!$21:$421,1+$AH173-380,AR$14)</f>
        <v>0.484037489757115</v>
      </c>
      <c r="AS173" s="236">
        <f ca="1" t="shared" si="72"/>
        <v>3.57150610540643e+19</v>
      </c>
      <c r="AT173" s="236">
        <f ca="1">INDEX(Photobiology!$21:$421,1+$AH173-380,AT$14)</f>
        <v>0.00176067843182187</v>
      </c>
      <c r="AU173" s="236">
        <f ca="1">INDEX(Photobiology!$21:$421,1+$AH173-380,AU$14)</f>
        <v>0.989438107318535</v>
      </c>
      <c r="AV173" s="236">
        <f ca="1">INDEX(Photobiology!$21:$421,1+$AH173-380,AV$14)</f>
        <v>0.833720396885719</v>
      </c>
      <c r="AW173" s="236">
        <f ca="1">INDEX(Photobiology!$21:$421,1+$AH173-380,AW$14)</f>
        <v>0.837145756218401</v>
      </c>
      <c r="AX173" s="236">
        <f ca="1">INDEX(Photobiology!$21:$421,1+$AH173-380,AX$14)</f>
        <v>0.444711467953251</v>
      </c>
      <c r="AY173" s="236">
        <f ca="1" t="shared" si="59"/>
        <v>13.3319879209511</v>
      </c>
      <c r="AZ173" s="236">
        <f ca="1" t="shared" si="73"/>
        <v>0.0283814063354716</v>
      </c>
      <c r="BA173" s="236">
        <f ca="1" t="shared" si="60"/>
        <v>12.9231954166222</v>
      </c>
      <c r="BB173" s="236">
        <f ca="1" t="shared" si="61"/>
        <v>10.3873295781473</v>
      </c>
      <c r="BC173" s="236">
        <f ca="1" t="shared" si="62"/>
        <v>11.6483365899457</v>
      </c>
      <c r="BD173" s="236">
        <f ca="1" t="shared" si="63"/>
        <v>6.45318196672937</v>
      </c>
    </row>
    <row r="174" s="234" customFormat="1" ht="0.2" customHeight="1" spans="7:56">
      <c r="G174" s="236"/>
      <c r="H174" s="236">
        <f t="shared" si="64"/>
        <v>533</v>
      </c>
      <c r="I174" s="236">
        <f>IF($H174&gt;$H173,INDEX(Spectra!174:174,1,MATCH($I$20,Spectra!$20:$20,0)),I173)</f>
        <v>15.4961471155216</v>
      </c>
      <c r="J174" s="236">
        <f>((Physics!$C$9*Physics!$C$10)/(Physics!$C$11*Physics!$C$12*$H174))^($J$17-$J$18)</f>
        <v>2.6839354220568e+18</v>
      </c>
      <c r="K174" s="236">
        <f t="shared" si="65"/>
        <v>1</v>
      </c>
      <c r="L174" s="236">
        <f ca="1">INDEX(Photobiology!$21:$421,1+$H174-380,10)</f>
        <v>0.8954936</v>
      </c>
      <c r="M174" s="236">
        <f ca="1" t="shared" si="66"/>
        <v>15.4961471155216</v>
      </c>
      <c r="N174" s="236">
        <f ca="1">INDEX(Photobiology!$21:$421,1+$H174-380,N$14)</f>
        <v>0.00193298729705466</v>
      </c>
      <c r="O174" s="236">
        <f ca="1">INDEX(Photobiology!$21:$421,1+$H174-380,O$14)</f>
        <v>0.973551656353586</v>
      </c>
      <c r="P174" s="236">
        <f ca="1">INDEX(Photobiology!$21:$421,1+$H174-380,P$14)</f>
        <v>0.788061298622794</v>
      </c>
      <c r="Q174" s="236">
        <f ca="1">INDEX(Photobiology!$21:$421,1+$H174-380,Q$14)</f>
        <v>0.862025275522682</v>
      </c>
      <c r="R174" s="236">
        <f ca="1">INDEX(Photobiology!$21:$421,1+$H174-380,R$14)</f>
        <v>0.466661529365102</v>
      </c>
      <c r="S174" s="236">
        <f ca="1" t="shared" si="67"/>
        <v>4.15906581487517e+19</v>
      </c>
      <c r="T174" s="236">
        <f ca="1">INDEX(Photobiology!$21:$421,1+$H174-380,T$14)</f>
        <v>0.00159571183997008</v>
      </c>
      <c r="U174" s="236">
        <f ca="1">INDEX(Photobiology!$21:$421,1+$H174-380,U$14)</f>
        <v>0.991875255750986</v>
      </c>
      <c r="V174" s="236">
        <f ca="1">INDEX(Photobiology!$21:$421,1+$H174-380,V$14)</f>
        <v>0.841697136852073</v>
      </c>
      <c r="W174" s="236">
        <f ca="1">INDEX(Photobiology!$21:$421,1+$H174-380,W$14)</f>
        <v>0.824397190878146</v>
      </c>
      <c r="X174" s="236">
        <f ca="1">INDEX(Photobiology!$21:$421,1+$H174-380,X$14)</f>
        <v>0.427942827865257</v>
      </c>
      <c r="Y174" s="236">
        <f ca="1" t="shared" si="54"/>
        <v>15.4961471155216</v>
      </c>
      <c r="Z174" s="236">
        <f ca="1" t="shared" si="68"/>
        <v>0.0299538555275935</v>
      </c>
      <c r="AA174" s="236">
        <f ca="1" t="shared" si="55"/>
        <v>15.0862996914149</v>
      </c>
      <c r="AB174" s="236">
        <f ca="1" t="shared" si="56"/>
        <v>12.2119138195078</v>
      </c>
      <c r="AC174" s="236">
        <f ca="1" t="shared" si="57"/>
        <v>13.3580704867975</v>
      </c>
      <c r="AD174" s="236">
        <f ca="1" t="shared" si="58"/>
        <v>7.23145571219592</v>
      </c>
      <c r="AE174" s="236"/>
      <c r="AF174" s="236"/>
      <c r="AG174" s="236"/>
      <c r="AH174" s="236">
        <f t="shared" si="69"/>
        <v>533</v>
      </c>
      <c r="AI174" s="236">
        <f>IF($AH174&gt;$AH173,INDEX(Spectra!174:174,1,MATCH($AI$20,Spectra!$20:$20,0)),AI173)</f>
        <v>1</v>
      </c>
      <c r="AJ174" s="236">
        <f>((Physics!$C$9*Physics!$C$10)/(Physics!$C$11*Physics!$C$12*$AH174))^($AJ$17-$AJ$18)</f>
        <v>2.6839354220568e+18</v>
      </c>
      <c r="AK174" s="236">
        <f t="shared" si="70"/>
        <v>1</v>
      </c>
      <c r="AL174" s="236">
        <f ca="1">INDEX(Photobiology!$21:$421,1+$AH174-380,10)</f>
        <v>0.8954936</v>
      </c>
      <c r="AM174" s="236">
        <f ca="1" t="shared" si="71"/>
        <v>13.3319879209511</v>
      </c>
      <c r="AN174" s="236">
        <f ca="1">INDEX(Photobiology!$21:$421,1+$AH174-380,AN$14)</f>
        <v>0.00193298729705466</v>
      </c>
      <c r="AO174" s="236">
        <f ca="1">INDEX(Photobiology!$21:$421,1+$AH174-380,AO$14)</f>
        <v>0.973551656353586</v>
      </c>
      <c r="AP174" s="236">
        <f ca="1">INDEX(Photobiology!$21:$421,1+$AH174-380,AP$14)</f>
        <v>0.788061298622794</v>
      </c>
      <c r="AQ174" s="236">
        <f ca="1">INDEX(Photobiology!$21:$421,1+$AH174-380,AQ$14)</f>
        <v>0.862025275522682</v>
      </c>
      <c r="AR174" s="236">
        <f ca="1">INDEX(Photobiology!$21:$421,1+$AH174-380,AR$14)</f>
        <v>0.466661529365102</v>
      </c>
      <c r="AS174" s="236">
        <f ca="1" t="shared" si="72"/>
        <v>3.57821946274742e+19</v>
      </c>
      <c r="AT174" s="236">
        <f ca="1">INDEX(Photobiology!$21:$421,1+$AH174-380,AT$14)</f>
        <v>0.00159571183997008</v>
      </c>
      <c r="AU174" s="236">
        <f ca="1">INDEX(Photobiology!$21:$421,1+$AH174-380,AU$14)</f>
        <v>0.991875255750986</v>
      </c>
      <c r="AV174" s="236">
        <f ca="1">INDEX(Photobiology!$21:$421,1+$AH174-380,AV$14)</f>
        <v>0.841697136852073</v>
      </c>
      <c r="AW174" s="236">
        <f ca="1">INDEX(Photobiology!$21:$421,1+$AH174-380,AW$14)</f>
        <v>0.824397190878146</v>
      </c>
      <c r="AX174" s="236">
        <f ca="1">INDEX(Photobiology!$21:$421,1+$AH174-380,AX$14)</f>
        <v>0.427942827865257</v>
      </c>
      <c r="AY174" s="236">
        <f ca="1" t="shared" si="59"/>
        <v>13.3319879209511</v>
      </c>
      <c r="AZ174" s="236">
        <f ca="1" t="shared" si="73"/>
        <v>0.0257705632956847</v>
      </c>
      <c r="BA174" s="236">
        <f ca="1" t="shared" si="60"/>
        <v>12.979378922928</v>
      </c>
      <c r="BB174" s="236">
        <f ca="1" t="shared" si="61"/>
        <v>10.5064237142082</v>
      </c>
      <c r="BC174" s="236">
        <f ca="1" t="shared" si="62"/>
        <v>11.492510560823</v>
      </c>
      <c r="BD174" s="236">
        <f ca="1" t="shared" si="63"/>
        <v>6.22152587266813</v>
      </c>
    </row>
    <row r="175" s="234" customFormat="1" ht="0.2" customHeight="1" spans="7:56">
      <c r="G175" s="236"/>
      <c r="H175" s="236">
        <f t="shared" si="64"/>
        <v>534</v>
      </c>
      <c r="I175" s="236">
        <f>IF($H175&gt;$H174,INDEX(Spectra!175:175,1,MATCH($I$20,Spectra!$20:$20,0)),I174)</f>
        <v>15.1882630123864</v>
      </c>
      <c r="J175" s="236">
        <f>((Physics!$C$9*Physics!$C$10)/(Physics!$C$11*Physics!$C$12*$H175))^($J$17-$J$18)</f>
        <v>2.68897094817699e+18</v>
      </c>
      <c r="K175" s="236">
        <f t="shared" si="65"/>
        <v>1</v>
      </c>
      <c r="L175" s="236">
        <f ca="1">INDEX(Photobiology!$21:$421,1+$H175-380,10)</f>
        <v>0.9054432</v>
      </c>
      <c r="M175" s="236">
        <f ca="1" t="shared" si="66"/>
        <v>15.1882630123864</v>
      </c>
      <c r="N175" s="236">
        <f ca="1">INDEX(Photobiology!$21:$421,1+$H175-380,N$14)</f>
        <v>0.00175565832428224</v>
      </c>
      <c r="O175" s="236">
        <f ca="1">INDEX(Photobiology!$21:$421,1+$H175-380,O$14)</f>
        <v>0.97747351756456</v>
      </c>
      <c r="P175" s="236">
        <f ca="1">INDEX(Photobiology!$21:$421,1+$H175-380,P$14)</f>
        <v>0.796891143162467</v>
      </c>
      <c r="Q175" s="236">
        <f ca="1">INDEX(Photobiology!$21:$421,1+$H175-380,Q$14)</f>
        <v>0.849876850881923</v>
      </c>
      <c r="R175" s="236">
        <f ca="1">INDEX(Photobiology!$21:$421,1+$H175-380,R$14)</f>
        <v>0.449486859608057</v>
      </c>
      <c r="S175" s="236">
        <f ca="1" t="shared" si="67"/>
        <v>4.08407979935782e+19</v>
      </c>
      <c r="T175" s="236">
        <f ca="1">INDEX(Photobiology!$21:$421,1+$H175-380,T$14)</f>
        <v>0.00144660985521383</v>
      </c>
      <c r="U175" s="236">
        <f ca="1">INDEX(Photobiology!$21:$421,1+$H175-380,U$14)</f>
        <v>0.994006005018719</v>
      </c>
      <c r="V175" s="236">
        <f ca="1">INDEX(Photobiology!$21:$421,1+$H175-380,V$14)</f>
        <v>0.849534072382739</v>
      </c>
      <c r="W175" s="236">
        <f ca="1">INDEX(Photobiology!$21:$421,1+$H175-380,W$14)</f>
        <v>0.811256996420763</v>
      </c>
      <c r="X175" s="236">
        <f ca="1">INDEX(Photobiology!$21:$421,1+$H175-380,X$14)</f>
        <v>0.411421235638906</v>
      </c>
      <c r="Y175" s="236">
        <f ca="1" t="shared" si="54"/>
        <v>15.1882630123864</v>
      </c>
      <c r="Z175" s="236">
        <f ca="1" t="shared" si="68"/>
        <v>0.0266654003890842</v>
      </c>
      <c r="AA175" s="236">
        <f ca="1" t="shared" si="55"/>
        <v>14.846124872413</v>
      </c>
      <c r="AB175" s="236">
        <f ca="1" t="shared" si="56"/>
        <v>12.1033922745928</v>
      </c>
      <c r="AC175" s="236">
        <f ca="1" t="shared" si="57"/>
        <v>12.9081531393333</v>
      </c>
      <c r="AD175" s="236">
        <f ca="1" t="shared" si="58"/>
        <v>6.82692464433877</v>
      </c>
      <c r="AE175" s="236"/>
      <c r="AF175" s="236"/>
      <c r="AG175" s="236"/>
      <c r="AH175" s="236">
        <f t="shared" si="69"/>
        <v>534</v>
      </c>
      <c r="AI175" s="236">
        <f>IF($AH175&gt;$AH174,INDEX(Spectra!175:175,1,MATCH($AI$20,Spectra!$20:$20,0)),AI174)</f>
        <v>1</v>
      </c>
      <c r="AJ175" s="236">
        <f>((Physics!$C$9*Physics!$C$10)/(Physics!$C$11*Physics!$C$12*$AH175))^($AJ$17-$AJ$18)</f>
        <v>2.68897094817699e+18</v>
      </c>
      <c r="AK175" s="236">
        <f t="shared" si="70"/>
        <v>1</v>
      </c>
      <c r="AL175" s="236">
        <f ca="1">INDEX(Photobiology!$21:$421,1+$AH175-380,10)</f>
        <v>0.9054432</v>
      </c>
      <c r="AM175" s="236">
        <f ca="1" t="shared" si="71"/>
        <v>13.3319879209511</v>
      </c>
      <c r="AN175" s="236">
        <f ca="1">INDEX(Photobiology!$21:$421,1+$AH175-380,AN$14)</f>
        <v>0.00175565832428224</v>
      </c>
      <c r="AO175" s="236">
        <f ca="1">INDEX(Photobiology!$21:$421,1+$AH175-380,AO$14)</f>
        <v>0.97747351756456</v>
      </c>
      <c r="AP175" s="236">
        <f ca="1">INDEX(Photobiology!$21:$421,1+$AH175-380,AP$14)</f>
        <v>0.796891143162467</v>
      </c>
      <c r="AQ175" s="236">
        <f ca="1">INDEX(Photobiology!$21:$421,1+$AH175-380,AQ$14)</f>
        <v>0.849876850881923</v>
      </c>
      <c r="AR175" s="236">
        <f ca="1">INDEX(Photobiology!$21:$421,1+$AH175-380,AR$14)</f>
        <v>0.449486859608057</v>
      </c>
      <c r="AS175" s="236">
        <f ca="1" t="shared" si="72"/>
        <v>3.58493282008841e+19</v>
      </c>
      <c r="AT175" s="236">
        <f ca="1">INDEX(Photobiology!$21:$421,1+$AH175-380,AT$14)</f>
        <v>0.00144660985521383</v>
      </c>
      <c r="AU175" s="236">
        <f ca="1">INDEX(Photobiology!$21:$421,1+$AH175-380,AU$14)</f>
        <v>0.994006005018719</v>
      </c>
      <c r="AV175" s="236">
        <f ca="1">INDEX(Photobiology!$21:$421,1+$AH175-380,AV$14)</f>
        <v>0.849534072382739</v>
      </c>
      <c r="AW175" s="236">
        <f ca="1">INDEX(Photobiology!$21:$421,1+$AH175-380,AW$14)</f>
        <v>0.811256996420763</v>
      </c>
      <c r="AX175" s="236">
        <f ca="1">INDEX(Photobiology!$21:$421,1+$AH175-380,AX$14)</f>
        <v>0.411421235638906</v>
      </c>
      <c r="AY175" s="236">
        <f ca="1" t="shared" si="59"/>
        <v>13.3319879209511</v>
      </c>
      <c r="AZ175" s="236">
        <f ca="1" t="shared" si="73"/>
        <v>0.0234064155726481</v>
      </c>
      <c r="BA175" s="236">
        <f ca="1" t="shared" si="60"/>
        <v>13.0316651292203</v>
      </c>
      <c r="BB175" s="236">
        <f ca="1" t="shared" si="61"/>
        <v>10.624143094955</v>
      </c>
      <c r="BC175" s="236">
        <f ca="1" t="shared" si="62"/>
        <v>11.3305479102538</v>
      </c>
      <c r="BD175" s="236">
        <f ca="1" t="shared" si="63"/>
        <v>5.99255338292088</v>
      </c>
    </row>
    <row r="176" s="234" customFormat="1" ht="0.2" customHeight="1" spans="7:56">
      <c r="G176" s="236"/>
      <c r="H176" s="236">
        <f t="shared" si="64"/>
        <v>535</v>
      </c>
      <c r="I176" s="236">
        <f>IF($H176&gt;$H175,INDEX(Spectra!176:176,1,MATCH($I$20,Spectra!$20:$20,0)),I175)</f>
        <v>14.9423795593571</v>
      </c>
      <c r="J176" s="236">
        <f>((Physics!$C$9*Physics!$C$10)/(Physics!$C$11*Physics!$C$12*$H176))^($J$17-$J$18)</f>
        <v>2.69400647429717e+18</v>
      </c>
      <c r="K176" s="236">
        <f t="shared" si="65"/>
        <v>1</v>
      </c>
      <c r="L176" s="236">
        <f ca="1">INDEX(Photobiology!$21:$421,1+$H176-380,10)</f>
        <v>0.9148501</v>
      </c>
      <c r="M176" s="236">
        <f ca="1" t="shared" si="66"/>
        <v>14.9423795593571</v>
      </c>
      <c r="N176" s="236">
        <f ca="1">INDEX(Photobiology!$21:$421,1+$H176-380,N$14)</f>
        <v>0.00159505623842678</v>
      </c>
      <c r="O176" s="236">
        <f ca="1">INDEX(Photobiology!$21:$421,1+$H176-380,O$14)</f>
        <v>0.981094859026869</v>
      </c>
      <c r="P176" s="236">
        <f ca="1">INDEX(Photobiology!$21:$421,1+$H176-380,P$14)</f>
        <v>0.805613991092018</v>
      </c>
      <c r="Q176" s="236">
        <f ca="1">INDEX(Photobiology!$21:$421,1+$H176-380,Q$14)</f>
        <v>0.837280544835606</v>
      </c>
      <c r="R176" s="236">
        <f ca="1">INDEX(Photobiology!$21:$421,1+$H176-380,R$14)</f>
        <v>0.432533749491642</v>
      </c>
      <c r="S176" s="236">
        <f ca="1" t="shared" si="67"/>
        <v>4.02548672743137e+19</v>
      </c>
      <c r="T176" s="236">
        <f ca="1">INDEX(Photobiology!$21:$421,1+$H176-380,T$14)</f>
        <v>0.00131182195309866</v>
      </c>
      <c r="U176" s="236">
        <f ca="1">INDEX(Photobiology!$21:$421,1+$H176-380,U$14)</f>
        <v>0.995823757502328</v>
      </c>
      <c r="V176" s="236">
        <f ca="1">INDEX(Photobiology!$21:$421,1+$H176-380,V$14)</f>
        <v>0.857227859316964</v>
      </c>
      <c r="W176" s="236">
        <f ca="1">INDEX(Photobiology!$21:$421,1+$H176-380,W$14)</f>
        <v>0.79773919439495</v>
      </c>
      <c r="X176" s="236">
        <f ca="1">INDEX(Photobiology!$21:$421,1+$H176-380,X$14)</f>
        <v>0.395163823769063</v>
      </c>
      <c r="Y176" s="236">
        <f ca="1" t="shared" si="54"/>
        <v>14.9423795593571</v>
      </c>
      <c r="Z176" s="236">
        <f ca="1" t="shared" si="68"/>
        <v>0.0238339357330933</v>
      </c>
      <c r="AA176" s="236">
        <f ca="1" t="shared" si="55"/>
        <v>14.6598917673134</v>
      </c>
      <c r="AB176" s="236">
        <f ca="1" t="shared" si="56"/>
        <v>12.0377900332255</v>
      </c>
      <c r="AC176" s="236">
        <f ca="1" t="shared" si="57"/>
        <v>12.5109636985989</v>
      </c>
      <c r="AD176" s="236">
        <f ca="1" t="shared" si="58"/>
        <v>6.463083457136</v>
      </c>
      <c r="AE176" s="236"/>
      <c r="AF176" s="236"/>
      <c r="AG176" s="236"/>
      <c r="AH176" s="236">
        <f t="shared" si="69"/>
        <v>535</v>
      </c>
      <c r="AI176" s="236">
        <f>IF($AH176&gt;$AH175,INDEX(Spectra!176:176,1,MATCH($AI$20,Spectra!$20:$20,0)),AI175)</f>
        <v>1</v>
      </c>
      <c r="AJ176" s="236">
        <f>((Physics!$C$9*Physics!$C$10)/(Physics!$C$11*Physics!$C$12*$AH176))^($AJ$17-$AJ$18)</f>
        <v>2.69400647429717e+18</v>
      </c>
      <c r="AK176" s="236">
        <f t="shared" si="70"/>
        <v>1</v>
      </c>
      <c r="AL176" s="236">
        <f ca="1">INDEX(Photobiology!$21:$421,1+$AH176-380,10)</f>
        <v>0.9148501</v>
      </c>
      <c r="AM176" s="236">
        <f ca="1" t="shared" si="71"/>
        <v>13.3319879209511</v>
      </c>
      <c r="AN176" s="236">
        <f ca="1">INDEX(Photobiology!$21:$421,1+$AH176-380,AN$14)</f>
        <v>0.00159505623842678</v>
      </c>
      <c r="AO176" s="236">
        <f ca="1">INDEX(Photobiology!$21:$421,1+$AH176-380,AO$14)</f>
        <v>0.981094859026869</v>
      </c>
      <c r="AP176" s="236">
        <f ca="1">INDEX(Photobiology!$21:$421,1+$AH176-380,AP$14)</f>
        <v>0.805613991092018</v>
      </c>
      <c r="AQ176" s="236">
        <f ca="1">INDEX(Photobiology!$21:$421,1+$AH176-380,AQ$14)</f>
        <v>0.837280544835606</v>
      </c>
      <c r="AR176" s="236">
        <f ca="1">INDEX(Photobiology!$21:$421,1+$AH176-380,AR$14)</f>
        <v>0.432533749491642</v>
      </c>
      <c r="AS176" s="236">
        <f ca="1" t="shared" si="72"/>
        <v>3.5916461774294e+19</v>
      </c>
      <c r="AT176" s="236">
        <f ca="1">INDEX(Photobiology!$21:$421,1+$AH176-380,AT$14)</f>
        <v>0.00131182195309866</v>
      </c>
      <c r="AU176" s="236">
        <f ca="1">INDEX(Photobiology!$21:$421,1+$AH176-380,AU$14)</f>
        <v>0.995823757502328</v>
      </c>
      <c r="AV176" s="236">
        <f ca="1">INDEX(Photobiology!$21:$421,1+$AH176-380,AV$14)</f>
        <v>0.857227859316964</v>
      </c>
      <c r="AW176" s="236">
        <f ca="1">INDEX(Photobiology!$21:$421,1+$AH176-380,AW$14)</f>
        <v>0.79773919439495</v>
      </c>
      <c r="AX176" s="236">
        <f ca="1">INDEX(Photobiology!$21:$421,1+$AH176-380,AX$14)</f>
        <v>0.395163823769063</v>
      </c>
      <c r="AY176" s="236">
        <f ca="1" t="shared" si="59"/>
        <v>13.3319879209511</v>
      </c>
      <c r="AZ176" s="236">
        <f ca="1" t="shared" si="73"/>
        <v>0.0212652705039436</v>
      </c>
      <c r="BA176" s="236">
        <f ca="1" t="shared" si="60"/>
        <v>13.0799448098535</v>
      </c>
      <c r="BB176" s="236">
        <f ca="1" t="shared" si="61"/>
        <v>10.740435998188</v>
      </c>
      <c r="BC176" s="236">
        <f ca="1" t="shared" si="62"/>
        <v>11.1626141101957</v>
      </c>
      <c r="BD176" s="236">
        <f ca="1" t="shared" si="63"/>
        <v>5.76653472362628</v>
      </c>
    </row>
    <row r="177" s="234" customFormat="1" ht="0.2" customHeight="1" spans="7:56">
      <c r="G177" s="236"/>
      <c r="H177" s="236">
        <f t="shared" si="64"/>
        <v>536</v>
      </c>
      <c r="I177" s="236">
        <f>IF($H177&gt;$H176,INDEX(Spectra!177:177,1,MATCH($I$20,Spectra!$20:$20,0)),I176)</f>
        <v>14.6824532478647</v>
      </c>
      <c r="J177" s="236">
        <f>((Physics!$C$9*Physics!$C$10)/(Physics!$C$11*Physics!$C$12*$H177))^($J$17-$J$18)</f>
        <v>2.69904200041735e+18</v>
      </c>
      <c r="K177" s="236">
        <f t="shared" si="65"/>
        <v>1</v>
      </c>
      <c r="L177" s="236">
        <f ca="1">INDEX(Photobiology!$21:$421,1+$H177-380,10)</f>
        <v>0.9237348</v>
      </c>
      <c r="M177" s="236">
        <f ca="1" t="shared" si="66"/>
        <v>14.6824532478647</v>
      </c>
      <c r="N177" s="236">
        <f ca="1">INDEX(Photobiology!$21:$421,1+$H177-380,N$14)</f>
        <v>0.00144955934472236</v>
      </c>
      <c r="O177" s="236">
        <f ca="1">INDEX(Photobiology!$21:$421,1+$H177-380,O$14)</f>
        <v>0.984409961972317</v>
      </c>
      <c r="P177" s="236">
        <f ca="1">INDEX(Photobiology!$21:$421,1+$H177-380,P$14)</f>
        <v>0.81422418849319</v>
      </c>
      <c r="Q177" s="236">
        <f ca="1">INDEX(Photobiology!$21:$421,1+$H177-380,Q$14)</f>
        <v>0.824253879679261</v>
      </c>
      <c r="R177" s="236">
        <f ca="1">INDEX(Photobiology!$21:$421,1+$H177-380,R$14)</f>
        <v>0.415819641834566</v>
      </c>
      <c r="S177" s="236">
        <f ca="1" t="shared" si="67"/>
        <v>3.9628557985151e+19</v>
      </c>
      <c r="T177" s="236">
        <f ca="1">INDEX(Photobiology!$21:$421,1+$H177-380,T$14)</f>
        <v>0.00118993677551836</v>
      </c>
      <c r="U177" s="236">
        <f ca="1">INDEX(Photobiology!$21:$421,1+$H177-380,U$14)</f>
        <v>0.997324471256566</v>
      </c>
      <c r="V177" s="236">
        <f ca="1">INDEX(Photobiology!$21:$421,1+$H177-380,V$14)</f>
        <v>0.864773293931716</v>
      </c>
      <c r="W177" s="236">
        <f ca="1">INDEX(Photobiology!$21:$421,1+$H177-380,W$14)</f>
        <v>0.78386256191778</v>
      </c>
      <c r="X177" s="236">
        <f ca="1">INDEX(Photobiology!$21:$421,1+$H177-380,X$14)</f>
        <v>0.379185019702465</v>
      </c>
      <c r="Y177" s="236">
        <f ca="1" t="shared" si="54"/>
        <v>14.6824532478647</v>
      </c>
      <c r="Z177" s="236">
        <f ca="1" t="shared" si="68"/>
        <v>0.0212830873088914</v>
      </c>
      <c r="AA177" s="236">
        <f ca="1" t="shared" si="55"/>
        <v>14.4535532433908</v>
      </c>
      <c r="AB177" s="236">
        <f ca="1" t="shared" si="56"/>
        <v>11.9548085808318</v>
      </c>
      <c r="AC177" s="236">
        <f ca="1" t="shared" si="57"/>
        <v>12.1020690527618</v>
      </c>
      <c r="AD177" s="236">
        <f ca="1" t="shared" si="58"/>
        <v>6.10525245077986</v>
      </c>
      <c r="AE177" s="236"/>
      <c r="AF177" s="236"/>
      <c r="AG177" s="236"/>
      <c r="AH177" s="236">
        <f t="shared" si="69"/>
        <v>536</v>
      </c>
      <c r="AI177" s="236">
        <f>IF($AH177&gt;$AH176,INDEX(Spectra!177:177,1,MATCH($AI$20,Spectra!$20:$20,0)),AI176)</f>
        <v>1</v>
      </c>
      <c r="AJ177" s="236">
        <f>((Physics!$C$9*Physics!$C$10)/(Physics!$C$11*Physics!$C$12*$AH177))^($AJ$17-$AJ$18)</f>
        <v>2.69904200041735e+18</v>
      </c>
      <c r="AK177" s="236">
        <f t="shared" si="70"/>
        <v>1</v>
      </c>
      <c r="AL177" s="236">
        <f ca="1">INDEX(Photobiology!$21:$421,1+$AH177-380,10)</f>
        <v>0.9237348</v>
      </c>
      <c r="AM177" s="236">
        <f ca="1" t="shared" si="71"/>
        <v>13.3319879209511</v>
      </c>
      <c r="AN177" s="236">
        <f ca="1">INDEX(Photobiology!$21:$421,1+$AH177-380,AN$14)</f>
        <v>0.00144955934472236</v>
      </c>
      <c r="AO177" s="236">
        <f ca="1">INDEX(Photobiology!$21:$421,1+$AH177-380,AO$14)</f>
        <v>0.984409961972317</v>
      </c>
      <c r="AP177" s="236">
        <f ca="1">INDEX(Photobiology!$21:$421,1+$AH177-380,AP$14)</f>
        <v>0.81422418849319</v>
      </c>
      <c r="AQ177" s="236">
        <f ca="1">INDEX(Photobiology!$21:$421,1+$AH177-380,AQ$14)</f>
        <v>0.824253879679261</v>
      </c>
      <c r="AR177" s="236">
        <f ca="1">INDEX(Photobiology!$21:$421,1+$AH177-380,AR$14)</f>
        <v>0.415819641834566</v>
      </c>
      <c r="AS177" s="236">
        <f ca="1" t="shared" si="72"/>
        <v>3.59835953477039e+19</v>
      </c>
      <c r="AT177" s="236">
        <f ca="1">INDEX(Photobiology!$21:$421,1+$AH177-380,AT$14)</f>
        <v>0.00118993677551836</v>
      </c>
      <c r="AU177" s="236">
        <f ca="1">INDEX(Photobiology!$21:$421,1+$AH177-380,AU$14)</f>
        <v>0.997324471256566</v>
      </c>
      <c r="AV177" s="236">
        <f ca="1">INDEX(Photobiology!$21:$421,1+$AH177-380,AV$14)</f>
        <v>0.864773293931716</v>
      </c>
      <c r="AW177" s="236">
        <f ca="1">INDEX(Photobiology!$21:$421,1+$AH177-380,AW$14)</f>
        <v>0.78386256191778</v>
      </c>
      <c r="AX177" s="236">
        <f ca="1">INDEX(Photobiology!$21:$421,1+$AH177-380,AX$14)</f>
        <v>0.379185019702465</v>
      </c>
      <c r="AY177" s="236">
        <f ca="1" t="shared" si="59"/>
        <v>13.3319879209511</v>
      </c>
      <c r="AZ177" s="236">
        <f ca="1" t="shared" si="73"/>
        <v>0.0193255076745404</v>
      </c>
      <c r="BA177" s="236">
        <f ca="1" t="shared" si="60"/>
        <v>13.1241417222789</v>
      </c>
      <c r="BB177" s="236">
        <f ca="1" t="shared" si="61"/>
        <v>10.8552270459375</v>
      </c>
      <c r="BC177" s="236">
        <f ca="1" t="shared" si="62"/>
        <v>10.988942767681</v>
      </c>
      <c r="BD177" s="236">
        <f ca="1" t="shared" si="63"/>
        <v>5.54370244223266</v>
      </c>
    </row>
    <row r="178" s="234" customFormat="1" ht="0.2" customHeight="1" spans="7:56">
      <c r="G178" s="236"/>
      <c r="H178" s="236">
        <f t="shared" si="64"/>
        <v>537</v>
      </c>
      <c r="I178" s="236">
        <f>IF($H178&gt;$H177,INDEX(Spectra!178:178,1,MATCH($I$20,Spectra!$20:$20,0)),I177)</f>
        <v>14.4073270175237</v>
      </c>
      <c r="J178" s="236">
        <f>((Physics!$C$9*Physics!$C$10)/(Physics!$C$11*Physics!$C$12*$H178))^($J$17-$J$18)</f>
        <v>2.70407752653753e+18</v>
      </c>
      <c r="K178" s="236">
        <f t="shared" si="65"/>
        <v>1</v>
      </c>
      <c r="L178" s="236">
        <f ca="1">INDEX(Photobiology!$21:$421,1+$H178-380,10)</f>
        <v>0.9320924</v>
      </c>
      <c r="M178" s="236">
        <f ca="1" t="shared" si="66"/>
        <v>14.4073270175237</v>
      </c>
      <c r="N178" s="236">
        <f ca="1">INDEX(Photobiology!$21:$421,1+$H178-380,N$14)</f>
        <v>0.00131772261668806</v>
      </c>
      <c r="O178" s="236">
        <f ca="1">INDEX(Photobiology!$21:$421,1+$H178-380,O$14)</f>
        <v>0.987404267769688</v>
      </c>
      <c r="P178" s="236">
        <f ca="1">INDEX(Photobiology!$21:$421,1+$H178-380,P$14)</f>
        <v>0.8227180014991</v>
      </c>
      <c r="Q178" s="236">
        <f ca="1">INDEX(Photobiology!$21:$421,1+$H178-380,Q$14)</f>
        <v>0.810811687064396</v>
      </c>
      <c r="R178" s="236">
        <f ca="1">INDEX(Photobiology!$21:$421,1+$H178-380,R$14)</f>
        <v>0.399364079497541</v>
      </c>
      <c r="S178" s="236">
        <f ca="1" t="shared" si="67"/>
        <v>3.89585292055628e+19</v>
      </c>
      <c r="T178" s="236">
        <f ca="1">INDEX(Photobiology!$21:$421,1+$H178-380,T$14)</f>
        <v>0.00107969823341294</v>
      </c>
      <c r="U178" s="236">
        <f ca="1">INDEX(Photobiology!$21:$421,1+$H178-380,U$14)</f>
        <v>0.998495195287819</v>
      </c>
      <c r="V178" s="236">
        <f ca="1">INDEX(Photobiology!$21:$421,1+$H178-380,V$14)</f>
        <v>0.872167246720951</v>
      </c>
      <c r="W178" s="236">
        <f ca="1">INDEX(Photobiology!$21:$421,1+$H178-380,W$14)</f>
        <v>0.769643182211436</v>
      </c>
      <c r="X178" s="236">
        <f ca="1">INDEX(Photobiology!$21:$421,1+$H178-380,X$14)</f>
        <v>0.363501054876384</v>
      </c>
      <c r="Y178" s="236">
        <f ca="1" t="shared" si="54"/>
        <v>14.4073270175237</v>
      </c>
      <c r="Z178" s="236">
        <f ca="1" t="shared" si="68"/>
        <v>0.0189848606570119</v>
      </c>
      <c r="AA178" s="236">
        <f ca="1" t="shared" si="55"/>
        <v>14.2258561842564</v>
      </c>
      <c r="AB178" s="236">
        <f ca="1" t="shared" si="56"/>
        <v>11.8531672908011</v>
      </c>
      <c r="AC178" s="236">
        <f ca="1" t="shared" si="57"/>
        <v>11.6816291251668</v>
      </c>
      <c r="AD178" s="236">
        <f ca="1" t="shared" si="58"/>
        <v>5.75376889237341</v>
      </c>
      <c r="AE178" s="236"/>
      <c r="AF178" s="236"/>
      <c r="AG178" s="236"/>
      <c r="AH178" s="236">
        <f t="shared" si="69"/>
        <v>537</v>
      </c>
      <c r="AI178" s="236">
        <f>IF($AH178&gt;$AH177,INDEX(Spectra!178:178,1,MATCH($AI$20,Spectra!$20:$20,0)),AI177)</f>
        <v>1</v>
      </c>
      <c r="AJ178" s="236">
        <f>((Physics!$C$9*Physics!$C$10)/(Physics!$C$11*Physics!$C$12*$AH178))^($AJ$17-$AJ$18)</f>
        <v>2.70407752653753e+18</v>
      </c>
      <c r="AK178" s="236">
        <f t="shared" si="70"/>
        <v>1</v>
      </c>
      <c r="AL178" s="236">
        <f ca="1">INDEX(Photobiology!$21:$421,1+$AH178-380,10)</f>
        <v>0.9320924</v>
      </c>
      <c r="AM178" s="236">
        <f ca="1" t="shared" si="71"/>
        <v>13.3319879209511</v>
      </c>
      <c r="AN178" s="236">
        <f ca="1">INDEX(Photobiology!$21:$421,1+$AH178-380,AN$14)</f>
        <v>0.00131772261668806</v>
      </c>
      <c r="AO178" s="236">
        <f ca="1">INDEX(Photobiology!$21:$421,1+$AH178-380,AO$14)</f>
        <v>0.987404267769688</v>
      </c>
      <c r="AP178" s="236">
        <f ca="1">INDEX(Photobiology!$21:$421,1+$AH178-380,AP$14)</f>
        <v>0.8227180014991</v>
      </c>
      <c r="AQ178" s="236">
        <f ca="1">INDEX(Photobiology!$21:$421,1+$AH178-380,AQ$14)</f>
        <v>0.810811687064396</v>
      </c>
      <c r="AR178" s="236">
        <f ca="1">INDEX(Photobiology!$21:$421,1+$AH178-380,AR$14)</f>
        <v>0.399364079497541</v>
      </c>
      <c r="AS178" s="236">
        <f ca="1" t="shared" si="72"/>
        <v>3.60507289211138e+19</v>
      </c>
      <c r="AT178" s="236">
        <f ca="1">INDEX(Photobiology!$21:$421,1+$AH178-380,AT$14)</f>
        <v>0.00107969823341294</v>
      </c>
      <c r="AU178" s="236">
        <f ca="1">INDEX(Photobiology!$21:$421,1+$AH178-380,AU$14)</f>
        <v>0.998495195287819</v>
      </c>
      <c r="AV178" s="236">
        <f ca="1">INDEX(Photobiology!$21:$421,1+$AH178-380,AV$14)</f>
        <v>0.872167246720951</v>
      </c>
      <c r="AW178" s="236">
        <f ca="1">INDEX(Photobiology!$21:$421,1+$AH178-380,AW$14)</f>
        <v>0.769643182211436</v>
      </c>
      <c r="AX178" s="236">
        <f ca="1">INDEX(Photobiology!$21:$421,1+$AH178-380,AX$14)</f>
        <v>0.363501054876384</v>
      </c>
      <c r="AY178" s="236">
        <f ca="1" t="shared" si="59"/>
        <v>13.3319879209511</v>
      </c>
      <c r="AZ178" s="236">
        <f ca="1" t="shared" si="73"/>
        <v>0.0175678620088493</v>
      </c>
      <c r="BA178" s="236">
        <f ca="1" t="shared" si="60"/>
        <v>13.1640617710011</v>
      </c>
      <c r="BB178" s="236">
        <f ca="1" t="shared" si="61"/>
        <v>10.9684664583351</v>
      </c>
      <c r="BC178" s="236">
        <f ca="1" t="shared" si="62"/>
        <v>10.8097316181085</v>
      </c>
      <c r="BD178" s="236">
        <f ca="1" t="shared" si="63"/>
        <v>5.32431708392299</v>
      </c>
    </row>
    <row r="179" s="234" customFormat="1" ht="0.2" customHeight="1" spans="7:56">
      <c r="G179" s="236"/>
      <c r="H179" s="236">
        <f t="shared" si="64"/>
        <v>538</v>
      </c>
      <c r="I179" s="236">
        <f>IF($H179&gt;$H178,INDEX(Spectra!179:179,1,MATCH($I$20,Spectra!$20:$20,0)),I178)</f>
        <v>14.1778046301307</v>
      </c>
      <c r="J179" s="236">
        <f>((Physics!$C$9*Physics!$C$10)/(Physics!$C$11*Physics!$C$12*$H179))^($J$17-$J$18)</f>
        <v>2.70911305265771e+18</v>
      </c>
      <c r="K179" s="236">
        <f t="shared" si="65"/>
        <v>1</v>
      </c>
      <c r="L179" s="236">
        <f ca="1">INDEX(Photobiology!$21:$421,1+$H179-380,10)</f>
        <v>0.9399226</v>
      </c>
      <c r="M179" s="236">
        <f ca="1" t="shared" si="66"/>
        <v>14.1778046301307</v>
      </c>
      <c r="N179" s="236">
        <f ca="1">INDEX(Photobiology!$21:$421,1+$H179-380,N$14)</f>
        <v>0.00119822947912134</v>
      </c>
      <c r="O179" s="236">
        <f ca="1">INDEX(Photobiology!$21:$421,1+$H179-380,O$14)</f>
        <v>0.990072504954008</v>
      </c>
      <c r="P179" s="236">
        <f ca="1">INDEX(Photobiology!$21:$421,1+$H179-380,P$14)</f>
        <v>0.831089891417855</v>
      </c>
      <c r="Q179" s="236">
        <f ca="1">INDEX(Photobiology!$21:$421,1+$H179-380,Q$14)</f>
        <v>0.796973718375477</v>
      </c>
      <c r="R179" s="236">
        <f ca="1">INDEX(Photobiology!$21:$421,1+$H179-380,R$14)</f>
        <v>0.383182794190754</v>
      </c>
      <c r="S179" s="236">
        <f ca="1" t="shared" si="67"/>
        <v>3.8409275581518e+19</v>
      </c>
      <c r="T179" s="236">
        <f ca="1">INDEX(Photobiology!$21:$421,1+$H179-380,T$14)</f>
        <v>0.000979964629764665</v>
      </c>
      <c r="U179" s="236">
        <f ca="1">INDEX(Photobiology!$21:$421,1+$H179-380,U$14)</f>
        <v>0.99933244891958</v>
      </c>
      <c r="V179" s="236">
        <f ca="1">INDEX(Photobiology!$21:$421,1+$H179-380,V$14)</f>
        <v>0.879404701699119</v>
      </c>
      <c r="W179" s="236">
        <f ca="1">INDEX(Photobiology!$21:$421,1+$H179-380,W$14)</f>
        <v>0.755101680176363</v>
      </c>
      <c r="X179" s="236">
        <f ca="1">INDEX(Photobiology!$21:$421,1+$H179-380,X$14)</f>
        <v>0.348124577588078</v>
      </c>
      <c r="Y179" s="236">
        <f ca="1" t="shared" si="54"/>
        <v>14.1778046301307</v>
      </c>
      <c r="Z179" s="236">
        <f ca="1" t="shared" si="68"/>
        <v>0.0169882634570456</v>
      </c>
      <c r="AA179" s="236">
        <f ca="1" t="shared" si="55"/>
        <v>14.037054544902</v>
      </c>
      <c r="AB179" s="236">
        <f ca="1" t="shared" si="56"/>
        <v>11.7830301105989</v>
      </c>
      <c r="AC179" s="236">
        <f ca="1" t="shared" si="57"/>
        <v>11.2993376744763</v>
      </c>
      <c r="AD179" s="236">
        <f ca="1" t="shared" si="58"/>
        <v>5.43269079366409</v>
      </c>
      <c r="AE179" s="236"/>
      <c r="AF179" s="236"/>
      <c r="AG179" s="236"/>
      <c r="AH179" s="236">
        <f t="shared" si="69"/>
        <v>538</v>
      </c>
      <c r="AI179" s="236">
        <f>IF($AH179&gt;$AH178,INDEX(Spectra!179:179,1,MATCH($AI$20,Spectra!$20:$20,0)),AI178)</f>
        <v>1</v>
      </c>
      <c r="AJ179" s="236">
        <f>((Physics!$C$9*Physics!$C$10)/(Physics!$C$11*Physics!$C$12*$AH179))^($AJ$17-$AJ$18)</f>
        <v>2.70911305265771e+18</v>
      </c>
      <c r="AK179" s="236">
        <f t="shared" si="70"/>
        <v>1</v>
      </c>
      <c r="AL179" s="236">
        <f ca="1">INDEX(Photobiology!$21:$421,1+$AH179-380,10)</f>
        <v>0.9399226</v>
      </c>
      <c r="AM179" s="236">
        <f ca="1" t="shared" si="71"/>
        <v>13.3319879209511</v>
      </c>
      <c r="AN179" s="236">
        <f ca="1">INDEX(Photobiology!$21:$421,1+$AH179-380,AN$14)</f>
        <v>0.00119822947912134</v>
      </c>
      <c r="AO179" s="236">
        <f ca="1">INDEX(Photobiology!$21:$421,1+$AH179-380,AO$14)</f>
        <v>0.990072504954008</v>
      </c>
      <c r="AP179" s="236">
        <f ca="1">INDEX(Photobiology!$21:$421,1+$AH179-380,AP$14)</f>
        <v>0.831089891417855</v>
      </c>
      <c r="AQ179" s="236">
        <f ca="1">INDEX(Photobiology!$21:$421,1+$AH179-380,AQ$14)</f>
        <v>0.796973718375477</v>
      </c>
      <c r="AR179" s="236">
        <f ca="1">INDEX(Photobiology!$21:$421,1+$AH179-380,AR$14)</f>
        <v>0.383182794190754</v>
      </c>
      <c r="AS179" s="236">
        <f ca="1" t="shared" si="72"/>
        <v>3.61178624945237e+19</v>
      </c>
      <c r="AT179" s="236">
        <f ca="1">INDEX(Photobiology!$21:$421,1+$AH179-380,AT$14)</f>
        <v>0.000979964629764665</v>
      </c>
      <c r="AU179" s="236">
        <f ca="1">INDEX(Photobiology!$21:$421,1+$AH179-380,AU$14)</f>
        <v>0.99933244891958</v>
      </c>
      <c r="AV179" s="236">
        <f ca="1">INDEX(Photobiology!$21:$421,1+$AH179-380,AV$14)</f>
        <v>0.879404701699119</v>
      </c>
      <c r="AW179" s="236">
        <f ca="1">INDEX(Photobiology!$21:$421,1+$AH179-380,AW$14)</f>
        <v>0.755101680176363</v>
      </c>
      <c r="AX179" s="236">
        <f ca="1">INDEX(Photobiology!$21:$421,1+$AH179-380,AX$14)</f>
        <v>0.348124577588078</v>
      </c>
      <c r="AY179" s="236">
        <f ca="1" t="shared" si="59"/>
        <v>13.3319879209511</v>
      </c>
      <c r="AZ179" s="236">
        <f ca="1" t="shared" si="73"/>
        <v>0.0159747809421733</v>
      </c>
      <c r="BA179" s="236">
        <f ca="1" t="shared" si="60"/>
        <v>13.1996346769127</v>
      </c>
      <c r="BB179" s="236">
        <f ca="1" t="shared" si="61"/>
        <v>11.0800803936074</v>
      </c>
      <c r="BC179" s="236">
        <f ca="1" t="shared" si="62"/>
        <v>10.6252439866974</v>
      </c>
      <c r="BD179" s="236">
        <f ca="1" t="shared" si="63"/>
        <v>5.10858838366744</v>
      </c>
    </row>
    <row r="180" s="234" customFormat="1" ht="0.2" customHeight="1" spans="7:56">
      <c r="G180" s="236"/>
      <c r="H180" s="236">
        <f t="shared" si="64"/>
        <v>539</v>
      </c>
      <c r="I180" s="236">
        <f>IF($H180&gt;$H179,INDEX(Spectra!180:180,1,MATCH($I$20,Spectra!$20:$20,0)),I179)</f>
        <v>13.9416519846046</v>
      </c>
      <c r="J180" s="236">
        <f>((Physics!$C$9*Physics!$C$10)/(Physics!$C$11*Physics!$C$12*$H180))^($J$17-$J$18)</f>
        <v>2.71414857877789e+18</v>
      </c>
      <c r="K180" s="236">
        <f t="shared" si="65"/>
        <v>1</v>
      </c>
      <c r="L180" s="236">
        <f ca="1">INDEX(Photobiology!$21:$421,1+$H180-380,10)</f>
        <v>0.9472252</v>
      </c>
      <c r="M180" s="236">
        <f ca="1" t="shared" si="66"/>
        <v>13.9416519846046</v>
      </c>
      <c r="N180" s="236">
        <f ca="1">INDEX(Photobiology!$21:$421,1+$H180-380,N$14)</f>
        <v>0.00108989585270783</v>
      </c>
      <c r="O180" s="236">
        <f ca="1">INDEX(Photobiology!$21:$421,1+$H180-380,O$14)</f>
        <v>0.992405128658636</v>
      </c>
      <c r="P180" s="236">
        <f ca="1">INDEX(Photobiology!$21:$421,1+$H180-380,P$14)</f>
        <v>0.839338220884226</v>
      </c>
      <c r="Q180" s="236">
        <f ca="1">INDEX(Photobiology!$21:$421,1+$H180-380,Q$14)</f>
        <v>0.782757071926594</v>
      </c>
      <c r="R180" s="236">
        <f ca="1">INDEX(Photobiology!$21:$421,1+$H180-380,R$14)</f>
        <v>0.367292449023292</v>
      </c>
      <c r="S180" s="236">
        <f ca="1" t="shared" si="67"/>
        <v>3.78397149198305e+19</v>
      </c>
      <c r="T180" s="236">
        <f ca="1">INDEX(Photobiology!$21:$421,1+$H180-380,T$14)</f>
        <v>0.000889710900169657</v>
      </c>
      <c r="U180" s="236">
        <f ca="1">INDEX(Photobiology!$21:$421,1+$H180-380,U$14)</f>
        <v>0.999828471938596</v>
      </c>
      <c r="V180" s="236">
        <f ca="1">INDEX(Photobiology!$21:$421,1+$H180-380,V$14)</f>
        <v>0.886484800573661</v>
      </c>
      <c r="W180" s="236">
        <f ca="1">INDEX(Photobiology!$21:$421,1+$H180-380,W$14)</f>
        <v>0.740256018634863</v>
      </c>
      <c r="X180" s="236">
        <f ca="1">INDEX(Photobiology!$21:$421,1+$H180-380,X$14)</f>
        <v>0.333068986883194</v>
      </c>
      <c r="Y180" s="236">
        <f ca="1" t="shared" si="54"/>
        <v>13.9416519846046</v>
      </c>
      <c r="Z180" s="236">
        <f ca="1" t="shared" si="68"/>
        <v>0.0151949486779164</v>
      </c>
      <c r="AA180" s="236">
        <f ca="1" t="shared" si="55"/>
        <v>13.8357669314955</v>
      </c>
      <c r="AB180" s="236">
        <f ca="1" t="shared" si="56"/>
        <v>11.7017613729451</v>
      </c>
      <c r="AC180" s="236">
        <f ca="1" t="shared" si="57"/>
        <v>10.9129266852887</v>
      </c>
      <c r="AD180" s="236">
        <f ca="1" t="shared" si="58"/>
        <v>5.12066350085586</v>
      </c>
      <c r="AE180" s="236"/>
      <c r="AF180" s="236"/>
      <c r="AG180" s="236"/>
      <c r="AH180" s="236">
        <f t="shared" si="69"/>
        <v>539</v>
      </c>
      <c r="AI180" s="236">
        <f>IF($AH180&gt;$AH179,INDEX(Spectra!180:180,1,MATCH($AI$20,Spectra!$20:$20,0)),AI179)</f>
        <v>1</v>
      </c>
      <c r="AJ180" s="236">
        <f>((Physics!$C$9*Physics!$C$10)/(Physics!$C$11*Physics!$C$12*$AH180))^($AJ$17-$AJ$18)</f>
        <v>2.71414857877789e+18</v>
      </c>
      <c r="AK180" s="236">
        <f t="shared" si="70"/>
        <v>1</v>
      </c>
      <c r="AL180" s="236">
        <f ca="1">INDEX(Photobiology!$21:$421,1+$AH180-380,10)</f>
        <v>0.9472252</v>
      </c>
      <c r="AM180" s="236">
        <f ca="1" t="shared" si="71"/>
        <v>13.3319879209511</v>
      </c>
      <c r="AN180" s="236">
        <f ca="1">INDEX(Photobiology!$21:$421,1+$AH180-380,AN$14)</f>
        <v>0.00108989585270783</v>
      </c>
      <c r="AO180" s="236">
        <f ca="1">INDEX(Photobiology!$21:$421,1+$AH180-380,AO$14)</f>
        <v>0.992405128658636</v>
      </c>
      <c r="AP180" s="236">
        <f ca="1">INDEX(Photobiology!$21:$421,1+$AH180-380,AP$14)</f>
        <v>0.839338220884226</v>
      </c>
      <c r="AQ180" s="236">
        <f ca="1">INDEX(Photobiology!$21:$421,1+$AH180-380,AQ$14)</f>
        <v>0.782757071926594</v>
      </c>
      <c r="AR180" s="236">
        <f ca="1">INDEX(Photobiology!$21:$421,1+$AH180-380,AR$14)</f>
        <v>0.367292449023292</v>
      </c>
      <c r="AS180" s="236">
        <f ca="1" t="shared" si="72"/>
        <v>3.61849960679336e+19</v>
      </c>
      <c r="AT180" s="236">
        <f ca="1">INDEX(Photobiology!$21:$421,1+$AH180-380,AT$14)</f>
        <v>0.000889710900169657</v>
      </c>
      <c r="AU180" s="236">
        <f ca="1">INDEX(Photobiology!$21:$421,1+$AH180-380,AU$14)</f>
        <v>0.999828471938596</v>
      </c>
      <c r="AV180" s="236">
        <f ca="1">INDEX(Photobiology!$21:$421,1+$AH180-380,AV$14)</f>
        <v>0.886484800573661</v>
      </c>
      <c r="AW180" s="236">
        <f ca="1">INDEX(Photobiology!$21:$421,1+$AH180-380,AW$14)</f>
        <v>0.740256018634863</v>
      </c>
      <c r="AX180" s="236">
        <f ca="1">INDEX(Photobiology!$21:$421,1+$AH180-380,AX$14)</f>
        <v>0.333068986883194</v>
      </c>
      <c r="AY180" s="236">
        <f ca="1" t="shared" si="59"/>
        <v>13.3319879209511</v>
      </c>
      <c r="AZ180" s="236">
        <f ca="1" t="shared" si="73"/>
        <v>0.0145304783433955</v>
      </c>
      <c r="BA180" s="236">
        <f ca="1" t="shared" si="60"/>
        <v>13.2307331879669</v>
      </c>
      <c r="BB180" s="236">
        <f ca="1" t="shared" si="61"/>
        <v>11.1900470224211</v>
      </c>
      <c r="BC180" s="236">
        <f ca="1" t="shared" si="62"/>
        <v>10.4357078279644</v>
      </c>
      <c r="BD180" s="236">
        <f ca="1" t="shared" si="63"/>
        <v>4.89673849383509</v>
      </c>
    </row>
    <row r="181" s="234" customFormat="1" ht="0.2" customHeight="1" spans="7:56">
      <c r="G181" s="236"/>
      <c r="H181" s="236">
        <f t="shared" si="64"/>
        <v>540</v>
      </c>
      <c r="I181" s="236">
        <f>IF($H181&gt;$H180,INDEX(Spectra!181:181,1,MATCH($I$20,Spectra!$20:$20,0)),I180)</f>
        <v>13.7342320006437</v>
      </c>
      <c r="J181" s="236">
        <f>((Physics!$C$9*Physics!$C$10)/(Physics!$C$11*Physics!$C$12*$H181))^($J$17-$J$18)</f>
        <v>2.71918410489808e+18</v>
      </c>
      <c r="K181" s="236">
        <f t="shared" si="65"/>
        <v>1</v>
      </c>
      <c r="L181" s="236">
        <f ca="1">INDEX(Photobiology!$21:$421,1+$H181-380,10)</f>
        <v>0.954</v>
      </c>
      <c r="M181" s="236">
        <f ca="1" t="shared" si="66"/>
        <v>13.7342320006437</v>
      </c>
      <c r="N181" s="236">
        <f ca="1">INDEX(Photobiology!$21:$421,1+$H181-380,N$14)</f>
        <v>0.000991658183095973</v>
      </c>
      <c r="O181" s="236">
        <f ca="1">INDEX(Photobiology!$21:$421,1+$H181-380,O$14)</f>
        <v>0.994392866188597</v>
      </c>
      <c r="P181" s="236">
        <f ca="1">INDEX(Photobiology!$21:$421,1+$H181-380,P$14)</f>
        <v>0.847453738697725</v>
      </c>
      <c r="Q181" s="236">
        <f ca="1">INDEX(Photobiology!$21:$421,1+$H181-380,Q$14)</f>
        <v>0.768181776099377</v>
      </c>
      <c r="R181" s="236">
        <f ca="1">INDEX(Photobiology!$21:$421,1+$H181-380,R$14)</f>
        <v>0.351706990171937</v>
      </c>
      <c r="S181" s="236">
        <f ca="1" t="shared" si="67"/>
        <v>3.73459053491329e+19</v>
      </c>
      <c r="T181" s="236">
        <f ca="1">INDEX(Photobiology!$21:$421,1+$H181-380,T$14)</f>
        <v>0.000808017778818941</v>
      </c>
      <c r="U181" s="236">
        <f ca="1">INDEX(Photobiology!$21:$421,1+$H181-380,U$14)</f>
        <v>0.999975835314435</v>
      </c>
      <c r="V181" s="236">
        <f ca="1">INDEX(Photobiology!$21:$421,1+$H181-380,V$14)</f>
        <v>0.89339866478841</v>
      </c>
      <c r="W181" s="236">
        <f ca="1">INDEX(Photobiology!$21:$421,1+$H181-380,W$14)</f>
        <v>0.725126793194674</v>
      </c>
      <c r="X181" s="236">
        <f ca="1">INDEX(Photobiology!$21:$421,1+$H181-380,X$14)</f>
        <v>0.318345123342904</v>
      </c>
      <c r="Y181" s="236">
        <f ca="1" t="shared" si="54"/>
        <v>13.7342320006437</v>
      </c>
      <c r="Z181" s="236">
        <f ca="1" t="shared" si="68"/>
        <v>0.0136196635519769</v>
      </c>
      <c r="AA181" s="236">
        <f ca="1" t="shared" si="55"/>
        <v>13.6572223240192</v>
      </c>
      <c r="AB181" s="236">
        <f ca="1" t="shared" si="56"/>
        <v>11.6391262570874</v>
      </c>
      <c r="AC181" s="236">
        <f ca="1" t="shared" si="57"/>
        <v>10.5503867316154</v>
      </c>
      <c r="AD181" s="236">
        <f ca="1" t="shared" si="58"/>
        <v>4.8304253992695</v>
      </c>
      <c r="AE181" s="236"/>
      <c r="AF181" s="236"/>
      <c r="AG181" s="236"/>
      <c r="AH181" s="236">
        <f t="shared" si="69"/>
        <v>540</v>
      </c>
      <c r="AI181" s="236">
        <f>IF($AH181&gt;$AH180,INDEX(Spectra!181:181,1,MATCH($AI$20,Spectra!$20:$20,0)),AI180)</f>
        <v>1</v>
      </c>
      <c r="AJ181" s="236">
        <f>((Physics!$C$9*Physics!$C$10)/(Physics!$C$11*Physics!$C$12*$AH181))^($AJ$17-$AJ$18)</f>
        <v>2.71918410489808e+18</v>
      </c>
      <c r="AK181" s="236">
        <f t="shared" si="70"/>
        <v>1</v>
      </c>
      <c r="AL181" s="236">
        <f ca="1">INDEX(Photobiology!$21:$421,1+$AH181-380,10)</f>
        <v>0.954</v>
      </c>
      <c r="AM181" s="236">
        <f ca="1" t="shared" si="71"/>
        <v>13.3319879209511</v>
      </c>
      <c r="AN181" s="236">
        <f ca="1">INDEX(Photobiology!$21:$421,1+$AH181-380,AN$14)</f>
        <v>0.000991658183095973</v>
      </c>
      <c r="AO181" s="236">
        <f ca="1">INDEX(Photobiology!$21:$421,1+$AH181-380,AO$14)</f>
        <v>0.994392866188597</v>
      </c>
      <c r="AP181" s="236">
        <f ca="1">INDEX(Photobiology!$21:$421,1+$AH181-380,AP$14)</f>
        <v>0.847453738697725</v>
      </c>
      <c r="AQ181" s="236">
        <f ca="1">INDEX(Photobiology!$21:$421,1+$AH181-380,AQ$14)</f>
        <v>0.768181776099377</v>
      </c>
      <c r="AR181" s="236">
        <f ca="1">INDEX(Photobiology!$21:$421,1+$AH181-380,AR$14)</f>
        <v>0.351706990171937</v>
      </c>
      <c r="AS181" s="236">
        <f ca="1" t="shared" si="72"/>
        <v>3.62521296413435e+19</v>
      </c>
      <c r="AT181" s="236">
        <f ca="1">INDEX(Photobiology!$21:$421,1+$AH181-380,AT$14)</f>
        <v>0.000808017778818941</v>
      </c>
      <c r="AU181" s="236">
        <f ca="1">INDEX(Photobiology!$21:$421,1+$AH181-380,AU$14)</f>
        <v>0.999975835314435</v>
      </c>
      <c r="AV181" s="236">
        <f ca="1">INDEX(Photobiology!$21:$421,1+$AH181-380,AV$14)</f>
        <v>0.89339866478841</v>
      </c>
      <c r="AW181" s="236">
        <f ca="1">INDEX(Photobiology!$21:$421,1+$AH181-380,AW$14)</f>
        <v>0.725126793194674</v>
      </c>
      <c r="AX181" s="236">
        <f ca="1">INDEX(Photobiology!$21:$421,1+$AH181-380,AX$14)</f>
        <v>0.318345123342904</v>
      </c>
      <c r="AY181" s="236">
        <f ca="1" t="shared" si="59"/>
        <v>13.3319879209511</v>
      </c>
      <c r="AZ181" s="236">
        <f ca="1" t="shared" si="73"/>
        <v>0.0132207749187479</v>
      </c>
      <c r="BA181" s="236">
        <f ca="1" t="shared" si="60"/>
        <v>13.2572336807064</v>
      </c>
      <c r="BB181" s="236">
        <f ca="1" t="shared" si="61"/>
        <v>11.298243007883</v>
      </c>
      <c r="BC181" s="236">
        <f ca="1" t="shared" si="62"/>
        <v>10.2413901600517</v>
      </c>
      <c r="BD181" s="236">
        <f ca="1" t="shared" si="63"/>
        <v>4.68895334468635</v>
      </c>
    </row>
    <row r="182" s="234" customFormat="1" ht="0.2" customHeight="1" spans="7:56">
      <c r="G182" s="236"/>
      <c r="H182" s="236">
        <f t="shared" si="64"/>
        <v>541</v>
      </c>
      <c r="I182" s="236">
        <f>IF($H182&gt;$H181,INDEX(Spectra!182:182,1,MATCH($I$20,Spectra!$20:$20,0)),I181)</f>
        <v>13.5224540604334</v>
      </c>
      <c r="J182" s="236">
        <f>((Physics!$C$9*Physics!$C$10)/(Physics!$C$11*Physics!$C$12*$H182))^($J$17-$J$18)</f>
        <v>2.72421963101826e+18</v>
      </c>
      <c r="K182" s="236">
        <f t="shared" si="65"/>
        <v>1</v>
      </c>
      <c r="L182" s="236">
        <f ca="1">INDEX(Photobiology!$21:$421,1+$H182-380,10)</f>
        <v>0.9602561</v>
      </c>
      <c r="M182" s="236">
        <f ca="1" t="shared" si="66"/>
        <v>13.5224540604334</v>
      </c>
      <c r="N182" s="236">
        <f ca="1">INDEX(Photobiology!$21:$421,1+$H182-380,N$14)</f>
        <v>0.00090275728136526</v>
      </c>
      <c r="O182" s="236">
        <f ca="1">INDEX(Photobiology!$21:$421,1+$H182-380,O$14)</f>
        <v>0.996258408730505</v>
      </c>
      <c r="P182" s="236">
        <f ca="1">INDEX(Photobiology!$21:$421,1+$H182-380,P$14)</f>
        <v>0.8556319635645</v>
      </c>
      <c r="Q182" s="236">
        <f ca="1">INDEX(Photobiology!$21:$421,1+$H182-380,Q$14)</f>
        <v>0.753442301991216</v>
      </c>
      <c r="R182" s="236">
        <f ca="1">INDEX(Photobiology!$21:$421,1+$H182-380,R$14)</f>
        <v>0.336518543066459</v>
      </c>
      <c r="S182" s="236">
        <f ca="1" t="shared" si="67"/>
        <v>3.68381348109752e+19</v>
      </c>
      <c r="T182" s="236">
        <f ca="1">INDEX(Photobiology!$21:$421,1+$H182-380,T$14)</f>
        <v>0.00073422033974254</v>
      </c>
      <c r="U182" s="236">
        <f ca="1">INDEX(Photobiology!$21:$421,1+$H182-380,U$14)</f>
        <v>1</v>
      </c>
      <c r="V182" s="236">
        <f ca="1">INDEX(Photobiology!$21:$421,1+$H182-380,V$14)</f>
        <v>0.90035295397018</v>
      </c>
      <c r="W182" s="236">
        <f ca="1">INDEX(Photobiology!$21:$421,1+$H182-380,W$14)</f>
        <v>0.709898808379054</v>
      </c>
      <c r="X182" s="236">
        <f ca="1">INDEX(Photobiology!$21:$421,1+$H182-380,X$14)</f>
        <v>0.30403437999938</v>
      </c>
      <c r="Y182" s="236">
        <f ca="1" t="shared" si="54"/>
        <v>13.5224540604334</v>
      </c>
      <c r="Z182" s="236">
        <f ca="1" t="shared" si="68"/>
        <v>0.0122074938649835</v>
      </c>
      <c r="AA182" s="236">
        <f ca="1" t="shared" si="55"/>
        <v>13.4718585643787</v>
      </c>
      <c r="AB182" s="236">
        <f ca="1" t="shared" si="56"/>
        <v>11.5702439199394</v>
      </c>
      <c r="AC182" s="236">
        <f ca="1" t="shared" si="57"/>
        <v>10.1883889158634</v>
      </c>
      <c r="AD182" s="236">
        <f ca="1" t="shared" si="58"/>
        <v>4.55055653910017</v>
      </c>
      <c r="AE182" s="236"/>
      <c r="AF182" s="236"/>
      <c r="AG182" s="236"/>
      <c r="AH182" s="236">
        <f t="shared" si="69"/>
        <v>541</v>
      </c>
      <c r="AI182" s="236">
        <f>IF($AH182&gt;$AH181,INDEX(Spectra!182:182,1,MATCH($AI$20,Spectra!$20:$20,0)),AI181)</f>
        <v>1</v>
      </c>
      <c r="AJ182" s="236">
        <f>((Physics!$C$9*Physics!$C$10)/(Physics!$C$11*Physics!$C$12*$AH182))^($AJ$17-$AJ$18)</f>
        <v>2.72421963101826e+18</v>
      </c>
      <c r="AK182" s="236">
        <f t="shared" si="70"/>
        <v>1</v>
      </c>
      <c r="AL182" s="236">
        <f ca="1">INDEX(Photobiology!$21:$421,1+$AH182-380,10)</f>
        <v>0.9602561</v>
      </c>
      <c r="AM182" s="236">
        <f ca="1" t="shared" si="71"/>
        <v>13.3319879209511</v>
      </c>
      <c r="AN182" s="236">
        <f ca="1">INDEX(Photobiology!$21:$421,1+$AH182-380,AN$14)</f>
        <v>0.00090275728136526</v>
      </c>
      <c r="AO182" s="236">
        <f ca="1">INDEX(Photobiology!$21:$421,1+$AH182-380,AO$14)</f>
        <v>0.996258408730505</v>
      </c>
      <c r="AP182" s="236">
        <f ca="1">INDEX(Photobiology!$21:$421,1+$AH182-380,AP$14)</f>
        <v>0.8556319635645</v>
      </c>
      <c r="AQ182" s="236">
        <f ca="1">INDEX(Photobiology!$21:$421,1+$AH182-380,AQ$14)</f>
        <v>0.753442301991216</v>
      </c>
      <c r="AR182" s="236">
        <f ca="1">INDEX(Photobiology!$21:$421,1+$AH182-380,AR$14)</f>
        <v>0.336518543066459</v>
      </c>
      <c r="AS182" s="236">
        <f ca="1" t="shared" si="72"/>
        <v>3.63192632147534e+19</v>
      </c>
      <c r="AT182" s="236">
        <f ca="1">INDEX(Photobiology!$21:$421,1+$AH182-380,AT$14)</f>
        <v>0.00073422033974254</v>
      </c>
      <c r="AU182" s="236">
        <f ca="1">INDEX(Photobiology!$21:$421,1+$AH182-380,AU$14)</f>
        <v>1</v>
      </c>
      <c r="AV182" s="236">
        <f ca="1">INDEX(Photobiology!$21:$421,1+$AH182-380,AV$14)</f>
        <v>0.90035295397018</v>
      </c>
      <c r="AW182" s="236">
        <f ca="1">INDEX(Photobiology!$21:$421,1+$AH182-380,AW$14)</f>
        <v>0.709898808379054</v>
      </c>
      <c r="AX182" s="236">
        <f ca="1">INDEX(Photobiology!$21:$421,1+$AH182-380,AX$14)</f>
        <v>0.30403437999938</v>
      </c>
      <c r="AY182" s="236">
        <f ca="1" t="shared" si="59"/>
        <v>13.3319879209511</v>
      </c>
      <c r="AZ182" s="236">
        <f ca="1" t="shared" si="73"/>
        <v>0.0120355491707123</v>
      </c>
      <c r="BA182" s="236">
        <f ca="1" t="shared" si="60"/>
        <v>13.2821050713411</v>
      </c>
      <c r="BB182" s="236">
        <f ca="1" t="shared" si="61"/>
        <v>11.4072750030216</v>
      </c>
      <c r="BC182" s="236">
        <f ca="1" t="shared" si="62"/>
        <v>10.0448836692805</v>
      </c>
      <c r="BD182" s="236">
        <f ca="1" t="shared" si="63"/>
        <v>4.48646115133811</v>
      </c>
    </row>
    <row r="183" s="234" customFormat="1" ht="0.2" customHeight="1" spans="7:56">
      <c r="G183" s="236"/>
      <c r="H183" s="236">
        <f t="shared" si="64"/>
        <v>542</v>
      </c>
      <c r="I183" s="236">
        <f>IF($H183&gt;$H182,INDEX(Spectra!183:183,1,MATCH($I$20,Spectra!$20:$20,0)),I182)</f>
        <v>13.3251333705177</v>
      </c>
      <c r="J183" s="236">
        <f>((Physics!$C$9*Physics!$C$10)/(Physics!$C$11*Physics!$C$12*$H183))^($J$17-$J$18)</f>
        <v>2.72925515713844e+18</v>
      </c>
      <c r="K183" s="236">
        <f t="shared" si="65"/>
        <v>1</v>
      </c>
      <c r="L183" s="236">
        <f ca="1">INDEX(Photobiology!$21:$421,1+$H183-380,10)</f>
        <v>0.9660074</v>
      </c>
      <c r="M183" s="236">
        <f ca="1" t="shared" si="66"/>
        <v>13.3251333705177</v>
      </c>
      <c r="N183" s="236">
        <f ca="1">INDEX(Photobiology!$21:$421,1+$H183-380,N$14)</f>
        <v>0.000822076057862873</v>
      </c>
      <c r="O183" s="236">
        <f ca="1">INDEX(Photobiology!$21:$421,1+$H183-380,O$14)</f>
        <v>0.997759795132159</v>
      </c>
      <c r="P183" s="236">
        <f ca="1">INDEX(Photobiology!$21:$421,1+$H183-380,P$14)</f>
        <v>0.863672317944597</v>
      </c>
      <c r="Q183" s="236">
        <f ca="1">INDEX(Photobiology!$21:$421,1+$H183-380,Q$14)</f>
        <v>0.738381828147484</v>
      </c>
      <c r="R183" s="236">
        <f ca="1">INDEX(Photobiology!$21:$421,1+$H183-380,R$14)</f>
        <v>0.321655513466122</v>
      </c>
      <c r="S183" s="236">
        <f ca="1" t="shared" si="67"/>
        <v>3.6367688971043e+19</v>
      </c>
      <c r="T183" s="236">
        <f ca="1">INDEX(Photobiology!$21:$421,1+$H183-380,T$14)</f>
        <v>0.000667368017453255</v>
      </c>
      <c r="U183" s="236">
        <f ca="1">INDEX(Photobiology!$21:$421,1+$H183-380,U$14)</f>
        <v>0.999659226134262</v>
      </c>
      <c r="V183" s="236">
        <f ca="1">INDEX(Photobiology!$21:$421,1+$H183-380,V$14)</f>
        <v>0.907136772726126</v>
      </c>
      <c r="W183" s="236">
        <f ca="1">INDEX(Photobiology!$21:$421,1+$H183-380,W$14)</f>
        <v>0.69442512513005</v>
      </c>
      <c r="X183" s="236">
        <f ca="1">INDEX(Photobiology!$21:$421,1+$H183-380,X$14)</f>
        <v>0.290069906308544</v>
      </c>
      <c r="Y183" s="236">
        <f ca="1" t="shared" si="54"/>
        <v>13.3251333705177</v>
      </c>
      <c r="Z183" s="236">
        <f ca="1" t="shared" si="68"/>
        <v>0.0109542731117322</v>
      </c>
      <c r="AA183" s="236">
        <f ca="1" t="shared" si="55"/>
        <v>13.2952823418764</v>
      </c>
      <c r="AB183" s="236">
        <f ca="1" t="shared" si="56"/>
        <v>11.5085488250359</v>
      </c>
      <c r="AC183" s="236">
        <f ca="1" t="shared" si="57"/>
        <v>9.8390363384319</v>
      </c>
      <c r="AD183" s="236">
        <f ca="1" t="shared" si="58"/>
        <v>4.28610261629843</v>
      </c>
      <c r="AE183" s="236"/>
      <c r="AF183" s="236"/>
      <c r="AG183" s="236"/>
      <c r="AH183" s="236">
        <f t="shared" si="69"/>
        <v>542</v>
      </c>
      <c r="AI183" s="236">
        <f>IF($AH183&gt;$AH182,INDEX(Spectra!183:183,1,MATCH($AI$20,Spectra!$20:$20,0)),AI182)</f>
        <v>1</v>
      </c>
      <c r="AJ183" s="236">
        <f>((Physics!$C$9*Physics!$C$10)/(Physics!$C$11*Physics!$C$12*$AH183))^($AJ$17-$AJ$18)</f>
        <v>2.72925515713844e+18</v>
      </c>
      <c r="AK183" s="236">
        <f t="shared" si="70"/>
        <v>1</v>
      </c>
      <c r="AL183" s="236">
        <f ca="1">INDEX(Photobiology!$21:$421,1+$AH183-380,10)</f>
        <v>0.9660074</v>
      </c>
      <c r="AM183" s="236">
        <f ca="1" t="shared" si="71"/>
        <v>13.3319879209511</v>
      </c>
      <c r="AN183" s="236">
        <f ca="1">INDEX(Photobiology!$21:$421,1+$AH183-380,AN$14)</f>
        <v>0.000822076057862873</v>
      </c>
      <c r="AO183" s="236">
        <f ca="1">INDEX(Photobiology!$21:$421,1+$AH183-380,AO$14)</f>
        <v>0.997759795132159</v>
      </c>
      <c r="AP183" s="236">
        <f ca="1">INDEX(Photobiology!$21:$421,1+$AH183-380,AP$14)</f>
        <v>0.863672317944597</v>
      </c>
      <c r="AQ183" s="236">
        <f ca="1">INDEX(Photobiology!$21:$421,1+$AH183-380,AQ$14)</f>
        <v>0.738381828147484</v>
      </c>
      <c r="AR183" s="236">
        <f ca="1">INDEX(Photobiology!$21:$421,1+$AH183-380,AR$14)</f>
        <v>0.321655513466122</v>
      </c>
      <c r="AS183" s="236">
        <f ca="1" t="shared" si="72"/>
        <v>3.63863967881633e+19</v>
      </c>
      <c r="AT183" s="236">
        <f ca="1">INDEX(Photobiology!$21:$421,1+$AH183-380,AT$14)</f>
        <v>0.000667368017453255</v>
      </c>
      <c r="AU183" s="236">
        <f ca="1">INDEX(Photobiology!$21:$421,1+$AH183-380,AU$14)</f>
        <v>0.999659226134262</v>
      </c>
      <c r="AV183" s="236">
        <f ca="1">INDEX(Photobiology!$21:$421,1+$AH183-380,AV$14)</f>
        <v>0.907136772726126</v>
      </c>
      <c r="AW183" s="236">
        <f ca="1">INDEX(Photobiology!$21:$421,1+$AH183-380,AW$14)</f>
        <v>0.69442512513005</v>
      </c>
      <c r="AX183" s="236">
        <f ca="1">INDEX(Photobiology!$21:$421,1+$AH183-380,AX$14)</f>
        <v>0.290069906308544</v>
      </c>
      <c r="AY183" s="236">
        <f ca="1" t="shared" si="59"/>
        <v>13.3319879209511</v>
      </c>
      <c r="AZ183" s="236">
        <f ca="1" t="shared" si="73"/>
        <v>0.010959908073531</v>
      </c>
      <c r="BA183" s="236">
        <f ca="1" t="shared" si="60"/>
        <v>13.3021215367126</v>
      </c>
      <c r="BB183" s="236">
        <f ca="1" t="shared" si="61"/>
        <v>11.5144689104972</v>
      </c>
      <c r="BC183" s="236">
        <f ca="1" t="shared" si="62"/>
        <v>9.84409761391208</v>
      </c>
      <c r="BD183" s="236">
        <f ca="1" t="shared" si="63"/>
        <v>4.28830742023768</v>
      </c>
    </row>
    <row r="184" s="234" customFormat="1" ht="0.2" customHeight="1" spans="7:56">
      <c r="G184" s="236"/>
      <c r="H184" s="236">
        <f t="shared" si="64"/>
        <v>543</v>
      </c>
      <c r="I184" s="236">
        <f>IF($H184&gt;$H183,INDEX(Spectra!184:184,1,MATCH($I$20,Spectra!$20:$20,0)),I183)</f>
        <v>13.1210174182503</v>
      </c>
      <c r="J184" s="236">
        <f>((Physics!$C$9*Physics!$C$10)/(Physics!$C$11*Physics!$C$12*$H184))^($J$17-$J$18)</f>
        <v>2.73429068325862e+18</v>
      </c>
      <c r="K184" s="236">
        <f t="shared" si="65"/>
        <v>1</v>
      </c>
      <c r="L184" s="236">
        <f ca="1">INDEX(Photobiology!$21:$421,1+$H184-380,10)</f>
        <v>0.9712606</v>
      </c>
      <c r="M184" s="236">
        <f ca="1" t="shared" si="66"/>
        <v>13.1210174182503</v>
      </c>
      <c r="N184" s="236">
        <f ca="1">INDEX(Photobiology!$21:$421,1+$H184-380,N$14)</f>
        <v>0.000748836491809493</v>
      </c>
      <c r="O184" s="236">
        <f ca="1">INDEX(Photobiology!$21:$421,1+$H184-380,O$14)</f>
        <v>0.998888469608137</v>
      </c>
      <c r="P184" s="236">
        <f ca="1">INDEX(Photobiology!$21:$421,1+$H184-380,P$14)</f>
        <v>0.871573465588087</v>
      </c>
      <c r="Q184" s="236">
        <f ca="1">INDEX(Photobiology!$21:$421,1+$H184-380,Q$14)</f>
        <v>0.723019482564033</v>
      </c>
      <c r="R184" s="236">
        <f ca="1">INDEX(Photobiology!$21:$421,1+$H184-380,R$14)</f>
        <v>0.307129830449247</v>
      </c>
      <c r="S184" s="236">
        <f ca="1" t="shared" si="67"/>
        <v>3.58766756815959e+19</v>
      </c>
      <c r="T184" s="236">
        <f ca="1">INDEX(Photobiology!$21:$421,1+$H184-380,T$14)</f>
        <v>0.000606792000729608</v>
      </c>
      <c r="U184" s="236">
        <f ca="1">INDEX(Photobiology!$21:$421,1+$H184-380,U$14)</f>
        <v>0.998946973665784</v>
      </c>
      <c r="V184" s="236">
        <f ca="1">INDEX(Photobiology!$21:$421,1+$H184-380,V$14)</f>
        <v>0.913749661969582</v>
      </c>
      <c r="W184" s="236">
        <f ca="1">INDEX(Photobiology!$21:$421,1+$H184-380,W$14)</f>
        <v>0.678725057052819</v>
      </c>
      <c r="X184" s="236">
        <f ca="1">INDEX(Photobiology!$21:$421,1+$H184-380,X$14)</f>
        <v>0.276460527045421</v>
      </c>
      <c r="Y184" s="236">
        <f ca="1" t="shared" si="54"/>
        <v>13.1210174182503</v>
      </c>
      <c r="Z184" s="236">
        <f ca="1" t="shared" si="68"/>
        <v>0.00982549665245381</v>
      </c>
      <c r="AA184" s="236">
        <f ca="1" t="shared" si="55"/>
        <v>13.1064330086178</v>
      </c>
      <c r="AB184" s="236">
        <f ca="1" t="shared" si="56"/>
        <v>11.4359306232661</v>
      </c>
      <c r="AC184" s="236">
        <f ca="1" t="shared" si="57"/>
        <v>9.486751224457</v>
      </c>
      <c r="AD184" s="236">
        <f ca="1" t="shared" si="58"/>
        <v>4.02985585498883</v>
      </c>
      <c r="AE184" s="236"/>
      <c r="AF184" s="236"/>
      <c r="AG184" s="236"/>
      <c r="AH184" s="236">
        <f t="shared" si="69"/>
        <v>543</v>
      </c>
      <c r="AI184" s="236">
        <f>IF($AH184&gt;$AH183,INDEX(Spectra!184:184,1,MATCH($AI$20,Spectra!$20:$20,0)),AI183)</f>
        <v>1</v>
      </c>
      <c r="AJ184" s="236">
        <f>((Physics!$C$9*Physics!$C$10)/(Physics!$C$11*Physics!$C$12*$AH184))^($AJ$17-$AJ$18)</f>
        <v>2.73429068325862e+18</v>
      </c>
      <c r="AK184" s="236">
        <f t="shared" si="70"/>
        <v>1</v>
      </c>
      <c r="AL184" s="236">
        <f ca="1">INDEX(Photobiology!$21:$421,1+$AH184-380,10)</f>
        <v>0.9712606</v>
      </c>
      <c r="AM184" s="236">
        <f ca="1" t="shared" si="71"/>
        <v>13.3319879209511</v>
      </c>
      <c r="AN184" s="236">
        <f ca="1">INDEX(Photobiology!$21:$421,1+$AH184-380,AN$14)</f>
        <v>0.000748836491809493</v>
      </c>
      <c r="AO184" s="236">
        <f ca="1">INDEX(Photobiology!$21:$421,1+$AH184-380,AO$14)</f>
        <v>0.998888469608137</v>
      </c>
      <c r="AP184" s="236">
        <f ca="1">INDEX(Photobiology!$21:$421,1+$AH184-380,AP$14)</f>
        <v>0.871573465588087</v>
      </c>
      <c r="AQ184" s="236">
        <f ca="1">INDEX(Photobiology!$21:$421,1+$AH184-380,AQ$14)</f>
        <v>0.723019482564033</v>
      </c>
      <c r="AR184" s="236">
        <f ca="1">INDEX(Photobiology!$21:$421,1+$AH184-380,AR$14)</f>
        <v>0.307129830449247</v>
      </c>
      <c r="AS184" s="236">
        <f ca="1" t="shared" si="72"/>
        <v>3.64535303615732e+19</v>
      </c>
      <c r="AT184" s="236">
        <f ca="1">INDEX(Photobiology!$21:$421,1+$AH184-380,AT$14)</f>
        <v>0.000606792000729608</v>
      </c>
      <c r="AU184" s="236">
        <f ca="1">INDEX(Photobiology!$21:$421,1+$AH184-380,AU$14)</f>
        <v>0.998946973665784</v>
      </c>
      <c r="AV184" s="236">
        <f ca="1">INDEX(Photobiology!$21:$421,1+$AH184-380,AV$14)</f>
        <v>0.913749661969582</v>
      </c>
      <c r="AW184" s="236">
        <f ca="1">INDEX(Photobiology!$21:$421,1+$AH184-380,AW$14)</f>
        <v>0.678725057052819</v>
      </c>
      <c r="AX184" s="236">
        <f ca="1">INDEX(Photobiology!$21:$421,1+$AH184-380,AX$14)</f>
        <v>0.276460527045421</v>
      </c>
      <c r="AY184" s="236">
        <f ca="1" t="shared" si="59"/>
        <v>13.3319879209511</v>
      </c>
      <c r="AZ184" s="236">
        <f ca="1" t="shared" si="73"/>
        <v>0.00998347906357159</v>
      </c>
      <c r="BA184" s="236">
        <f ca="1" t="shared" si="60"/>
        <v>13.3171690111931</v>
      </c>
      <c r="BB184" s="236">
        <f ca="1" t="shared" si="61"/>
        <v>11.6198069154419</v>
      </c>
      <c r="BC184" s="236">
        <f ca="1" t="shared" si="62"/>
        <v>9.63928700815603</v>
      </c>
      <c r="BD184" s="236">
        <f ca="1" t="shared" si="63"/>
        <v>4.09465118971313</v>
      </c>
    </row>
    <row r="185" s="234" customFormat="1" ht="0.2" customHeight="1" spans="7:56">
      <c r="G185" s="236"/>
      <c r="H185" s="236">
        <f t="shared" si="64"/>
        <v>544</v>
      </c>
      <c r="I185" s="236">
        <f>IF($H185&gt;$H184,INDEX(Spectra!185:185,1,MATCH($I$20,Spectra!$20:$20,0)),I184)</f>
        <v>12.9421111596411</v>
      </c>
      <c r="J185" s="236">
        <f>((Physics!$C$9*Physics!$C$10)/(Physics!$C$11*Physics!$C$12*$H185))^($J$17-$J$18)</f>
        <v>2.7393262093788e+18</v>
      </c>
      <c r="K185" s="236">
        <f t="shared" si="65"/>
        <v>1</v>
      </c>
      <c r="L185" s="236">
        <f ca="1">INDEX(Photobiology!$21:$421,1+$H185-380,10)</f>
        <v>0.9760225</v>
      </c>
      <c r="M185" s="236">
        <f ca="1" t="shared" si="66"/>
        <v>12.9421111596411</v>
      </c>
      <c r="N185" s="236">
        <f ca="1">INDEX(Photobiology!$21:$421,1+$H185-380,N$14)</f>
        <v>0.000682333980729232</v>
      </c>
      <c r="O185" s="236">
        <f ca="1">INDEX(Photobiology!$21:$421,1+$H185-380,O$14)</f>
        <v>0.99963855947577</v>
      </c>
      <c r="P185" s="236">
        <f ca="1">INDEX(Photobiology!$21:$421,1+$H185-380,P$14)</f>
        <v>0.879326172888958</v>
      </c>
      <c r="Q185" s="236">
        <f ca="1">INDEX(Photobiology!$21:$421,1+$H185-380,Q$14)</f>
        <v>0.707380363721742</v>
      </c>
      <c r="R185" s="236">
        <f ca="1">INDEX(Photobiology!$21:$421,1+$H185-380,R$14)</f>
        <v>0.292953033875259</v>
      </c>
      <c r="S185" s="236">
        <f ca="1" t="shared" si="67"/>
        <v>3.54526643042987e+19</v>
      </c>
      <c r="T185" s="236">
        <f ca="1">INDEX(Photobiology!$21:$421,1+$H185-380,T$14)</f>
        <v>0.000551887778530997</v>
      </c>
      <c r="U185" s="236">
        <f ca="1">INDEX(Photobiology!$21:$421,1+$H185-380,U$14)</f>
        <v>0.997859428959179</v>
      </c>
      <c r="V185" s="236">
        <f ca="1">INDEX(Photobiology!$21:$421,1+$H185-380,V$14)</f>
        <v>0.920182901693221</v>
      </c>
      <c r="W185" s="236">
        <f ca="1">INDEX(Photobiology!$21:$421,1+$H185-380,W$14)</f>
        <v>0.662823370152447</v>
      </c>
      <c r="X185" s="236">
        <f ca="1">INDEX(Photobiology!$21:$421,1+$H185-380,X$14)</f>
        <v>0.263214652388653</v>
      </c>
      <c r="Y185" s="236">
        <f ca="1" t="shared" si="54"/>
        <v>12.9421111596411</v>
      </c>
      <c r="Z185" s="236">
        <f ca="1" t="shared" si="68"/>
        <v>0.00883084222659813</v>
      </c>
      <c r="AA185" s="236">
        <f ca="1" t="shared" si="55"/>
        <v>12.9374333561989</v>
      </c>
      <c r="AB185" s="236">
        <f ca="1" t="shared" si="56"/>
        <v>11.3803370751107</v>
      </c>
      <c r="AC185" s="236">
        <f ca="1" t="shared" si="57"/>
        <v>9.15499529943414</v>
      </c>
      <c r="AD185" s="236">
        <f ca="1" t="shared" si="58"/>
        <v>3.79143072896771</v>
      </c>
      <c r="AE185" s="236"/>
      <c r="AF185" s="236"/>
      <c r="AG185" s="236"/>
      <c r="AH185" s="236">
        <f t="shared" si="69"/>
        <v>544</v>
      </c>
      <c r="AI185" s="236">
        <f>IF($AH185&gt;$AH184,INDEX(Spectra!185:185,1,MATCH($AI$20,Spectra!$20:$20,0)),AI184)</f>
        <v>1</v>
      </c>
      <c r="AJ185" s="236">
        <f>((Physics!$C$9*Physics!$C$10)/(Physics!$C$11*Physics!$C$12*$AH185))^($AJ$17-$AJ$18)</f>
        <v>2.7393262093788e+18</v>
      </c>
      <c r="AK185" s="236">
        <f t="shared" si="70"/>
        <v>1</v>
      </c>
      <c r="AL185" s="236">
        <f ca="1">INDEX(Photobiology!$21:$421,1+$AH185-380,10)</f>
        <v>0.9760225</v>
      </c>
      <c r="AM185" s="236">
        <f ca="1" t="shared" si="71"/>
        <v>13.3319879209511</v>
      </c>
      <c r="AN185" s="236">
        <f ca="1">INDEX(Photobiology!$21:$421,1+$AH185-380,AN$14)</f>
        <v>0.000682333980729232</v>
      </c>
      <c r="AO185" s="236">
        <f ca="1">INDEX(Photobiology!$21:$421,1+$AH185-380,AO$14)</f>
        <v>0.99963855947577</v>
      </c>
      <c r="AP185" s="236">
        <f ca="1">INDEX(Photobiology!$21:$421,1+$AH185-380,AP$14)</f>
        <v>0.879326172888958</v>
      </c>
      <c r="AQ185" s="236">
        <f ca="1">INDEX(Photobiology!$21:$421,1+$AH185-380,AQ$14)</f>
        <v>0.707380363721742</v>
      </c>
      <c r="AR185" s="236">
        <f ca="1">INDEX(Photobiology!$21:$421,1+$AH185-380,AR$14)</f>
        <v>0.292953033875259</v>
      </c>
      <c r="AS185" s="236">
        <f ca="1" t="shared" si="72"/>
        <v>3.65206639349831e+19</v>
      </c>
      <c r="AT185" s="236">
        <f ca="1">INDEX(Photobiology!$21:$421,1+$AH185-380,AT$14)</f>
        <v>0.000551887778530997</v>
      </c>
      <c r="AU185" s="236">
        <f ca="1">INDEX(Photobiology!$21:$421,1+$AH185-380,AU$14)</f>
        <v>0.997859428959179</v>
      </c>
      <c r="AV185" s="236">
        <f ca="1">INDEX(Photobiology!$21:$421,1+$AH185-380,AV$14)</f>
        <v>0.920182901693221</v>
      </c>
      <c r="AW185" s="236">
        <f ca="1">INDEX(Photobiology!$21:$421,1+$AH185-380,AW$14)</f>
        <v>0.662823370152447</v>
      </c>
      <c r="AX185" s="236">
        <f ca="1">INDEX(Photobiology!$21:$421,1+$AH185-380,AX$14)</f>
        <v>0.263214652388653</v>
      </c>
      <c r="AY185" s="236">
        <f ca="1" t="shared" si="59"/>
        <v>13.3319879209511</v>
      </c>
      <c r="AZ185" s="236">
        <f ca="1" t="shared" si="73"/>
        <v>0.00909686838913663</v>
      </c>
      <c r="BA185" s="236">
        <f ca="1" t="shared" si="60"/>
        <v>13.327169200248</v>
      </c>
      <c r="BB185" s="236">
        <f ca="1" t="shared" si="61"/>
        <v>11.7231659155318</v>
      </c>
      <c r="BC185" s="236">
        <f ca="1" t="shared" si="62"/>
        <v>9.43078646465629</v>
      </c>
      <c r="BD185" s="236">
        <f ca="1" t="shared" si="63"/>
        <v>3.90564630903094</v>
      </c>
    </row>
    <row r="186" s="234" customFormat="1" ht="0.2" customHeight="1" spans="7:56">
      <c r="G186" s="236"/>
      <c r="H186" s="236">
        <f t="shared" si="64"/>
        <v>545</v>
      </c>
      <c r="I186" s="236">
        <f>IF($H186&gt;$H185,INDEX(Spectra!186:186,1,MATCH($I$20,Spectra!$20:$20,0)),I185)</f>
        <v>12.7799981670772</v>
      </c>
      <c r="J186" s="236">
        <f>((Physics!$C$9*Physics!$C$10)/(Physics!$C$11*Physics!$C$12*$H186))^($J$17-$J$18)</f>
        <v>2.74436173549898e+18</v>
      </c>
      <c r="K186" s="236">
        <f t="shared" si="65"/>
        <v>1</v>
      </c>
      <c r="L186" s="236">
        <f ca="1">INDEX(Photobiology!$21:$421,1+$H186-380,10)</f>
        <v>0.9803</v>
      </c>
      <c r="M186" s="236">
        <f ca="1" t="shared" si="66"/>
        <v>12.7799981670772</v>
      </c>
      <c r="N186" s="236">
        <f ca="1">INDEX(Photobiology!$21:$421,1+$H186-380,N$14)</f>
        <v>0.000621929274875535</v>
      </c>
      <c r="O186" s="236">
        <f ca="1">INDEX(Photobiology!$21:$421,1+$H186-380,O$14)</f>
        <v>1</v>
      </c>
      <c r="P186" s="236">
        <f ca="1">INDEX(Photobiology!$21:$421,1+$H186-380,P$14)</f>
        <v>0.886927253289122</v>
      </c>
      <c r="Q186" s="236">
        <f ca="1">INDEX(Photobiology!$21:$421,1+$H186-380,Q$14)</f>
        <v>0.69148696854127</v>
      </c>
      <c r="R186" s="236">
        <f ca="1">INDEX(Photobiology!$21:$421,1+$H186-380,R$14)</f>
        <v>0.279135453164856</v>
      </c>
      <c r="S186" s="236">
        <f ca="1" t="shared" si="67"/>
        <v>3.50729379494738e+19</v>
      </c>
      <c r="T186" s="236">
        <f ca="1">INDEX(Photobiology!$21:$421,1+$H186-380,T$14)</f>
        <v>0.000502108038431625</v>
      </c>
      <c r="U186" s="236">
        <f ca="1">INDEX(Photobiology!$21:$421,1+$H186-380,U$14)</f>
        <v>0.996388629455711</v>
      </c>
      <c r="V186" s="236">
        <f ca="1">INDEX(Photobiology!$21:$421,1+$H186-380,V$14)</f>
        <v>0.926434152294746</v>
      </c>
      <c r="W186" s="236">
        <f ca="1">INDEX(Photobiology!$21:$421,1+$H186-380,W$14)</f>
        <v>0.64674221544677</v>
      </c>
      <c r="X186" s="236">
        <f ca="1">INDEX(Photobiology!$21:$421,1+$H186-380,X$14)</f>
        <v>0.250339545222209</v>
      </c>
      <c r="Y186" s="236">
        <f ca="1" t="shared" si="54"/>
        <v>12.7799981670772</v>
      </c>
      <c r="Z186" s="236">
        <f ca="1" t="shared" si="68"/>
        <v>0.00794825499296099</v>
      </c>
      <c r="AA186" s="236">
        <f ca="1" t="shared" si="55"/>
        <v>12.7799981670772</v>
      </c>
      <c r="AB186" s="236">
        <f ca="1" t="shared" si="56"/>
        <v>11.3349286713658</v>
      </c>
      <c r="AC186" s="236">
        <f ca="1" t="shared" si="57"/>
        <v>8.8372021905152</v>
      </c>
      <c r="AD186" s="236">
        <f ca="1" t="shared" si="58"/>
        <v>3.56735057981312</v>
      </c>
      <c r="AE186" s="236"/>
      <c r="AF186" s="236"/>
      <c r="AG186" s="236"/>
      <c r="AH186" s="236">
        <f t="shared" si="69"/>
        <v>545</v>
      </c>
      <c r="AI186" s="236">
        <f>IF($AH186&gt;$AH185,INDEX(Spectra!186:186,1,MATCH($AI$20,Spectra!$20:$20,0)),AI185)</f>
        <v>1</v>
      </c>
      <c r="AJ186" s="236">
        <f>((Physics!$C$9*Physics!$C$10)/(Physics!$C$11*Physics!$C$12*$AH186))^($AJ$17-$AJ$18)</f>
        <v>2.74436173549898e+18</v>
      </c>
      <c r="AK186" s="236">
        <f t="shared" si="70"/>
        <v>1</v>
      </c>
      <c r="AL186" s="236">
        <f ca="1">INDEX(Photobiology!$21:$421,1+$AH186-380,10)</f>
        <v>0.9803</v>
      </c>
      <c r="AM186" s="236">
        <f ca="1" t="shared" si="71"/>
        <v>13.3319879209511</v>
      </c>
      <c r="AN186" s="236">
        <f ca="1">INDEX(Photobiology!$21:$421,1+$AH186-380,AN$14)</f>
        <v>0.000621929274875535</v>
      </c>
      <c r="AO186" s="236">
        <f ca="1">INDEX(Photobiology!$21:$421,1+$AH186-380,AO$14)</f>
        <v>1</v>
      </c>
      <c r="AP186" s="236">
        <f ca="1">INDEX(Photobiology!$21:$421,1+$AH186-380,AP$14)</f>
        <v>0.886927253289122</v>
      </c>
      <c r="AQ186" s="236">
        <f ca="1">INDEX(Photobiology!$21:$421,1+$AH186-380,AQ$14)</f>
        <v>0.69148696854127</v>
      </c>
      <c r="AR186" s="236">
        <f ca="1">INDEX(Photobiology!$21:$421,1+$AH186-380,AR$14)</f>
        <v>0.279135453164856</v>
      </c>
      <c r="AS186" s="236">
        <f ca="1" t="shared" si="72"/>
        <v>3.6587797508393e+19</v>
      </c>
      <c r="AT186" s="236">
        <f ca="1">INDEX(Photobiology!$21:$421,1+$AH186-380,AT$14)</f>
        <v>0.000502108038431625</v>
      </c>
      <c r="AU186" s="236">
        <f ca="1">INDEX(Photobiology!$21:$421,1+$AH186-380,AU$14)</f>
        <v>0.996388629455711</v>
      </c>
      <c r="AV186" s="236">
        <f ca="1">INDEX(Photobiology!$21:$421,1+$AH186-380,AV$14)</f>
        <v>0.926434152294746</v>
      </c>
      <c r="AW186" s="236">
        <f ca="1">INDEX(Photobiology!$21:$421,1+$AH186-380,AW$14)</f>
        <v>0.64674221544677</v>
      </c>
      <c r="AX186" s="236">
        <f ca="1">INDEX(Photobiology!$21:$421,1+$AH186-380,AX$14)</f>
        <v>0.250339545222209</v>
      </c>
      <c r="AY186" s="236">
        <f ca="1" t="shared" si="59"/>
        <v>13.3319879209511</v>
      </c>
      <c r="AZ186" s="236">
        <f ca="1" t="shared" si="73"/>
        <v>0.00829155358032654</v>
      </c>
      <c r="BA186" s="236">
        <f ca="1" t="shared" si="60"/>
        <v>13.3319879209511</v>
      </c>
      <c r="BB186" s="236">
        <f ca="1" t="shared" si="61"/>
        <v>11.8245034276129</v>
      </c>
      <c r="BC186" s="236">
        <f ca="1" t="shared" si="62"/>
        <v>9.21889591208733</v>
      </c>
      <c r="BD186" s="236">
        <f ca="1" t="shared" si="63"/>
        <v>3.72143048990308</v>
      </c>
    </row>
    <row r="187" s="234" customFormat="1" ht="0.2" customHeight="1" spans="7:56">
      <c r="G187" s="236"/>
      <c r="H187" s="236">
        <f t="shared" si="64"/>
        <v>546</v>
      </c>
      <c r="I187" s="236">
        <f>IF($H187&gt;$H186,INDEX(Spectra!187:187,1,MATCH($I$20,Spectra!$20:$20,0)),I186)</f>
        <v>12.6266229544108</v>
      </c>
      <c r="J187" s="236">
        <f>((Physics!$C$9*Physics!$C$10)/(Physics!$C$11*Physics!$C$12*$H187))^($J$17-$J$18)</f>
        <v>2.74939726161917e+18</v>
      </c>
      <c r="K187" s="236">
        <f t="shared" si="65"/>
        <v>1</v>
      </c>
      <c r="L187" s="236">
        <f ca="1">INDEX(Photobiology!$21:$421,1+$H187-380,10)</f>
        <v>0.9840924</v>
      </c>
      <c r="M187" s="236">
        <f ca="1" t="shared" si="66"/>
        <v>12.6266229544108</v>
      </c>
      <c r="N187" s="236">
        <f ca="1">INDEX(Photobiology!$21:$421,1+$H187-380,N$14)</f>
        <v>0.000567049536773651</v>
      </c>
      <c r="O187" s="236">
        <f ca="1">INDEX(Photobiology!$21:$421,1+$H187-380,O$14)</f>
        <v>0.999963159317147</v>
      </c>
      <c r="P187" s="236">
        <f ca="1">INDEX(Photobiology!$21:$421,1+$H187-380,P$14)</f>
        <v>0.894371599765224</v>
      </c>
      <c r="Q187" s="236">
        <f ca="1">INDEX(Photobiology!$21:$421,1+$H187-380,Q$14)</f>
        <v>0.675364144579523</v>
      </c>
      <c r="R187" s="236">
        <f ca="1">INDEX(Photobiology!$21:$421,1+$H187-380,R$14)</f>
        <v>0.265685589876549</v>
      </c>
      <c r="S187" s="236">
        <f ca="1" t="shared" si="67"/>
        <v>3.47156025743548e+19</v>
      </c>
      <c r="T187" s="236">
        <f ca="1">INDEX(Photobiology!$21:$421,1+$H187-380,T$14)</f>
        <v>0.000456962996667411</v>
      </c>
      <c r="U187" s="236">
        <f ca="1">INDEX(Photobiology!$21:$421,1+$H187-380,U$14)</f>
        <v>0.994527101448585</v>
      </c>
      <c r="V187" s="236">
        <f ca="1">INDEX(Photobiology!$21:$421,1+$H187-380,V$14)</f>
        <v>0.932499088976186</v>
      </c>
      <c r="W187" s="236">
        <f ca="1">INDEX(Photobiology!$21:$421,1+$H187-380,W$14)</f>
        <v>0.630505776179716</v>
      </c>
      <c r="X187" s="236">
        <f ca="1">INDEX(Photobiology!$21:$421,1+$H187-380,X$14)</f>
        <v>0.237840778926502</v>
      </c>
      <c r="Y187" s="236">
        <f ca="1" t="shared" si="54"/>
        <v>12.6266229544108</v>
      </c>
      <c r="Z187" s="236">
        <f ca="1" t="shared" si="68"/>
        <v>0.00715992069731419</v>
      </c>
      <c r="AA187" s="236">
        <f ca="1" t="shared" si="55"/>
        <v>12.626157780999</v>
      </c>
      <c r="AB187" s="236">
        <f ca="1" t="shared" si="56"/>
        <v>11.2928929713687</v>
      </c>
      <c r="AC187" s="236">
        <f ca="1" t="shared" si="57"/>
        <v>8.52756841053382</v>
      </c>
      <c r="AD187" s="236">
        <f ca="1" t="shared" si="58"/>
        <v>3.35471176779141</v>
      </c>
      <c r="AE187" s="236"/>
      <c r="AF187" s="236"/>
      <c r="AG187" s="236"/>
      <c r="AH187" s="236">
        <f t="shared" si="69"/>
        <v>546</v>
      </c>
      <c r="AI187" s="236">
        <f>IF($AH187&gt;$AH186,INDEX(Spectra!187:187,1,MATCH($AI$20,Spectra!$20:$20,0)),AI186)</f>
        <v>1</v>
      </c>
      <c r="AJ187" s="236">
        <f>((Physics!$C$9*Physics!$C$10)/(Physics!$C$11*Physics!$C$12*$AH187))^($AJ$17-$AJ$18)</f>
        <v>2.74939726161917e+18</v>
      </c>
      <c r="AK187" s="236">
        <f t="shared" si="70"/>
        <v>1</v>
      </c>
      <c r="AL187" s="236">
        <f ca="1">INDEX(Photobiology!$21:$421,1+$AH187-380,10)</f>
        <v>0.9840924</v>
      </c>
      <c r="AM187" s="236">
        <f ca="1" t="shared" si="71"/>
        <v>13.3319879209511</v>
      </c>
      <c r="AN187" s="236">
        <f ca="1">INDEX(Photobiology!$21:$421,1+$AH187-380,AN$14)</f>
        <v>0.000567049536773651</v>
      </c>
      <c r="AO187" s="236">
        <f ca="1">INDEX(Photobiology!$21:$421,1+$AH187-380,AO$14)</f>
        <v>0.999963159317147</v>
      </c>
      <c r="AP187" s="236">
        <f ca="1">INDEX(Photobiology!$21:$421,1+$AH187-380,AP$14)</f>
        <v>0.894371599765224</v>
      </c>
      <c r="AQ187" s="236">
        <f ca="1">INDEX(Photobiology!$21:$421,1+$AH187-380,AQ$14)</f>
        <v>0.675364144579523</v>
      </c>
      <c r="AR187" s="236">
        <f ca="1">INDEX(Photobiology!$21:$421,1+$AH187-380,AR$14)</f>
        <v>0.265685589876549</v>
      </c>
      <c r="AS187" s="236">
        <f ca="1" t="shared" si="72"/>
        <v>3.66549310818029e+19</v>
      </c>
      <c r="AT187" s="236">
        <f ca="1">INDEX(Photobiology!$21:$421,1+$AH187-380,AT$14)</f>
        <v>0.000456962996667411</v>
      </c>
      <c r="AU187" s="236">
        <f ca="1">INDEX(Photobiology!$21:$421,1+$AH187-380,AU$14)</f>
        <v>0.994527101448585</v>
      </c>
      <c r="AV187" s="236">
        <f ca="1">INDEX(Photobiology!$21:$421,1+$AH187-380,AV$14)</f>
        <v>0.932499088976186</v>
      </c>
      <c r="AW187" s="236">
        <f ca="1">INDEX(Photobiology!$21:$421,1+$AH187-380,AW$14)</f>
        <v>0.630505776179716</v>
      </c>
      <c r="AX187" s="236">
        <f ca="1">INDEX(Photobiology!$21:$421,1+$AH187-380,AX$14)</f>
        <v>0.237840778926502</v>
      </c>
      <c r="AY187" s="236">
        <f ca="1" t="shared" si="59"/>
        <v>13.3319879209511</v>
      </c>
      <c r="AZ187" s="236">
        <f ca="1" t="shared" si="73"/>
        <v>0.00755989757484726</v>
      </c>
      <c r="BA187" s="236">
        <f ca="1" t="shared" si="60"/>
        <v>13.3314967614123</v>
      </c>
      <c r="BB187" s="236">
        <f ca="1" t="shared" si="61"/>
        <v>11.9237513649117</v>
      </c>
      <c r="BC187" s="236">
        <f ca="1" t="shared" si="62"/>
        <v>9.0039466177777</v>
      </c>
      <c r="BD187" s="236">
        <f ca="1" t="shared" si="63"/>
        <v>3.54211707500493</v>
      </c>
    </row>
    <row r="188" s="234" customFormat="1" ht="0.2" customHeight="1" spans="7:56">
      <c r="G188" s="236"/>
      <c r="H188" s="236">
        <f t="shared" si="64"/>
        <v>547</v>
      </c>
      <c r="I188" s="236">
        <f>IF($H188&gt;$H187,INDEX(Spectra!188:188,1,MATCH($I$20,Spectra!$20:$20,0)),I187)</f>
        <v>12.4821932950678</v>
      </c>
      <c r="J188" s="236">
        <f>((Physics!$C$9*Physics!$C$10)/(Physics!$C$11*Physics!$C$12*$H188))^($J$17-$J$18)</f>
        <v>2.75443278773935e+18</v>
      </c>
      <c r="K188" s="236">
        <f t="shared" si="65"/>
        <v>1</v>
      </c>
      <c r="L188" s="236">
        <f ca="1">INDEX(Photobiology!$21:$421,1+$H188-380,10)</f>
        <v>0.9874182</v>
      </c>
      <c r="M188" s="236">
        <f ca="1" t="shared" si="66"/>
        <v>12.4821932950678</v>
      </c>
      <c r="N188" s="236">
        <f ca="1">INDEX(Photobiology!$21:$421,1+$H188-380,N$14)</f>
        <v>0.000517173186209883</v>
      </c>
      <c r="O188" s="236">
        <f ca="1">INDEX(Photobiology!$21:$421,1+$H188-380,O$14)</f>
        <v>0.99952117697301</v>
      </c>
      <c r="P188" s="236">
        <f ca="1">INDEX(Photobiology!$21:$421,1+$H188-380,P$14)</f>
        <v>0.901652103067492</v>
      </c>
      <c r="Q188" s="236">
        <f ca="1">INDEX(Photobiology!$21:$421,1+$H188-380,Q$14)</f>
        <v>0.659037307038939</v>
      </c>
      <c r="R188" s="236">
        <f ca="1">INDEX(Photobiology!$21:$421,1+$H188-380,R$14)</f>
        <v>0.252613176529954</v>
      </c>
      <c r="S188" s="236">
        <f ca="1" t="shared" si="67"/>
        <v>3.4381362474835e+19</v>
      </c>
      <c r="T188" s="236">
        <f ca="1">INDEX(Photobiology!$21:$421,1+$H188-380,T$14)</f>
        <v>0.000416007681777602</v>
      </c>
      <c r="U188" s="236">
        <f ca="1">INDEX(Photobiology!$21:$421,1+$H188-380,U$14)</f>
        <v>0.992270177187702</v>
      </c>
      <c r="V188" s="236">
        <f ca="1">INDEX(Photobiology!$21:$421,1+$H188-380,V$14)</f>
        <v>0.93837133479928</v>
      </c>
      <c r="W188" s="236">
        <f ca="1">INDEX(Photobiology!$21:$421,1+$H188-380,W$14)</f>
        <v>0.614138587725611</v>
      </c>
      <c r="X188" s="236">
        <f ca="1">INDEX(Photobiology!$21:$421,1+$H188-380,X$14)</f>
        <v>0.225724986063352</v>
      </c>
      <c r="Y188" s="236">
        <f ca="1" t="shared" si="54"/>
        <v>12.4821932950678</v>
      </c>
      <c r="Z188" s="236">
        <f ca="1" t="shared" si="68"/>
        <v>0.00645545567729785</v>
      </c>
      <c r="AA188" s="236">
        <f ca="1" t="shared" si="55"/>
        <v>12.4762165334908</v>
      </c>
      <c r="AB188" s="236">
        <f ca="1" t="shared" si="56"/>
        <v>11.2545958353928</v>
      </c>
      <c r="AC188" s="236">
        <f ca="1" t="shared" si="57"/>
        <v>8.22623105512098</v>
      </c>
      <c r="AD188" s="236">
        <f ca="1" t="shared" si="58"/>
        <v>3.15316649832797</v>
      </c>
      <c r="AE188" s="236"/>
      <c r="AF188" s="236"/>
      <c r="AG188" s="236"/>
      <c r="AH188" s="236">
        <f t="shared" si="69"/>
        <v>547</v>
      </c>
      <c r="AI188" s="236">
        <f>IF($AH188&gt;$AH187,INDEX(Spectra!188:188,1,MATCH($AI$20,Spectra!$20:$20,0)),AI187)</f>
        <v>1</v>
      </c>
      <c r="AJ188" s="236">
        <f>((Physics!$C$9*Physics!$C$10)/(Physics!$C$11*Physics!$C$12*$AH188))^($AJ$17-$AJ$18)</f>
        <v>2.75443278773935e+18</v>
      </c>
      <c r="AK188" s="236">
        <f t="shared" si="70"/>
        <v>1</v>
      </c>
      <c r="AL188" s="236">
        <f ca="1">INDEX(Photobiology!$21:$421,1+$AH188-380,10)</f>
        <v>0.9874182</v>
      </c>
      <c r="AM188" s="236">
        <f ca="1" t="shared" si="71"/>
        <v>13.3319879209511</v>
      </c>
      <c r="AN188" s="236">
        <f ca="1">INDEX(Photobiology!$21:$421,1+$AH188-380,AN$14)</f>
        <v>0.000517173186209883</v>
      </c>
      <c r="AO188" s="236">
        <f ca="1">INDEX(Photobiology!$21:$421,1+$AH188-380,AO$14)</f>
        <v>0.99952117697301</v>
      </c>
      <c r="AP188" s="236">
        <f ca="1">INDEX(Photobiology!$21:$421,1+$AH188-380,AP$14)</f>
        <v>0.901652103067492</v>
      </c>
      <c r="AQ188" s="236">
        <f ca="1">INDEX(Photobiology!$21:$421,1+$AH188-380,AQ$14)</f>
        <v>0.659037307038939</v>
      </c>
      <c r="AR188" s="236">
        <f ca="1">INDEX(Photobiology!$21:$421,1+$AH188-380,AR$14)</f>
        <v>0.252613176529954</v>
      </c>
      <c r="AS188" s="236">
        <f ca="1" t="shared" si="72"/>
        <v>3.67220646552128e+19</v>
      </c>
      <c r="AT188" s="236">
        <f ca="1">INDEX(Photobiology!$21:$421,1+$AH188-380,AT$14)</f>
        <v>0.000416007681777602</v>
      </c>
      <c r="AU188" s="236">
        <f ca="1">INDEX(Photobiology!$21:$421,1+$AH188-380,AU$14)</f>
        <v>0.992270177187702</v>
      </c>
      <c r="AV188" s="236">
        <f ca="1">INDEX(Photobiology!$21:$421,1+$AH188-380,AV$14)</f>
        <v>0.93837133479928</v>
      </c>
      <c r="AW188" s="236">
        <f ca="1">INDEX(Photobiology!$21:$421,1+$AH188-380,AW$14)</f>
        <v>0.614138587725611</v>
      </c>
      <c r="AX188" s="236">
        <f ca="1">INDEX(Photobiology!$21:$421,1+$AH188-380,AX$14)</f>
        <v>0.225724986063352</v>
      </c>
      <c r="AY188" s="236">
        <f ca="1" t="shared" si="59"/>
        <v>13.3319879209511</v>
      </c>
      <c r="AZ188" s="236">
        <f ca="1" t="shared" si="73"/>
        <v>0.00689494667158998</v>
      </c>
      <c r="BA188" s="236">
        <f ca="1" t="shared" si="60"/>
        <v>13.325604258139</v>
      </c>
      <c r="BB188" s="236">
        <f ca="1" t="shared" si="61"/>
        <v>12.020814946996</v>
      </c>
      <c r="BC188" s="236">
        <f ca="1" t="shared" si="62"/>
        <v>8.7862774168993</v>
      </c>
      <c r="BD188" s="236">
        <f ca="1" t="shared" si="63"/>
        <v>3.36783581817044</v>
      </c>
    </row>
    <row r="189" s="234" customFormat="1" ht="0.2" customHeight="1" spans="7:56">
      <c r="G189" s="236"/>
      <c r="H189" s="236">
        <f t="shared" si="64"/>
        <v>548</v>
      </c>
      <c r="I189" s="236">
        <f>IF($H189&gt;$H188,INDEX(Spectra!189:189,1,MATCH($I$20,Spectra!$20:$20,0)),I188)</f>
        <v>12.3517749657684</v>
      </c>
      <c r="J189" s="236">
        <f>((Physics!$C$9*Physics!$C$10)/(Physics!$C$11*Physics!$C$12*$H189))^($J$17-$J$18)</f>
        <v>2.75946831385953e+18</v>
      </c>
      <c r="K189" s="236">
        <f t="shared" si="65"/>
        <v>1</v>
      </c>
      <c r="L189" s="236">
        <f ca="1">INDEX(Photobiology!$21:$421,1+$H189-380,10)</f>
        <v>0.9903128</v>
      </c>
      <c r="M189" s="236">
        <f ca="1" t="shared" si="66"/>
        <v>12.3517749657684</v>
      </c>
      <c r="N189" s="236">
        <f ca="1">INDEX(Photobiology!$21:$421,1+$H189-380,N$14)</f>
        <v>0.000471832660849824</v>
      </c>
      <c r="O189" s="236">
        <f ca="1">INDEX(Photobiology!$21:$421,1+$H189-380,O$14)</f>
        <v>0.998663092519071</v>
      </c>
      <c r="P189" s="236">
        <f ca="1">INDEX(Photobiology!$21:$421,1+$H189-380,P$14)</f>
        <v>0.908763760492644</v>
      </c>
      <c r="Q189" s="236">
        <f ca="1">INDEX(Photobiology!$21:$421,1+$H189-380,Q$14)</f>
        <v>0.642530873083921</v>
      </c>
      <c r="R189" s="236">
        <f ca="1">INDEX(Photobiology!$21:$421,1+$H189-380,R$14)</f>
        <v>0.239924169409643</v>
      </c>
      <c r="S189" s="236">
        <f ca="1" t="shared" si="67"/>
        <v>3.40843316379613e+19</v>
      </c>
      <c r="T189" s="236">
        <f ca="1">INDEX(Photobiology!$21:$421,1+$H189-380,T$14)</f>
        <v>0.00037884374228818</v>
      </c>
      <c r="U189" s="236">
        <f ca="1">INDEX(Photobiology!$21:$421,1+$H189-380,U$14)</f>
        <v>0.989609160170581</v>
      </c>
      <c r="V189" s="236">
        <f ca="1">INDEX(Photobiology!$21:$421,1+$H189-380,V$14)</f>
        <v>0.944046747706464</v>
      </c>
      <c r="W189" s="236">
        <f ca="1">INDEX(Photobiology!$21:$421,1+$H189-380,W$14)</f>
        <v>0.597664078021648</v>
      </c>
      <c r="X189" s="236">
        <f ca="1">INDEX(Photobiology!$21:$421,1+$H189-380,X$14)</f>
        <v>0.213995382647259</v>
      </c>
      <c r="Y189" s="236">
        <f ca="1" t="shared" si="54"/>
        <v>12.3517749657684</v>
      </c>
      <c r="Z189" s="236">
        <f ca="1" t="shared" si="68"/>
        <v>0.00582797084831675</v>
      </c>
      <c r="AA189" s="236">
        <f ca="1" t="shared" si="55"/>
        <v>12.3352617854139</v>
      </c>
      <c r="AB189" s="236">
        <f ca="1" t="shared" si="56"/>
        <v>11.2248454666506</v>
      </c>
      <c r="AC189" s="236">
        <f ca="1" t="shared" si="57"/>
        <v>7.93639675289129</v>
      </c>
      <c r="AD189" s="236">
        <f ca="1" t="shared" si="58"/>
        <v>2.9634893493968</v>
      </c>
      <c r="AE189" s="236"/>
      <c r="AF189" s="236"/>
      <c r="AG189" s="236"/>
      <c r="AH189" s="236">
        <f t="shared" si="69"/>
        <v>548</v>
      </c>
      <c r="AI189" s="236">
        <f>IF($AH189&gt;$AH188,INDEX(Spectra!189:189,1,MATCH($AI$20,Spectra!$20:$20,0)),AI188)</f>
        <v>1</v>
      </c>
      <c r="AJ189" s="236">
        <f>((Physics!$C$9*Physics!$C$10)/(Physics!$C$11*Physics!$C$12*$AH189))^($AJ$17-$AJ$18)</f>
        <v>2.75946831385953e+18</v>
      </c>
      <c r="AK189" s="236">
        <f t="shared" si="70"/>
        <v>1</v>
      </c>
      <c r="AL189" s="236">
        <f ca="1">INDEX(Photobiology!$21:$421,1+$AH189-380,10)</f>
        <v>0.9903128</v>
      </c>
      <c r="AM189" s="236">
        <f ca="1" t="shared" si="71"/>
        <v>13.3319879209511</v>
      </c>
      <c r="AN189" s="236">
        <f ca="1">INDEX(Photobiology!$21:$421,1+$AH189-380,AN$14)</f>
        <v>0.000471832660849824</v>
      </c>
      <c r="AO189" s="236">
        <f ca="1">INDEX(Photobiology!$21:$421,1+$AH189-380,AO$14)</f>
        <v>0.998663092519071</v>
      </c>
      <c r="AP189" s="236">
        <f ca="1">INDEX(Photobiology!$21:$421,1+$AH189-380,AP$14)</f>
        <v>0.908763760492644</v>
      </c>
      <c r="AQ189" s="236">
        <f ca="1">INDEX(Photobiology!$21:$421,1+$AH189-380,AQ$14)</f>
        <v>0.642530873083921</v>
      </c>
      <c r="AR189" s="236">
        <f ca="1">INDEX(Photobiology!$21:$421,1+$AH189-380,AR$14)</f>
        <v>0.239924169409643</v>
      </c>
      <c r="AS189" s="236">
        <f ca="1" t="shared" si="72"/>
        <v>3.67891982286226e+19</v>
      </c>
      <c r="AT189" s="236">
        <f ca="1">INDEX(Photobiology!$21:$421,1+$AH189-380,AT$14)</f>
        <v>0.00037884374228818</v>
      </c>
      <c r="AU189" s="236">
        <f ca="1">INDEX(Photobiology!$21:$421,1+$AH189-380,AU$14)</f>
        <v>0.989609160170581</v>
      </c>
      <c r="AV189" s="236">
        <f ca="1">INDEX(Photobiology!$21:$421,1+$AH189-380,AV$14)</f>
        <v>0.944046747706464</v>
      </c>
      <c r="AW189" s="236">
        <f ca="1">INDEX(Photobiology!$21:$421,1+$AH189-380,AW$14)</f>
        <v>0.597664078021648</v>
      </c>
      <c r="AX189" s="236">
        <f ca="1">INDEX(Photobiology!$21:$421,1+$AH189-380,AX$14)</f>
        <v>0.213995382647259</v>
      </c>
      <c r="AY189" s="236">
        <f ca="1" t="shared" si="59"/>
        <v>13.3319879209511</v>
      </c>
      <c r="AZ189" s="236">
        <f ca="1" t="shared" si="73"/>
        <v>0.00629046733516009</v>
      </c>
      <c r="BA189" s="236">
        <f ca="1" t="shared" si="60"/>
        <v>13.314164286564</v>
      </c>
      <c r="BB189" s="236">
        <f ca="1" t="shared" si="61"/>
        <v>12.1156274778861</v>
      </c>
      <c r="BC189" s="236">
        <f ca="1" t="shared" si="62"/>
        <v>8.56621383879303</v>
      </c>
      <c r="BD189" s="236">
        <f ca="1" t="shared" si="63"/>
        <v>3.1986661285136</v>
      </c>
    </row>
    <row r="190" s="234" customFormat="1" ht="0.2" customHeight="1" spans="7:56">
      <c r="G190" s="236"/>
      <c r="H190" s="236">
        <f t="shared" si="64"/>
        <v>549</v>
      </c>
      <c r="I190" s="236">
        <f>IF($H190&gt;$H189,INDEX(Spectra!190:190,1,MATCH($I$20,Spectra!$20:$20,0)),I189)</f>
        <v>12.2199107295059</v>
      </c>
      <c r="J190" s="236">
        <f>((Physics!$C$9*Physics!$C$10)/(Physics!$C$11*Physics!$C$12*$H190))^($J$17-$J$18)</f>
        <v>2.76450383997971e+18</v>
      </c>
      <c r="K190" s="236">
        <f t="shared" si="65"/>
        <v>1</v>
      </c>
      <c r="L190" s="236">
        <f ca="1">INDEX(Photobiology!$21:$421,1+$H190-380,10)</f>
        <v>0.9928116</v>
      </c>
      <c r="M190" s="236">
        <f ca="1" t="shared" si="66"/>
        <v>12.2199107295059</v>
      </c>
      <c r="N190" s="236">
        <f ca="1">INDEX(Photobiology!$21:$421,1+$H190-380,N$14)</f>
        <v>0.000430601957720082</v>
      </c>
      <c r="O190" s="236">
        <f ca="1">INDEX(Photobiology!$21:$421,1+$H190-380,O$14)</f>
        <v>0.997385384825251</v>
      </c>
      <c r="P190" s="236">
        <f ca="1">INDEX(Photobiology!$21:$421,1+$H190-380,P$14)</f>
        <v>0.915701656870727</v>
      </c>
      <c r="Q190" s="236">
        <f ca="1">INDEX(Photobiology!$21:$421,1+$H190-380,Q$14)</f>
        <v>0.625869805600941</v>
      </c>
      <c r="R190" s="236">
        <f ca="1">INDEX(Photobiology!$21:$421,1+$H190-380,R$14)</f>
        <v>0.227625545719014</v>
      </c>
      <c r="S190" s="236">
        <f ca="1" t="shared" si="67"/>
        <v>3.37819901359283e+19</v>
      </c>
      <c r="T190" s="236">
        <f ca="1">INDEX(Photobiology!$21:$421,1+$H190-380,T$14)</f>
        <v>0.000345109037152707</v>
      </c>
      <c r="U190" s="236">
        <f ca="1">INDEX(Photobiology!$21:$421,1+$H190-380,U$14)</f>
        <v>0.986542775702601</v>
      </c>
      <c r="V190" s="236">
        <f ca="1">INDEX(Photobiology!$21:$421,1+$H190-380,V$14)</f>
        <v>0.9495213065853</v>
      </c>
      <c r="W190" s="236">
        <f ca="1">INDEX(Photobiology!$21:$421,1+$H190-380,W$14)</f>
        <v>0.581106011000316</v>
      </c>
      <c r="X190" s="236">
        <f ca="1">INDEX(Photobiology!$21:$421,1+$H190-380,X$14)</f>
        <v>0.202656070189649</v>
      </c>
      <c r="Y190" s="236">
        <f ca="1" t="shared" si="54"/>
        <v>12.2199107295059</v>
      </c>
      <c r="Z190" s="236">
        <f ca="1" t="shared" si="68"/>
        <v>0.00526191748328988</v>
      </c>
      <c r="AA190" s="236">
        <f ca="1" t="shared" si="55"/>
        <v>12.1879603654785</v>
      </c>
      <c r="AB190" s="236">
        <f ca="1" t="shared" si="56"/>
        <v>11.1897925018209</v>
      </c>
      <c r="AC190" s="236">
        <f ca="1" t="shared" si="57"/>
        <v>7.64807315273671</v>
      </c>
      <c r="AD190" s="236">
        <f ca="1" t="shared" si="58"/>
        <v>2.78156384844141</v>
      </c>
      <c r="AE190" s="236"/>
      <c r="AF190" s="236"/>
      <c r="AG190" s="236"/>
      <c r="AH190" s="236">
        <f t="shared" si="69"/>
        <v>549</v>
      </c>
      <c r="AI190" s="236">
        <f>IF($AH190&gt;$AH189,INDEX(Spectra!190:190,1,MATCH($AI$20,Spectra!$20:$20,0)),AI189)</f>
        <v>1</v>
      </c>
      <c r="AJ190" s="236">
        <f>((Physics!$C$9*Physics!$C$10)/(Physics!$C$11*Physics!$C$12*$AH190))^($AJ$17-$AJ$18)</f>
        <v>2.76450383997971e+18</v>
      </c>
      <c r="AK190" s="236">
        <f t="shared" si="70"/>
        <v>1</v>
      </c>
      <c r="AL190" s="236">
        <f ca="1">INDEX(Photobiology!$21:$421,1+$AH190-380,10)</f>
        <v>0.9928116</v>
      </c>
      <c r="AM190" s="236">
        <f ca="1" t="shared" si="71"/>
        <v>13.3319879209511</v>
      </c>
      <c r="AN190" s="236">
        <f ca="1">INDEX(Photobiology!$21:$421,1+$AH190-380,AN$14)</f>
        <v>0.000430601957720082</v>
      </c>
      <c r="AO190" s="236">
        <f ca="1">INDEX(Photobiology!$21:$421,1+$AH190-380,AO$14)</f>
        <v>0.997385384825251</v>
      </c>
      <c r="AP190" s="236">
        <f ca="1">INDEX(Photobiology!$21:$421,1+$AH190-380,AP$14)</f>
        <v>0.915701656870727</v>
      </c>
      <c r="AQ190" s="236">
        <f ca="1">INDEX(Photobiology!$21:$421,1+$AH190-380,AQ$14)</f>
        <v>0.625869805600941</v>
      </c>
      <c r="AR190" s="236">
        <f ca="1">INDEX(Photobiology!$21:$421,1+$AH190-380,AR$14)</f>
        <v>0.227625545719014</v>
      </c>
      <c r="AS190" s="236">
        <f ca="1" t="shared" si="72"/>
        <v>3.68563318020326e+19</v>
      </c>
      <c r="AT190" s="236">
        <f ca="1">INDEX(Photobiology!$21:$421,1+$AH190-380,AT$14)</f>
        <v>0.000345109037152707</v>
      </c>
      <c r="AU190" s="236">
        <f ca="1">INDEX(Photobiology!$21:$421,1+$AH190-380,AU$14)</f>
        <v>0.986542775702601</v>
      </c>
      <c r="AV190" s="236">
        <f ca="1">INDEX(Photobiology!$21:$421,1+$AH190-380,AV$14)</f>
        <v>0.9495213065853</v>
      </c>
      <c r="AW190" s="236">
        <f ca="1">INDEX(Photobiology!$21:$421,1+$AH190-380,AW$14)</f>
        <v>0.581106011000316</v>
      </c>
      <c r="AX190" s="236">
        <f ca="1">INDEX(Photobiology!$21:$421,1+$AH190-380,AX$14)</f>
        <v>0.202656070189649</v>
      </c>
      <c r="AY190" s="236">
        <f ca="1" t="shared" si="59"/>
        <v>13.3319879209511</v>
      </c>
      <c r="AZ190" s="236">
        <f ca="1" t="shared" si="73"/>
        <v>0.00574078009906205</v>
      </c>
      <c r="BA190" s="236">
        <f ca="1" t="shared" si="60"/>
        <v>13.2971299030235</v>
      </c>
      <c r="BB190" s="236">
        <f ca="1" t="shared" si="61"/>
        <v>12.2081234285955</v>
      </c>
      <c r="BC190" s="236">
        <f ca="1" t="shared" si="62"/>
        <v>8.34408868835978</v>
      </c>
      <c r="BD190" s="236">
        <f ca="1" t="shared" si="63"/>
        <v>3.03470102602581</v>
      </c>
    </row>
    <row r="191" s="234" customFormat="1" ht="0.2" customHeight="1" spans="7:56">
      <c r="G191" s="236"/>
      <c r="H191" s="236">
        <f t="shared" si="64"/>
        <v>550</v>
      </c>
      <c r="I191" s="236">
        <f>IF($H191&gt;$H190,INDEX(Spectra!191:191,1,MATCH($I$20,Spectra!$20:$20,0)),I190)</f>
        <v>12.0864761937134</v>
      </c>
      <c r="J191" s="236">
        <f>((Physics!$C$9*Physics!$C$10)/(Physics!$C$11*Physics!$C$12*$H191))^($J$17-$J$18)</f>
        <v>2.76953936609989e+18</v>
      </c>
      <c r="K191" s="236">
        <f t="shared" si="65"/>
        <v>1</v>
      </c>
      <c r="L191" s="236">
        <f ca="1">INDEX(Photobiology!$21:$421,1+$H191-380,10)</f>
        <v>0.9949501</v>
      </c>
      <c r="M191" s="236">
        <f ca="1" t="shared" si="66"/>
        <v>12.0864761937134</v>
      </c>
      <c r="N191" s="236">
        <f ca="1">INDEX(Photobiology!$21:$421,1+$H191-380,N$14)</f>
        <v>0.000393098150048366</v>
      </c>
      <c r="O191" s="236">
        <f ca="1">INDEX(Photobiology!$21:$421,1+$H191-380,O$14)</f>
        <v>0.995678203397931</v>
      </c>
      <c r="P191" s="236">
        <f ca="1">INDEX(Photobiology!$21:$421,1+$H191-380,P$14)</f>
        <v>0.922458846166011</v>
      </c>
      <c r="Q191" s="236">
        <f ca="1">INDEX(Photobiology!$21:$421,1+$H191-380,Q$14)</f>
        <v>0.609080926935598</v>
      </c>
      <c r="R191" s="236">
        <f ca="1">INDEX(Photobiology!$21:$421,1+$H191-380,R$14)</f>
        <v>0.215722279124971</v>
      </c>
      <c r="S191" s="236">
        <f ca="1" t="shared" si="67"/>
        <v>3.34739716159184e+19</v>
      </c>
      <c r="T191" s="236">
        <f ca="1">INDEX(Photobiology!$21:$421,1+$H191-380,T$14)</f>
        <v>0.000314478520038693</v>
      </c>
      <c r="U191" s="236">
        <f ca="1">INDEX(Photobiology!$21:$421,1+$H191-380,U$14)</f>
        <v>0.983063509185657</v>
      </c>
      <c r="V191" s="236">
        <f ca="1">INDEX(Photobiology!$21:$421,1+$H191-380,V$14)</f>
        <v>0.954788917524832</v>
      </c>
      <c r="W191" s="236">
        <f ca="1">INDEX(Photobiology!$21:$421,1+$H191-380,W$14)</f>
        <v>0.56448970109237</v>
      </c>
      <c r="X191" s="236">
        <f ca="1">INDEX(Photobiology!$21:$421,1+$H191-380,X$14)</f>
        <v>0.191709339858213</v>
      </c>
      <c r="Y191" s="236">
        <f ca="1" t="shared" si="54"/>
        <v>12.0864761937134</v>
      </c>
      <c r="Z191" s="236">
        <f ca="1" t="shared" si="68"/>
        <v>0.00475117143235235</v>
      </c>
      <c r="AA191" s="236">
        <f ca="1" t="shared" si="55"/>
        <v>12.0342409019684</v>
      </c>
      <c r="AB191" s="236">
        <f ca="1" t="shared" si="56"/>
        <v>11.1492768838658</v>
      </c>
      <c r="AC191" s="236">
        <f ca="1" t="shared" si="57"/>
        <v>7.361642123452</v>
      </c>
      <c r="AD191" s="236">
        <f ca="1" t="shared" si="58"/>
        <v>2.60732219109756</v>
      </c>
      <c r="AE191" s="236"/>
      <c r="AF191" s="236"/>
      <c r="AG191" s="236"/>
      <c r="AH191" s="236">
        <f t="shared" si="69"/>
        <v>550</v>
      </c>
      <c r="AI191" s="236">
        <f>IF($AH191&gt;$AH190,INDEX(Spectra!191:191,1,MATCH($AI$20,Spectra!$20:$20,0)),AI190)</f>
        <v>1</v>
      </c>
      <c r="AJ191" s="236">
        <f>((Physics!$C$9*Physics!$C$10)/(Physics!$C$11*Physics!$C$12*$AH191))^($AJ$17-$AJ$18)</f>
        <v>2.76953936609989e+18</v>
      </c>
      <c r="AK191" s="236">
        <f t="shared" si="70"/>
        <v>1</v>
      </c>
      <c r="AL191" s="236">
        <f ca="1">INDEX(Photobiology!$21:$421,1+$AH191-380,10)</f>
        <v>0.9949501</v>
      </c>
      <c r="AM191" s="236">
        <f ca="1" t="shared" si="71"/>
        <v>13.3319879209511</v>
      </c>
      <c r="AN191" s="236">
        <f ca="1">INDEX(Photobiology!$21:$421,1+$AH191-380,AN$14)</f>
        <v>0.000393098150048366</v>
      </c>
      <c r="AO191" s="236">
        <f ca="1">INDEX(Photobiology!$21:$421,1+$AH191-380,AO$14)</f>
        <v>0.995678203397931</v>
      </c>
      <c r="AP191" s="236">
        <f ca="1">INDEX(Photobiology!$21:$421,1+$AH191-380,AP$14)</f>
        <v>0.922458846166011</v>
      </c>
      <c r="AQ191" s="236">
        <f ca="1">INDEX(Photobiology!$21:$421,1+$AH191-380,AQ$14)</f>
        <v>0.609080926935598</v>
      </c>
      <c r="AR191" s="236">
        <f ca="1">INDEX(Photobiology!$21:$421,1+$AH191-380,AR$14)</f>
        <v>0.215722279124971</v>
      </c>
      <c r="AS191" s="236">
        <f ca="1" t="shared" si="72"/>
        <v>3.69234653754425e+19</v>
      </c>
      <c r="AT191" s="236">
        <f ca="1">INDEX(Photobiology!$21:$421,1+$AH191-380,AT$14)</f>
        <v>0.000314478520038693</v>
      </c>
      <c r="AU191" s="236">
        <f ca="1">INDEX(Photobiology!$21:$421,1+$AH191-380,AU$14)</f>
        <v>0.983063509185657</v>
      </c>
      <c r="AV191" s="236">
        <f ca="1">INDEX(Photobiology!$21:$421,1+$AH191-380,AV$14)</f>
        <v>0.954788917524832</v>
      </c>
      <c r="AW191" s="236">
        <f ca="1">INDEX(Photobiology!$21:$421,1+$AH191-380,AW$14)</f>
        <v>0.56448970109237</v>
      </c>
      <c r="AX191" s="236">
        <f ca="1">INDEX(Photobiology!$21:$421,1+$AH191-380,AX$14)</f>
        <v>0.191709339858213</v>
      </c>
      <c r="AY191" s="236">
        <f ca="1" t="shared" si="59"/>
        <v>13.3319879209511</v>
      </c>
      <c r="AZ191" s="236">
        <f ca="1" t="shared" si="73"/>
        <v>0.00524077978819306</v>
      </c>
      <c r="BA191" s="236">
        <f ca="1" t="shared" si="60"/>
        <v>13.2743697808555</v>
      </c>
      <c r="BB191" s="236">
        <f ca="1" t="shared" si="61"/>
        <v>12.2982101946598</v>
      </c>
      <c r="BC191" s="236">
        <f ca="1" t="shared" si="62"/>
        <v>8.12025956078712</v>
      </c>
      <c r="BD191" s="236">
        <f ca="1" t="shared" si="63"/>
        <v>2.87600681957416</v>
      </c>
    </row>
    <row r="192" s="234" customFormat="1" ht="0.2" customHeight="1" spans="7:56">
      <c r="G192" s="236"/>
      <c r="H192" s="236">
        <f t="shared" si="64"/>
        <v>551</v>
      </c>
      <c r="I192" s="236">
        <f>IF($H192&gt;$H191,INDEX(Spectra!192:192,1,MATCH($I$20,Spectra!$20:$20,0)),I191)</f>
        <v>11.9845248244675</v>
      </c>
      <c r="J192" s="236">
        <f>((Physics!$C$9*Physics!$C$10)/(Physics!$C$11*Physics!$C$12*$H192))^($J$17-$J$18)</f>
        <v>2.77457489222007e+18</v>
      </c>
      <c r="K192" s="236">
        <f t="shared" si="65"/>
        <v>1</v>
      </c>
      <c r="L192" s="236">
        <f ca="1">INDEX(Photobiology!$21:$421,1+$H192-380,10)</f>
        <v>0.9967108</v>
      </c>
      <c r="M192" s="236">
        <f ca="1" t="shared" si="66"/>
        <v>11.9845248244675</v>
      </c>
      <c r="N192" s="236">
        <f ca="1">INDEX(Photobiology!$21:$421,1+$H192-380,N$14)</f>
        <v>0.000358891357360587</v>
      </c>
      <c r="O192" s="236">
        <f ca="1">INDEX(Photobiology!$21:$421,1+$H192-380,O$14)</f>
        <v>0.993305865498083</v>
      </c>
      <c r="P192" s="236">
        <f ca="1">INDEX(Photobiology!$21:$421,1+$H192-380,P$14)</f>
        <v>0.928814528478501</v>
      </c>
      <c r="Q192" s="236">
        <f ca="1">INDEX(Photobiology!$21:$421,1+$H192-380,Q$14)</f>
        <v>0.592054927537912</v>
      </c>
      <c r="R192" s="236">
        <f ca="1">INDEX(Photobiology!$21:$421,1+$H192-380,R$14)</f>
        <v>0.204171443842807</v>
      </c>
      <c r="S192" s="236">
        <f ca="1" t="shared" si="67"/>
        <v>3.32519616731557e+19</v>
      </c>
      <c r="T192" s="236">
        <f ca="1">INDEX(Photobiology!$21:$421,1+$H192-380,T$14)</f>
        <v>0.000286592009507547</v>
      </c>
      <c r="U192" s="236">
        <f ca="1">INDEX(Photobiology!$21:$421,1+$H192-380,U$14)</f>
        <v>0.978941334164982</v>
      </c>
      <c r="V192" s="236">
        <f ca="1">INDEX(Photobiology!$21:$421,1+$H192-380,V$14)</f>
        <v>0.959622583622487</v>
      </c>
      <c r="W192" s="236">
        <f ca="1">INDEX(Photobiology!$21:$421,1+$H192-380,W$14)</f>
        <v>0.547714342345799</v>
      </c>
      <c r="X192" s="236">
        <f ca="1">INDEX(Photobiology!$21:$421,1+$H192-380,X$14)</f>
        <v>0.181114975877453</v>
      </c>
      <c r="Y192" s="236">
        <f ca="1" t="shared" si="54"/>
        <v>11.9845248244675</v>
      </c>
      <c r="Z192" s="236">
        <f ca="1" t="shared" si="68"/>
        <v>0.00430114238157479</v>
      </c>
      <c r="AA192" s="236">
        <f ca="1" t="shared" si="55"/>
        <v>11.904298803351</v>
      </c>
      <c r="AB192" s="236">
        <f ca="1" t="shared" si="56"/>
        <v>11.1314007738767</v>
      </c>
      <c r="AC192" s="236">
        <f ca="1" t="shared" si="57"/>
        <v>7.09549697652641</v>
      </c>
      <c r="AD192" s="236">
        <f ca="1" t="shared" si="58"/>
        <v>2.44689773718149</v>
      </c>
      <c r="AE192" s="236"/>
      <c r="AF192" s="236"/>
      <c r="AG192" s="236"/>
      <c r="AH192" s="236">
        <f t="shared" si="69"/>
        <v>551</v>
      </c>
      <c r="AI192" s="236">
        <f>IF($AH192&gt;$AH191,INDEX(Spectra!192:192,1,MATCH($AI$20,Spectra!$20:$20,0)),AI191)</f>
        <v>1</v>
      </c>
      <c r="AJ192" s="236">
        <f>((Physics!$C$9*Physics!$C$10)/(Physics!$C$11*Physics!$C$12*$AH192))^($AJ$17-$AJ$18)</f>
        <v>2.77457489222007e+18</v>
      </c>
      <c r="AK192" s="236">
        <f t="shared" si="70"/>
        <v>1</v>
      </c>
      <c r="AL192" s="236">
        <f ca="1">INDEX(Photobiology!$21:$421,1+$AH192-380,10)</f>
        <v>0.9967108</v>
      </c>
      <c r="AM192" s="236">
        <f ca="1" t="shared" si="71"/>
        <v>13.3319879209511</v>
      </c>
      <c r="AN192" s="236">
        <f ca="1">INDEX(Photobiology!$21:$421,1+$AH192-380,AN$14)</f>
        <v>0.000358891357360587</v>
      </c>
      <c r="AO192" s="236">
        <f ca="1">INDEX(Photobiology!$21:$421,1+$AH192-380,AO$14)</f>
        <v>0.993305865498083</v>
      </c>
      <c r="AP192" s="236">
        <f ca="1">INDEX(Photobiology!$21:$421,1+$AH192-380,AP$14)</f>
        <v>0.928814528478501</v>
      </c>
      <c r="AQ192" s="236">
        <f ca="1">INDEX(Photobiology!$21:$421,1+$AH192-380,AQ$14)</f>
        <v>0.592054927537912</v>
      </c>
      <c r="AR192" s="236">
        <f ca="1">INDEX(Photobiology!$21:$421,1+$AH192-380,AR$14)</f>
        <v>0.204171443842807</v>
      </c>
      <c r="AS192" s="236">
        <f ca="1" t="shared" si="72"/>
        <v>3.69905989488523e+19</v>
      </c>
      <c r="AT192" s="236">
        <f ca="1">INDEX(Photobiology!$21:$421,1+$AH192-380,AT$14)</f>
        <v>0.000286592009507547</v>
      </c>
      <c r="AU192" s="236">
        <f ca="1">INDEX(Photobiology!$21:$421,1+$AH192-380,AU$14)</f>
        <v>0.978941334164982</v>
      </c>
      <c r="AV192" s="236">
        <f ca="1">INDEX(Photobiology!$21:$421,1+$AH192-380,AV$14)</f>
        <v>0.959622583622487</v>
      </c>
      <c r="AW192" s="236">
        <f ca="1">INDEX(Photobiology!$21:$421,1+$AH192-380,AW$14)</f>
        <v>0.547714342345799</v>
      </c>
      <c r="AX192" s="236">
        <f ca="1">INDEX(Photobiology!$21:$421,1+$AH192-380,AX$14)</f>
        <v>0.181114975877453</v>
      </c>
      <c r="AY192" s="236">
        <f ca="1" t="shared" si="59"/>
        <v>13.3319879209511</v>
      </c>
      <c r="AZ192" s="236">
        <f ca="1" t="shared" si="73"/>
        <v>0.00478473524126511</v>
      </c>
      <c r="BA192" s="236">
        <f ca="1" t="shared" si="60"/>
        <v>13.2427418006304</v>
      </c>
      <c r="BB192" s="236">
        <f ca="1" t="shared" si="61"/>
        <v>12.3829440744793</v>
      </c>
      <c r="BC192" s="236">
        <f ca="1" t="shared" si="62"/>
        <v>7.89326914247505</v>
      </c>
      <c r="BD192" s="236">
        <f ca="1" t="shared" si="63"/>
        <v>2.72201122311546</v>
      </c>
    </row>
    <row r="193" s="234" customFormat="1" ht="0.2" customHeight="1" spans="7:56">
      <c r="G193" s="236"/>
      <c r="H193" s="236">
        <f t="shared" si="64"/>
        <v>552</v>
      </c>
      <c r="I193" s="236">
        <f>IF($H193&gt;$H192,INDEX(Spectra!193:193,1,MATCH($I$20,Spectra!$20:$20,0)),I192)</f>
        <v>11.9082514181579</v>
      </c>
      <c r="J193" s="236">
        <f>((Physics!$C$9*Physics!$C$10)/(Physics!$C$11*Physics!$C$12*$H193))^($J$17-$J$18)</f>
        <v>2.77961041834026e+18</v>
      </c>
      <c r="K193" s="236">
        <f t="shared" si="65"/>
        <v>1</v>
      </c>
      <c r="L193" s="236">
        <f ca="1">INDEX(Photobiology!$21:$421,1+$H193-380,10)</f>
        <v>0.9980983</v>
      </c>
      <c r="M193" s="236">
        <f ca="1" t="shared" si="66"/>
        <v>11.9082514181579</v>
      </c>
      <c r="N193" s="236">
        <f ca="1">INDEX(Photobiology!$21:$421,1+$H193-380,N$14)</f>
        <v>0.000327763810520113</v>
      </c>
      <c r="O193" s="236">
        <f ca="1">INDEX(Photobiology!$21:$421,1+$H193-380,O$14)</f>
        <v>0.990494344140101</v>
      </c>
      <c r="P193" s="236">
        <f ca="1">INDEX(Photobiology!$21:$421,1+$H193-380,P$14)</f>
        <v>0.9349750030886</v>
      </c>
      <c r="Q193" s="236">
        <f ca="1">INDEX(Photobiology!$21:$421,1+$H193-380,Q$14)</f>
        <v>0.574960487393635</v>
      </c>
      <c r="R193" s="236">
        <f ca="1">INDEX(Photobiology!$21:$421,1+$H193-380,R$14)</f>
        <v>0.19302830628391</v>
      </c>
      <c r="S193" s="236">
        <f ca="1" t="shared" si="67"/>
        <v>3.31002997061269e+19</v>
      </c>
      <c r="T193" s="236">
        <f ca="1">INDEX(Photobiology!$21:$421,1+$H193-380,T$14)</f>
        <v>0.000261261008385597</v>
      </c>
      <c r="U193" s="236">
        <f ca="1">INDEX(Photobiology!$21:$421,1+$H193-380,U$14)</f>
        <v>0.97440204639956</v>
      </c>
      <c r="V193" s="236">
        <f ca="1">INDEX(Photobiology!$21:$421,1+$H193-380,V$14)</f>
        <v>0.964237419214215</v>
      </c>
      <c r="W193" s="236">
        <f ca="1">INDEX(Photobiology!$21:$421,1+$H193-380,W$14)</f>
        <v>0.530936563550609</v>
      </c>
      <c r="X193" s="236">
        <f ca="1">INDEX(Photobiology!$21:$421,1+$H193-380,X$14)</f>
        <v>0.170919999740361</v>
      </c>
      <c r="Y193" s="236">
        <f ca="1" t="shared" si="54"/>
        <v>11.9082514181579</v>
      </c>
      <c r="Z193" s="236">
        <f ca="1" t="shared" si="68"/>
        <v>0.00390309386144697</v>
      </c>
      <c r="AA193" s="236">
        <f ca="1" t="shared" si="55"/>
        <v>11.7950556782837</v>
      </c>
      <c r="AB193" s="236">
        <f ca="1" t="shared" si="56"/>
        <v>11.133917406472</v>
      </c>
      <c r="AC193" s="236">
        <f ca="1" t="shared" si="57"/>
        <v>6.84677403939001</v>
      </c>
      <c r="AD193" s="236">
        <f ca="1" t="shared" si="58"/>
        <v>2.29862960204999</v>
      </c>
      <c r="AE193" s="236"/>
      <c r="AF193" s="236"/>
      <c r="AG193" s="236"/>
      <c r="AH193" s="236">
        <f t="shared" si="69"/>
        <v>552</v>
      </c>
      <c r="AI193" s="236">
        <f>IF($AH193&gt;$AH192,INDEX(Spectra!193:193,1,MATCH($AI$20,Spectra!$20:$20,0)),AI192)</f>
        <v>1</v>
      </c>
      <c r="AJ193" s="236">
        <f>((Physics!$C$9*Physics!$C$10)/(Physics!$C$11*Physics!$C$12*$AH193))^($AJ$17-$AJ$18)</f>
        <v>2.77961041834026e+18</v>
      </c>
      <c r="AK193" s="236">
        <f t="shared" si="70"/>
        <v>1</v>
      </c>
      <c r="AL193" s="236">
        <f ca="1">INDEX(Photobiology!$21:$421,1+$AH193-380,10)</f>
        <v>0.9980983</v>
      </c>
      <c r="AM193" s="236">
        <f ca="1" t="shared" si="71"/>
        <v>13.3319879209511</v>
      </c>
      <c r="AN193" s="236">
        <f ca="1">INDEX(Photobiology!$21:$421,1+$AH193-380,AN$14)</f>
        <v>0.000327763810520113</v>
      </c>
      <c r="AO193" s="236">
        <f ca="1">INDEX(Photobiology!$21:$421,1+$AH193-380,AO$14)</f>
        <v>0.990494344140101</v>
      </c>
      <c r="AP193" s="236">
        <f ca="1">INDEX(Photobiology!$21:$421,1+$AH193-380,AP$14)</f>
        <v>0.9349750030886</v>
      </c>
      <c r="AQ193" s="236">
        <f ca="1">INDEX(Photobiology!$21:$421,1+$AH193-380,AQ$14)</f>
        <v>0.574960487393635</v>
      </c>
      <c r="AR193" s="236">
        <f ca="1">INDEX(Photobiology!$21:$421,1+$AH193-380,AR$14)</f>
        <v>0.19302830628391</v>
      </c>
      <c r="AS193" s="236">
        <f ca="1" t="shared" si="72"/>
        <v>3.70577325222622e+19</v>
      </c>
      <c r="AT193" s="236">
        <f ca="1">INDEX(Photobiology!$21:$421,1+$AH193-380,AT$14)</f>
        <v>0.000261261008385597</v>
      </c>
      <c r="AU193" s="236">
        <f ca="1">INDEX(Photobiology!$21:$421,1+$AH193-380,AU$14)</f>
        <v>0.97440204639956</v>
      </c>
      <c r="AV193" s="236">
        <f ca="1">INDEX(Photobiology!$21:$421,1+$AH193-380,AV$14)</f>
        <v>0.964237419214215</v>
      </c>
      <c r="AW193" s="236">
        <f ca="1">INDEX(Photobiology!$21:$421,1+$AH193-380,AW$14)</f>
        <v>0.530936563550609</v>
      </c>
      <c r="AX193" s="236">
        <f ca="1">INDEX(Photobiology!$21:$421,1+$AH193-380,AX$14)</f>
        <v>0.170919999740361</v>
      </c>
      <c r="AY193" s="236">
        <f ca="1" t="shared" si="59"/>
        <v>13.3319879209511</v>
      </c>
      <c r="AZ193" s="236">
        <f ca="1" t="shared" si="73"/>
        <v>0.00436974316277907</v>
      </c>
      <c r="BA193" s="236">
        <f ca="1" t="shared" si="60"/>
        <v>13.2052586318462</v>
      </c>
      <c r="BB193" s="236">
        <f ca="1" t="shared" si="61"/>
        <v>12.4650754475685</v>
      </c>
      <c r="BC193" s="236">
        <f ca="1" t="shared" si="62"/>
        <v>7.66536627295612</v>
      </c>
      <c r="BD193" s="236">
        <f ca="1" t="shared" si="63"/>
        <v>2.57345104777875</v>
      </c>
    </row>
    <row r="194" s="234" customFormat="1" ht="0.2" customHeight="1" spans="7:56">
      <c r="G194" s="236"/>
      <c r="H194" s="236">
        <f t="shared" si="64"/>
        <v>553</v>
      </c>
      <c r="I194" s="236">
        <f>IF($H194&gt;$H193,INDEX(Spectra!194:194,1,MATCH($I$20,Spectra!$20:$20,0)),I193)</f>
        <v>11.8182383697451</v>
      </c>
      <c r="J194" s="236">
        <f>((Physics!$C$9*Physics!$C$10)/(Physics!$C$11*Physics!$C$12*$H194))^($J$17-$J$18)</f>
        <v>2.78464594446044e+18</v>
      </c>
      <c r="K194" s="236">
        <f t="shared" si="65"/>
        <v>1</v>
      </c>
      <c r="L194" s="236">
        <f ca="1">INDEX(Photobiology!$21:$421,1+$H194-380,10)</f>
        <v>0.999112</v>
      </c>
      <c r="M194" s="236">
        <f ca="1" t="shared" si="66"/>
        <v>11.8182383697451</v>
      </c>
      <c r="N194" s="236">
        <f ca="1">INDEX(Photobiology!$21:$421,1+$H194-380,N$14)</f>
        <v>0.000299430475517429</v>
      </c>
      <c r="O194" s="236">
        <f ca="1">INDEX(Photobiology!$21:$421,1+$H194-380,O$14)</f>
        <v>0.987236037008892</v>
      </c>
      <c r="P194" s="236">
        <f ca="1">INDEX(Photobiology!$21:$421,1+$H194-380,P$14)</f>
        <v>0.940933649561994</v>
      </c>
      <c r="Q194" s="236">
        <f ca="1">INDEX(Photobiology!$21:$421,1+$H194-380,Q$14)</f>
        <v>0.557825033256074</v>
      </c>
      <c r="R194" s="236">
        <f ca="1">INDEX(Photobiology!$21:$421,1+$H194-380,R$14)</f>
        <v>0.182294682266955</v>
      </c>
      <c r="S194" s="236">
        <f ca="1" t="shared" si="67"/>
        <v>3.29096095469775e+19</v>
      </c>
      <c r="T194" s="236">
        <f ca="1">INDEX(Photobiology!$21:$421,1+$H194-380,T$14)</f>
        <v>0.000238244862979509</v>
      </c>
      <c r="U194" s="236">
        <f ca="1">INDEX(Photobiology!$21:$421,1+$H194-380,U$14)</f>
        <v>0.969440443428924</v>
      </c>
      <c r="V194" s="236">
        <f ca="1">INDEX(Photobiology!$21:$421,1+$H194-380,V$14)</f>
        <v>0.968627796154546</v>
      </c>
      <c r="W194" s="236">
        <f ca="1">INDEX(Photobiology!$21:$421,1+$H194-380,W$14)</f>
        <v>0.514181658761673</v>
      </c>
      <c r="X194" s="236">
        <f ca="1">INDEX(Photobiology!$21:$421,1+$H194-380,X$14)</f>
        <v>0.161123849724117</v>
      </c>
      <c r="Y194" s="236">
        <f ca="1" t="shared" si="54"/>
        <v>11.8182383697451</v>
      </c>
      <c r="Z194" s="236">
        <f ca="1" t="shared" si="68"/>
        <v>0.0035387407348311</v>
      </c>
      <c r="AA194" s="236">
        <f ca="1" t="shared" si="55"/>
        <v>11.6673908125736</v>
      </c>
      <c r="AB194" s="236">
        <f ca="1" t="shared" si="56"/>
        <v>11.1201781606378</v>
      </c>
      <c r="AC194" s="236">
        <f ca="1" t="shared" si="57"/>
        <v>6.59250921163127</v>
      </c>
      <c r="AD194" s="236">
        <f ca="1" t="shared" si="58"/>
        <v>2.15440200856782</v>
      </c>
      <c r="AE194" s="236"/>
      <c r="AF194" s="236"/>
      <c r="AG194" s="236"/>
      <c r="AH194" s="236">
        <f t="shared" si="69"/>
        <v>553</v>
      </c>
      <c r="AI194" s="236">
        <f>IF($AH194&gt;$AH193,INDEX(Spectra!194:194,1,MATCH($AI$20,Spectra!$20:$20,0)),AI193)</f>
        <v>1</v>
      </c>
      <c r="AJ194" s="236">
        <f>((Physics!$C$9*Physics!$C$10)/(Physics!$C$11*Physics!$C$12*$AH194))^($AJ$17-$AJ$18)</f>
        <v>2.78464594446044e+18</v>
      </c>
      <c r="AK194" s="236">
        <f t="shared" si="70"/>
        <v>1</v>
      </c>
      <c r="AL194" s="236">
        <f ca="1">INDEX(Photobiology!$21:$421,1+$AH194-380,10)</f>
        <v>0.999112</v>
      </c>
      <c r="AM194" s="236">
        <f ca="1" t="shared" si="71"/>
        <v>13.3319879209511</v>
      </c>
      <c r="AN194" s="236">
        <f ca="1">INDEX(Photobiology!$21:$421,1+$AH194-380,AN$14)</f>
        <v>0.000299430475517429</v>
      </c>
      <c r="AO194" s="236">
        <f ca="1">INDEX(Photobiology!$21:$421,1+$AH194-380,AO$14)</f>
        <v>0.987236037008892</v>
      </c>
      <c r="AP194" s="236">
        <f ca="1">INDEX(Photobiology!$21:$421,1+$AH194-380,AP$14)</f>
        <v>0.940933649561994</v>
      </c>
      <c r="AQ194" s="236">
        <f ca="1">INDEX(Photobiology!$21:$421,1+$AH194-380,AQ$14)</f>
        <v>0.557825033256074</v>
      </c>
      <c r="AR194" s="236">
        <f ca="1">INDEX(Photobiology!$21:$421,1+$AH194-380,AR$14)</f>
        <v>0.182294682266955</v>
      </c>
      <c r="AS194" s="236">
        <f ca="1" t="shared" si="72"/>
        <v>3.71248660956721e+19</v>
      </c>
      <c r="AT194" s="236">
        <f ca="1">INDEX(Photobiology!$21:$421,1+$AH194-380,AT$14)</f>
        <v>0.000238244862979509</v>
      </c>
      <c r="AU194" s="236">
        <f ca="1">INDEX(Photobiology!$21:$421,1+$AH194-380,AU$14)</f>
        <v>0.969440443428924</v>
      </c>
      <c r="AV194" s="236">
        <f ca="1">INDEX(Photobiology!$21:$421,1+$AH194-380,AV$14)</f>
        <v>0.968627796154546</v>
      </c>
      <c r="AW194" s="236">
        <f ca="1">INDEX(Photobiology!$21:$421,1+$AH194-380,AW$14)</f>
        <v>0.514181658761673</v>
      </c>
      <c r="AX194" s="236">
        <f ca="1">INDEX(Photobiology!$21:$421,1+$AH194-380,AX$14)</f>
        <v>0.161123849724117</v>
      </c>
      <c r="AY194" s="236">
        <f ca="1" t="shared" si="59"/>
        <v>13.3319879209511</v>
      </c>
      <c r="AZ194" s="236">
        <f ca="1" t="shared" si="73"/>
        <v>0.00399200348276302</v>
      </c>
      <c r="BA194" s="236">
        <f ca="1" t="shared" si="60"/>
        <v>13.1618189205302</v>
      </c>
      <c r="BB194" s="236">
        <f ca="1" t="shared" si="61"/>
        <v>12.544516050377</v>
      </c>
      <c r="BC194" s="236">
        <f ca="1" t="shared" si="62"/>
        <v>7.43691660537415</v>
      </c>
      <c r="BD194" s="236">
        <f ca="1" t="shared" si="63"/>
        <v>2.43035050203667</v>
      </c>
    </row>
    <row r="195" s="234" customFormat="1" ht="0.2" customHeight="1" spans="7:56">
      <c r="G195" s="236"/>
      <c r="H195" s="236">
        <f t="shared" si="64"/>
        <v>554</v>
      </c>
      <c r="I195" s="236">
        <f>IF($H195&gt;$H194,INDEX(Spectra!195:195,1,MATCH($I$20,Spectra!$20:$20,0)),I194)</f>
        <v>11.7452369850813</v>
      </c>
      <c r="J195" s="236">
        <f>((Physics!$C$9*Physics!$C$10)/(Physics!$C$11*Physics!$C$12*$H195))^($J$17-$J$18)</f>
        <v>2.78968147058062e+18</v>
      </c>
      <c r="K195" s="236">
        <f t="shared" si="65"/>
        <v>1</v>
      </c>
      <c r="L195" s="236">
        <f ca="1">INDEX(Photobiology!$21:$421,1+$H195-380,10)</f>
        <v>0.9997482</v>
      </c>
      <c r="M195" s="236">
        <f ca="1" t="shared" si="66"/>
        <v>11.7452369850813</v>
      </c>
      <c r="N195" s="236">
        <f ca="1">INDEX(Photobiology!$21:$421,1+$H195-380,N$14)</f>
        <v>0.000273633332737112</v>
      </c>
      <c r="O195" s="236">
        <f ca="1">INDEX(Photobiology!$21:$421,1+$H195-380,O$14)</f>
        <v>0.983526350572338</v>
      </c>
      <c r="P195" s="236">
        <f ca="1">INDEX(Photobiology!$21:$421,1+$H195-380,P$14)</f>
        <v>0.946681739255586</v>
      </c>
      <c r="Q195" s="236">
        <f ca="1">INDEX(Photobiology!$21:$421,1+$H195-380,Q$14)</f>
        <v>0.540673395367073</v>
      </c>
      <c r="R195" s="236">
        <f ca="1">INDEX(Photobiology!$21:$421,1+$H195-380,R$14)</f>
        <v>0.171970518228559</v>
      </c>
      <c r="S195" s="236">
        <f ca="1" t="shared" si="67"/>
        <v>3.27654699848595e+19</v>
      </c>
      <c r="T195" s="236">
        <f ca="1">INDEX(Photobiology!$21:$421,1+$H195-380,T$14)</f>
        <v>0.000217326112643194</v>
      </c>
      <c r="U195" s="236">
        <f ca="1">INDEX(Photobiology!$21:$421,1+$H195-380,U$14)</f>
        <v>0.964054309570019</v>
      </c>
      <c r="V195" s="236">
        <f ca="1">INDEX(Photobiology!$21:$421,1+$H195-380,V$14)</f>
        <v>0.972785960592977</v>
      </c>
      <c r="W195" s="236">
        <f ca="1">INDEX(Photobiology!$21:$421,1+$H195-380,W$14)</f>
        <v>0.497472350361075</v>
      </c>
      <c r="X195" s="236">
        <f ca="1">INDEX(Photobiology!$21:$421,1+$H195-380,X$14)</f>
        <v>0.151724318863157</v>
      </c>
      <c r="Y195" s="236">
        <f ca="1" t="shared" si="54"/>
        <v>11.7452369850813</v>
      </c>
      <c r="Z195" s="236">
        <f ca="1" t="shared" si="68"/>
        <v>0.00321388834001499</v>
      </c>
      <c r="AA195" s="236">
        <f ca="1" t="shared" si="55"/>
        <v>11.5517500685443</v>
      </c>
      <c r="AB195" s="236">
        <f ca="1" t="shared" si="56"/>
        <v>11.1190013770058</v>
      </c>
      <c r="AC195" s="236">
        <f ca="1" t="shared" si="57"/>
        <v>6.35033716011483</v>
      </c>
      <c r="AD195" s="236">
        <f ca="1" t="shared" si="58"/>
        <v>2.01983449104167</v>
      </c>
      <c r="AE195" s="236"/>
      <c r="AF195" s="236"/>
      <c r="AG195" s="236"/>
      <c r="AH195" s="236">
        <f t="shared" si="69"/>
        <v>554</v>
      </c>
      <c r="AI195" s="236">
        <f>IF($AH195&gt;$AH194,INDEX(Spectra!195:195,1,MATCH($AI$20,Spectra!$20:$20,0)),AI194)</f>
        <v>1</v>
      </c>
      <c r="AJ195" s="236">
        <f>((Physics!$C$9*Physics!$C$10)/(Physics!$C$11*Physics!$C$12*$AH195))^($AJ$17-$AJ$18)</f>
        <v>2.78968147058062e+18</v>
      </c>
      <c r="AK195" s="236">
        <f t="shared" si="70"/>
        <v>1</v>
      </c>
      <c r="AL195" s="236">
        <f ca="1">INDEX(Photobiology!$21:$421,1+$AH195-380,10)</f>
        <v>0.9997482</v>
      </c>
      <c r="AM195" s="236">
        <f ca="1" t="shared" si="71"/>
        <v>13.3319879209511</v>
      </c>
      <c r="AN195" s="236">
        <f ca="1">INDEX(Photobiology!$21:$421,1+$AH195-380,AN$14)</f>
        <v>0.000273633332737112</v>
      </c>
      <c r="AO195" s="236">
        <f ca="1">INDEX(Photobiology!$21:$421,1+$AH195-380,AO$14)</f>
        <v>0.983526350572338</v>
      </c>
      <c r="AP195" s="236">
        <f ca="1">INDEX(Photobiology!$21:$421,1+$AH195-380,AP$14)</f>
        <v>0.946681739255586</v>
      </c>
      <c r="AQ195" s="236">
        <f ca="1">INDEX(Photobiology!$21:$421,1+$AH195-380,AQ$14)</f>
        <v>0.540673395367073</v>
      </c>
      <c r="AR195" s="236">
        <f ca="1">INDEX(Photobiology!$21:$421,1+$AH195-380,AR$14)</f>
        <v>0.171970518228559</v>
      </c>
      <c r="AS195" s="236">
        <f ca="1" t="shared" si="72"/>
        <v>3.7191999669082e+19</v>
      </c>
      <c r="AT195" s="236">
        <f ca="1">INDEX(Photobiology!$21:$421,1+$AH195-380,AT$14)</f>
        <v>0.000217326112643194</v>
      </c>
      <c r="AU195" s="236">
        <f ca="1">INDEX(Photobiology!$21:$421,1+$AH195-380,AU$14)</f>
        <v>0.964054309570019</v>
      </c>
      <c r="AV195" s="236">
        <f ca="1">INDEX(Photobiology!$21:$421,1+$AH195-380,AV$14)</f>
        <v>0.972785960592977</v>
      </c>
      <c r="AW195" s="236">
        <f ca="1">INDEX(Photobiology!$21:$421,1+$AH195-380,AW$14)</f>
        <v>0.497472350361075</v>
      </c>
      <c r="AX195" s="236">
        <f ca="1">INDEX(Photobiology!$21:$421,1+$AH195-380,AX$14)</f>
        <v>0.151724318863157</v>
      </c>
      <c r="AY195" s="236">
        <f ca="1" t="shared" si="59"/>
        <v>13.3319879209511</v>
      </c>
      <c r="AZ195" s="236">
        <f ca="1" t="shared" si="73"/>
        <v>0.00364807628682078</v>
      </c>
      <c r="BA195" s="236">
        <f ca="1" t="shared" si="60"/>
        <v>13.1123614257676</v>
      </c>
      <c r="BB195" s="236">
        <f ca="1" t="shared" si="61"/>
        <v>12.6211495127405</v>
      </c>
      <c r="BC195" s="236">
        <f ca="1" t="shared" si="62"/>
        <v>7.20825117621346</v>
      </c>
      <c r="BD195" s="236">
        <f ca="1" t="shared" si="63"/>
        <v>2.29270887178286</v>
      </c>
    </row>
    <row r="196" s="234" customFormat="1" ht="0.2" customHeight="1" spans="7:56">
      <c r="G196" s="236"/>
      <c r="H196" s="236">
        <f t="shared" si="64"/>
        <v>555</v>
      </c>
      <c r="I196" s="236">
        <f>IF($H196&gt;$H195,INDEX(Spectra!196:196,1,MATCH($I$20,Spectra!$20:$20,0)),I195)</f>
        <v>11.6672242860202</v>
      </c>
      <c r="J196" s="236">
        <f>((Physics!$C$9*Physics!$C$10)/(Physics!$C$11*Physics!$C$12*$H196))^($J$17-$J$18)</f>
        <v>2.7947169967008e+18</v>
      </c>
      <c r="K196" s="236">
        <f t="shared" si="65"/>
        <v>1</v>
      </c>
      <c r="L196" s="236">
        <f ca="1">INDEX(Photobiology!$21:$421,1+$H196-380,10)</f>
        <v>1</v>
      </c>
      <c r="M196" s="236">
        <f ca="1" t="shared" si="66"/>
        <v>11.6672242860202</v>
      </c>
      <c r="N196" s="236">
        <f ca="1">INDEX(Photobiology!$21:$421,1+$H196-380,N$14)</f>
        <v>0.00025013646040407</v>
      </c>
      <c r="O196" s="236">
        <f ca="1">INDEX(Photobiology!$21:$421,1+$H196-380,O$14)</f>
        <v>0.979361438379381</v>
      </c>
      <c r="P196" s="236">
        <f ca="1">INDEX(Photobiology!$21:$421,1+$H196-380,P$14)</f>
        <v>0.952217151946725</v>
      </c>
      <c r="Q196" s="236">
        <f ca="1">INDEX(Photobiology!$21:$421,1+$H196-380,Q$14)</f>
        <v>0.523532925403092</v>
      </c>
      <c r="R196" s="236">
        <f ca="1">INDEX(Photobiology!$21:$421,1+$H196-380,R$14)</f>
        <v>0.162055957055033</v>
      </c>
      <c r="S196" s="236">
        <f ca="1" t="shared" si="67"/>
        <v>3.2606590016461e+19</v>
      </c>
      <c r="T196" s="236">
        <f ca="1">INDEX(Photobiology!$21:$421,1+$H196-380,T$14)</f>
        <v>0.000198306383023046</v>
      </c>
      <c r="U196" s="236">
        <f ca="1">INDEX(Photobiology!$21:$421,1+$H196-380,U$14)</f>
        <v>0.958242176079441</v>
      </c>
      <c r="V196" s="236">
        <f ca="1">INDEX(Photobiology!$21:$421,1+$H196-380,V$14)</f>
        <v>0.976710992971173</v>
      </c>
      <c r="W196" s="236">
        <f ca="1">INDEX(Photobiology!$21:$421,1+$H196-380,W$14)</f>
        <v>0.480833512752063</v>
      </c>
      <c r="X196" s="236">
        <f ca="1">INDEX(Photobiology!$21:$421,1+$H196-380,X$14)</f>
        <v>0.142719389107223</v>
      </c>
      <c r="Y196" s="236">
        <f ca="1" t="shared" si="54"/>
        <v>11.6672242860202</v>
      </c>
      <c r="Z196" s="236">
        <f ca="1" t="shared" si="68"/>
        <v>0.0029183981856455</v>
      </c>
      <c r="AA196" s="236">
        <f ca="1" t="shared" si="55"/>
        <v>11.4264295586516</v>
      </c>
      <c r="AB196" s="236">
        <f ca="1" t="shared" si="56"/>
        <v>11.1097310807578</v>
      </c>
      <c r="AC196" s="236">
        <f ca="1" t="shared" si="57"/>
        <v>6.10817606179416</v>
      </c>
      <c r="AD196" s="236">
        <f ca="1" t="shared" si="58"/>
        <v>1.89074319784673</v>
      </c>
      <c r="AE196" s="236"/>
      <c r="AF196" s="236"/>
      <c r="AG196" s="236"/>
      <c r="AH196" s="236">
        <f t="shared" si="69"/>
        <v>555</v>
      </c>
      <c r="AI196" s="236">
        <f>IF($AH196&gt;$AH195,INDEX(Spectra!196:196,1,MATCH($AI$20,Spectra!$20:$20,0)),AI195)</f>
        <v>1</v>
      </c>
      <c r="AJ196" s="236">
        <f>((Physics!$C$9*Physics!$C$10)/(Physics!$C$11*Physics!$C$12*$AH196))^($AJ$17-$AJ$18)</f>
        <v>2.7947169967008e+18</v>
      </c>
      <c r="AK196" s="236">
        <f t="shared" si="70"/>
        <v>1</v>
      </c>
      <c r="AL196" s="236">
        <f ca="1">INDEX(Photobiology!$21:$421,1+$AH196-380,10)</f>
        <v>1</v>
      </c>
      <c r="AM196" s="236">
        <f ca="1" t="shared" si="71"/>
        <v>13.3319879209511</v>
      </c>
      <c r="AN196" s="236">
        <f ca="1">INDEX(Photobiology!$21:$421,1+$AH196-380,AN$14)</f>
        <v>0.00025013646040407</v>
      </c>
      <c r="AO196" s="236">
        <f ca="1">INDEX(Photobiology!$21:$421,1+$AH196-380,AO$14)</f>
        <v>0.979361438379381</v>
      </c>
      <c r="AP196" s="236">
        <f ca="1">INDEX(Photobiology!$21:$421,1+$AH196-380,AP$14)</f>
        <v>0.952217151946725</v>
      </c>
      <c r="AQ196" s="236">
        <f ca="1">INDEX(Photobiology!$21:$421,1+$AH196-380,AQ$14)</f>
        <v>0.523532925403092</v>
      </c>
      <c r="AR196" s="236">
        <f ca="1">INDEX(Photobiology!$21:$421,1+$AH196-380,AR$14)</f>
        <v>0.162055957055033</v>
      </c>
      <c r="AS196" s="236">
        <f ca="1" t="shared" si="72"/>
        <v>3.72591332424919e+19</v>
      </c>
      <c r="AT196" s="236">
        <f ca="1">INDEX(Photobiology!$21:$421,1+$AH196-380,AT$14)</f>
        <v>0.000198306383023046</v>
      </c>
      <c r="AU196" s="236">
        <f ca="1">INDEX(Photobiology!$21:$421,1+$AH196-380,AU$14)</f>
        <v>0.958242176079441</v>
      </c>
      <c r="AV196" s="236">
        <f ca="1">INDEX(Photobiology!$21:$421,1+$AH196-380,AV$14)</f>
        <v>0.976710992971173</v>
      </c>
      <c r="AW196" s="236">
        <f ca="1">INDEX(Photobiology!$21:$421,1+$AH196-380,AW$14)</f>
        <v>0.480833512752063</v>
      </c>
      <c r="AX196" s="236">
        <f ca="1">INDEX(Photobiology!$21:$421,1+$AH196-380,AX$14)</f>
        <v>0.142719389107223</v>
      </c>
      <c r="AY196" s="236">
        <f ca="1" t="shared" si="59"/>
        <v>13.3319879209511</v>
      </c>
      <c r="AZ196" s="236">
        <f ca="1" t="shared" si="73"/>
        <v>0.00333481626869653</v>
      </c>
      <c r="BA196" s="236">
        <f ca="1" t="shared" si="60"/>
        <v>13.0568348667192</v>
      </c>
      <c r="BB196" s="236">
        <f ca="1" t="shared" si="61"/>
        <v>12.6949475678762</v>
      </c>
      <c r="BC196" s="236">
        <f ca="1" t="shared" si="62"/>
        <v>6.97973463769424</v>
      </c>
      <c r="BD196" s="236">
        <f ca="1" t="shared" si="63"/>
        <v>2.16052806197588</v>
      </c>
    </row>
    <row r="197" s="234" customFormat="1" ht="0.2" customHeight="1" spans="7:56">
      <c r="G197" s="236"/>
      <c r="H197" s="236">
        <f t="shared" si="64"/>
        <v>556</v>
      </c>
      <c r="I197" s="236">
        <f>IF($H197&gt;$H196,INDEX(Spectra!197:197,1,MATCH($I$20,Spectra!$20:$20,0)),I196)</f>
        <v>11.6000460947928</v>
      </c>
      <c r="J197" s="236">
        <f>((Physics!$C$9*Physics!$C$10)/(Physics!$C$11*Physics!$C$12*$H197))^($J$17-$J$18)</f>
        <v>2.79975252282098e+18</v>
      </c>
      <c r="K197" s="236">
        <f t="shared" si="65"/>
        <v>1</v>
      </c>
      <c r="L197" s="236">
        <f ca="1">INDEX(Photobiology!$21:$421,1+$H197-380,10)</f>
        <v>0.9998567</v>
      </c>
      <c r="M197" s="236">
        <f ca="1" t="shared" si="66"/>
        <v>11.6000460947928</v>
      </c>
      <c r="N197" s="236">
        <f ca="1">INDEX(Photobiology!$21:$421,1+$H197-380,N$14)</f>
        <v>0.000228729931545404</v>
      </c>
      <c r="O197" s="236">
        <f ca="1">INDEX(Photobiology!$21:$421,1+$H197-380,O$14)</f>
        <v>0.974738230516592</v>
      </c>
      <c r="P197" s="236">
        <f ca="1">INDEX(Photobiology!$21:$421,1+$H197-380,P$14)</f>
        <v>0.957529141089003</v>
      </c>
      <c r="Q197" s="236">
        <f ca="1">INDEX(Photobiology!$21:$421,1+$H197-380,Q$14)</f>
        <v>0.506429504882752</v>
      </c>
      <c r="R197" s="236">
        <f ca="1">INDEX(Photobiology!$21:$421,1+$H197-380,R$14)</f>
        <v>0.152548871766699</v>
      </c>
      <c r="S197" s="236">
        <f ca="1" t="shared" si="67"/>
        <v>3.24772583187358e+19</v>
      </c>
      <c r="T197" s="236">
        <f ca="1">INDEX(Photobiology!$21:$421,1+$H197-380,T$14)</f>
        <v>0.000181009298345284</v>
      </c>
      <c r="U197" s="236">
        <f ca="1">INDEX(Photobiology!$21:$421,1+$H197-380,U$14)</f>
        <v>0.95200334320588</v>
      </c>
      <c r="V197" s="236">
        <f ca="1">INDEX(Photobiology!$21:$421,1+$H197-380,V$14)</f>
        <v>0.980393148042076</v>
      </c>
      <c r="W197" s="236">
        <f ca="1">INDEX(Photobiology!$21:$421,1+$H197-380,W$14)</f>
        <v>0.46428849356228</v>
      </c>
      <c r="X197" s="236">
        <f ca="1">INDEX(Photobiology!$21:$421,1+$H197-380,X$14)</f>
        <v>0.134105061494916</v>
      </c>
      <c r="Y197" s="236">
        <f ca="1" t="shared" si="54"/>
        <v>11.6000460947928</v>
      </c>
      <c r="Z197" s="236">
        <f ca="1" t="shared" si="68"/>
        <v>0.00265327774918549</v>
      </c>
      <c r="AA197" s="236">
        <f ca="1" t="shared" si="55"/>
        <v>11.3070084043492</v>
      </c>
      <c r="AB197" s="236">
        <f ca="1" t="shared" si="56"/>
        <v>11.1073821737398</v>
      </c>
      <c r="AC197" s="236">
        <f ca="1" t="shared" si="57"/>
        <v>5.87460560040302</v>
      </c>
      <c r="AD197" s="236">
        <f ca="1" t="shared" si="58"/>
        <v>1.76957394420234</v>
      </c>
      <c r="AE197" s="236"/>
      <c r="AF197" s="236"/>
      <c r="AG197" s="236"/>
      <c r="AH197" s="236">
        <f t="shared" si="69"/>
        <v>556</v>
      </c>
      <c r="AI197" s="236">
        <f>IF($AH197&gt;$AH196,INDEX(Spectra!197:197,1,MATCH($AI$20,Spectra!$20:$20,0)),AI196)</f>
        <v>1</v>
      </c>
      <c r="AJ197" s="236">
        <f>((Physics!$C$9*Physics!$C$10)/(Physics!$C$11*Physics!$C$12*$AH197))^($AJ$17-$AJ$18)</f>
        <v>2.79975252282098e+18</v>
      </c>
      <c r="AK197" s="236">
        <f t="shared" si="70"/>
        <v>1</v>
      </c>
      <c r="AL197" s="236">
        <f ca="1">INDEX(Photobiology!$21:$421,1+$AH197-380,10)</f>
        <v>0.9998567</v>
      </c>
      <c r="AM197" s="236">
        <f ca="1" t="shared" si="71"/>
        <v>13.3319879209511</v>
      </c>
      <c r="AN197" s="236">
        <f ca="1">INDEX(Photobiology!$21:$421,1+$AH197-380,AN$14)</f>
        <v>0.000228729931545404</v>
      </c>
      <c r="AO197" s="236">
        <f ca="1">INDEX(Photobiology!$21:$421,1+$AH197-380,AO$14)</f>
        <v>0.974738230516592</v>
      </c>
      <c r="AP197" s="236">
        <f ca="1">INDEX(Photobiology!$21:$421,1+$AH197-380,AP$14)</f>
        <v>0.957529141089003</v>
      </c>
      <c r="AQ197" s="236">
        <f ca="1">INDEX(Photobiology!$21:$421,1+$AH197-380,AQ$14)</f>
        <v>0.506429504882752</v>
      </c>
      <c r="AR197" s="236">
        <f ca="1">INDEX(Photobiology!$21:$421,1+$AH197-380,AR$14)</f>
        <v>0.152548871766699</v>
      </c>
      <c r="AS197" s="236">
        <f ca="1" t="shared" si="72"/>
        <v>3.73262668159018e+19</v>
      </c>
      <c r="AT197" s="236">
        <f ca="1">INDEX(Photobiology!$21:$421,1+$AH197-380,AT$14)</f>
        <v>0.000181009298345284</v>
      </c>
      <c r="AU197" s="236">
        <f ca="1">INDEX(Photobiology!$21:$421,1+$AH197-380,AU$14)</f>
        <v>0.95200334320588</v>
      </c>
      <c r="AV197" s="236">
        <f ca="1">INDEX(Photobiology!$21:$421,1+$AH197-380,AV$14)</f>
        <v>0.980393148042076</v>
      </c>
      <c r="AW197" s="236">
        <f ca="1">INDEX(Photobiology!$21:$421,1+$AH197-380,AW$14)</f>
        <v>0.46428849356228</v>
      </c>
      <c r="AX197" s="236">
        <f ca="1">INDEX(Photobiology!$21:$421,1+$AH197-380,AX$14)</f>
        <v>0.134105061494916</v>
      </c>
      <c r="AY197" s="236">
        <f ca="1" t="shared" si="59"/>
        <v>13.3319879209511</v>
      </c>
      <c r="AZ197" s="236">
        <f ca="1" t="shared" si="73"/>
        <v>0.00304942468452331</v>
      </c>
      <c r="BA197" s="236">
        <f ca="1" t="shared" si="60"/>
        <v>12.9951983153365</v>
      </c>
      <c r="BB197" s="236">
        <f ca="1" t="shared" si="61"/>
        <v>12.7657669429573</v>
      </c>
      <c r="BC197" s="236">
        <f ca="1" t="shared" si="62"/>
        <v>6.75171204191012</v>
      </c>
      <c r="BD197" s="236">
        <f ca="1" t="shared" si="63"/>
        <v>2.03377971574836</v>
      </c>
    </row>
    <row r="198" s="234" customFormat="1" ht="0.2" customHeight="1" spans="7:56">
      <c r="G198" s="236"/>
      <c r="H198" s="236">
        <f t="shared" si="64"/>
        <v>557</v>
      </c>
      <c r="I198" s="236">
        <f>IF($H198&gt;$H197,INDEX(Spectra!198:198,1,MATCH($I$20,Spectra!$20:$20,0)),I197)</f>
        <v>11.5331981695316</v>
      </c>
      <c r="J198" s="236">
        <f>((Physics!$C$9*Physics!$C$10)/(Physics!$C$11*Physics!$C$12*$H198))^($J$17-$J$18)</f>
        <v>2.80478804894116e+18</v>
      </c>
      <c r="K198" s="236">
        <f t="shared" si="65"/>
        <v>1</v>
      </c>
      <c r="L198" s="236">
        <f ca="1">INDEX(Photobiology!$21:$421,1+$H198-380,10)</f>
        <v>0.9993046</v>
      </c>
      <c r="M198" s="236">
        <f ca="1" t="shared" si="66"/>
        <v>11.5331981695316</v>
      </c>
      <c r="N198" s="236">
        <f ca="1">INDEX(Photobiology!$21:$421,1+$H198-380,N$14)</f>
        <v>0.000209220868225433</v>
      </c>
      <c r="O198" s="236">
        <f ca="1">INDEX(Photobiology!$21:$421,1+$H198-380,O$14)</f>
        <v>0.969654461409037</v>
      </c>
      <c r="P198" s="236">
        <f ca="1">INDEX(Photobiology!$21:$421,1+$H198-380,P$14)</f>
        <v>0.962611398607954</v>
      </c>
      <c r="Q198" s="236">
        <f ca="1">INDEX(Photobiology!$21:$421,1+$H198-380,Q$14)</f>
        <v>0.489388770700594</v>
      </c>
      <c r="R198" s="236">
        <f ca="1">INDEX(Photobiology!$21:$421,1+$H198-380,R$14)</f>
        <v>0.143446514462968</v>
      </c>
      <c r="S198" s="236">
        <f ca="1" t="shared" si="67"/>
        <v>3.23481763919723e+19</v>
      </c>
      <c r="T198" s="236">
        <f ca="1">INDEX(Photobiology!$21:$421,1+$H198-380,T$14)</f>
        <v>0.000165273217269642</v>
      </c>
      <c r="U198" s="236">
        <f ca="1">INDEX(Photobiology!$21:$421,1+$H198-380,U$14)</f>
        <v>0.94533790039082</v>
      </c>
      <c r="V198" s="236">
        <f ca="1">INDEX(Photobiology!$21:$421,1+$H198-380,V$14)</f>
        <v>0.983827286838002</v>
      </c>
      <c r="W198" s="236">
        <f ca="1">INDEX(Photobiology!$21:$421,1+$H198-380,W$14)</f>
        <v>0.447860248886598</v>
      </c>
      <c r="X198" s="236">
        <f ca="1">INDEX(Photobiology!$21:$421,1+$H198-380,X$14)</f>
        <v>0.125876820913749</v>
      </c>
      <c r="Y198" s="236">
        <f ca="1" t="shared" si="54"/>
        <v>11.5331981695316</v>
      </c>
      <c r="Z198" s="236">
        <f ca="1" t="shared" si="68"/>
        <v>0.00241298573444538</v>
      </c>
      <c r="AA198" s="236">
        <f ca="1" t="shared" si="55"/>
        <v>11.1832170594009</v>
      </c>
      <c r="AB198" s="236">
        <f ca="1" t="shared" si="56"/>
        <v>11.1019880203955</v>
      </c>
      <c r="AC198" s="236">
        <f ca="1" t="shared" si="57"/>
        <v>5.64421767443341</v>
      </c>
      <c r="AD198" s="236">
        <f ca="1" t="shared" si="58"/>
        <v>1.65439707802999</v>
      </c>
      <c r="AE198" s="236"/>
      <c r="AF198" s="236"/>
      <c r="AG198" s="236"/>
      <c r="AH198" s="236">
        <f t="shared" si="69"/>
        <v>557</v>
      </c>
      <c r="AI198" s="236">
        <f>IF($AH198&gt;$AH197,INDEX(Spectra!198:198,1,MATCH($AI$20,Spectra!$20:$20,0)),AI197)</f>
        <v>1</v>
      </c>
      <c r="AJ198" s="236">
        <f>((Physics!$C$9*Physics!$C$10)/(Physics!$C$11*Physics!$C$12*$AH198))^($AJ$17-$AJ$18)</f>
        <v>2.80478804894116e+18</v>
      </c>
      <c r="AK198" s="236">
        <f t="shared" si="70"/>
        <v>1</v>
      </c>
      <c r="AL198" s="236">
        <f ca="1">INDEX(Photobiology!$21:$421,1+$AH198-380,10)</f>
        <v>0.9993046</v>
      </c>
      <c r="AM198" s="236">
        <f ca="1" t="shared" si="71"/>
        <v>13.3319879209511</v>
      </c>
      <c r="AN198" s="236">
        <f ca="1">INDEX(Photobiology!$21:$421,1+$AH198-380,AN$14)</f>
        <v>0.000209220868225433</v>
      </c>
      <c r="AO198" s="236">
        <f ca="1">INDEX(Photobiology!$21:$421,1+$AH198-380,AO$14)</f>
        <v>0.969654461409037</v>
      </c>
      <c r="AP198" s="236">
        <f ca="1">INDEX(Photobiology!$21:$421,1+$AH198-380,AP$14)</f>
        <v>0.962611398607954</v>
      </c>
      <c r="AQ198" s="236">
        <f ca="1">INDEX(Photobiology!$21:$421,1+$AH198-380,AQ$14)</f>
        <v>0.489388770700594</v>
      </c>
      <c r="AR198" s="236">
        <f ca="1">INDEX(Photobiology!$21:$421,1+$AH198-380,AR$14)</f>
        <v>0.143446514462968</v>
      </c>
      <c r="AS198" s="236">
        <f ca="1" t="shared" si="72"/>
        <v>3.73934003893117e+19</v>
      </c>
      <c r="AT198" s="236">
        <f ca="1">INDEX(Photobiology!$21:$421,1+$AH198-380,AT$14)</f>
        <v>0.000165273217269642</v>
      </c>
      <c r="AU198" s="236">
        <f ca="1">INDEX(Photobiology!$21:$421,1+$AH198-380,AU$14)</f>
        <v>0.94533790039082</v>
      </c>
      <c r="AV198" s="236">
        <f ca="1">INDEX(Photobiology!$21:$421,1+$AH198-380,AV$14)</f>
        <v>0.983827286838002</v>
      </c>
      <c r="AW198" s="236">
        <f ca="1">INDEX(Photobiology!$21:$421,1+$AH198-380,AW$14)</f>
        <v>0.447860248886598</v>
      </c>
      <c r="AX198" s="236">
        <f ca="1">INDEX(Photobiology!$21:$421,1+$AH198-380,AX$14)</f>
        <v>0.125876820913749</v>
      </c>
      <c r="AY198" s="236">
        <f ca="1" t="shared" si="59"/>
        <v>13.3319879209511</v>
      </c>
      <c r="AZ198" s="236">
        <f ca="1" t="shared" si="73"/>
        <v>0.00278933008799238</v>
      </c>
      <c r="BA198" s="236">
        <f ca="1" t="shared" si="60"/>
        <v>12.9274215670017</v>
      </c>
      <c r="BB198" s="236">
        <f ca="1" t="shared" si="61"/>
        <v>12.8335235388111</v>
      </c>
      <c r="BC198" s="236">
        <f ca="1" t="shared" si="62"/>
        <v>6.52452517962945</v>
      </c>
      <c r="BD198" s="236">
        <f ca="1" t="shared" si="63"/>
        <v>1.91242719812283</v>
      </c>
    </row>
    <row r="199" s="234" customFormat="1" ht="0.2" customHeight="1" spans="7:56">
      <c r="G199" s="236"/>
      <c r="H199" s="236">
        <f t="shared" si="64"/>
        <v>558</v>
      </c>
      <c r="I199" s="236">
        <f>IF($H199&gt;$H198,INDEX(Spectra!199:199,1,MATCH($I$20,Spectra!$20:$20,0)),I198)</f>
        <v>11.5022639247965</v>
      </c>
      <c r="J199" s="236">
        <f>((Physics!$C$9*Physics!$C$10)/(Physics!$C$11*Physics!$C$12*$H199))^($J$17-$J$18)</f>
        <v>2.80982357506135e+18</v>
      </c>
      <c r="K199" s="236">
        <f t="shared" si="65"/>
        <v>1</v>
      </c>
      <c r="L199" s="236">
        <f ca="1">INDEX(Photobiology!$21:$421,1+$H199-380,10)</f>
        <v>0.9983255</v>
      </c>
      <c r="M199" s="236">
        <f ca="1" t="shared" si="66"/>
        <v>11.5022639247965</v>
      </c>
      <c r="N199" s="236">
        <f ca="1">INDEX(Photobiology!$21:$421,1+$H199-380,N$14)</f>
        <v>0.000191435730566021</v>
      </c>
      <c r="O199" s="236">
        <f ca="1">INDEX(Photobiology!$21:$421,1+$H199-380,O$14)</f>
        <v>0.964108695783143</v>
      </c>
      <c r="P199" s="236">
        <f ca="1">INDEX(Photobiology!$21:$421,1+$H199-380,P$14)</f>
        <v>0.967457732262859</v>
      </c>
      <c r="Q199" s="236">
        <f ca="1">INDEX(Photobiology!$21:$421,1+$H199-380,Q$14)</f>
        <v>0.47243710546084</v>
      </c>
      <c r="R199" s="236">
        <f ca="1">INDEX(Photobiology!$21:$421,1+$H199-380,R$14)</f>
        <v>0.134745416143441</v>
      </c>
      <c r="S199" s="236">
        <f ca="1" t="shared" si="67"/>
        <v>3.23193323424709e+19</v>
      </c>
      <c r="T199" s="236">
        <f ca="1">INDEX(Photobiology!$21:$421,1+$H199-380,T$14)</f>
        <v>0.000150952905822669</v>
      </c>
      <c r="U199" s="236">
        <f ca="1">INDEX(Photobiology!$21:$421,1+$H199-380,U$14)</f>
        <v>0.938246744463344</v>
      </c>
      <c r="V199" s="236">
        <f ca="1">INDEX(Photobiology!$21:$421,1+$H199-380,V$14)</f>
        <v>0.987008425404298</v>
      </c>
      <c r="W199" s="236">
        <f ca="1">INDEX(Photobiology!$21:$421,1+$H199-380,W$14)</f>
        <v>0.431572251467371</v>
      </c>
      <c r="X199" s="236">
        <f ca="1">INDEX(Photobiology!$21:$421,1+$H199-380,X$14)</f>
        <v>0.11802955297397</v>
      </c>
      <c r="Y199" s="236">
        <f ca="1" t="shared" si="54"/>
        <v>11.5022639247965</v>
      </c>
      <c r="Z199" s="236">
        <f ca="1" t="shared" si="68"/>
        <v>0.00220194429760661</v>
      </c>
      <c r="AA199" s="236">
        <f ca="1" t="shared" si="55"/>
        <v>11.089432671089</v>
      </c>
      <c r="AB199" s="236">
        <f ca="1" t="shared" si="56"/>
        <v>11.1279541725725</v>
      </c>
      <c r="AC199" s="236">
        <f ca="1" t="shared" si="57"/>
        <v>5.4340962748775</v>
      </c>
      <c r="AD199" s="236">
        <f ca="1" t="shared" si="58"/>
        <v>1.54987733913839</v>
      </c>
      <c r="AE199" s="236"/>
      <c r="AF199" s="236"/>
      <c r="AG199" s="236"/>
      <c r="AH199" s="236">
        <f t="shared" si="69"/>
        <v>558</v>
      </c>
      <c r="AI199" s="236">
        <f>IF($AH199&gt;$AH198,INDEX(Spectra!199:199,1,MATCH($AI$20,Spectra!$20:$20,0)),AI198)</f>
        <v>1</v>
      </c>
      <c r="AJ199" s="236">
        <f>((Physics!$C$9*Physics!$C$10)/(Physics!$C$11*Physics!$C$12*$AH199))^($AJ$17-$AJ$18)</f>
        <v>2.80982357506135e+18</v>
      </c>
      <c r="AK199" s="236">
        <f t="shared" si="70"/>
        <v>1</v>
      </c>
      <c r="AL199" s="236">
        <f ca="1">INDEX(Photobiology!$21:$421,1+$AH199-380,10)</f>
        <v>0.9983255</v>
      </c>
      <c r="AM199" s="236">
        <f ca="1" t="shared" si="71"/>
        <v>13.3319879209511</v>
      </c>
      <c r="AN199" s="236">
        <f ca="1">INDEX(Photobiology!$21:$421,1+$AH199-380,AN$14)</f>
        <v>0.000191435730566021</v>
      </c>
      <c r="AO199" s="236">
        <f ca="1">INDEX(Photobiology!$21:$421,1+$AH199-380,AO$14)</f>
        <v>0.964108695783143</v>
      </c>
      <c r="AP199" s="236">
        <f ca="1">INDEX(Photobiology!$21:$421,1+$AH199-380,AP$14)</f>
        <v>0.967457732262859</v>
      </c>
      <c r="AQ199" s="236">
        <f ca="1">INDEX(Photobiology!$21:$421,1+$AH199-380,AQ$14)</f>
        <v>0.47243710546084</v>
      </c>
      <c r="AR199" s="236">
        <f ca="1">INDEX(Photobiology!$21:$421,1+$AH199-380,AR$14)</f>
        <v>0.134745416143441</v>
      </c>
      <c r="AS199" s="236">
        <f ca="1" t="shared" si="72"/>
        <v>3.74605339627216e+19</v>
      </c>
      <c r="AT199" s="236">
        <f ca="1">INDEX(Photobiology!$21:$421,1+$AH199-380,AT$14)</f>
        <v>0.000150952905822669</v>
      </c>
      <c r="AU199" s="236">
        <f ca="1">INDEX(Photobiology!$21:$421,1+$AH199-380,AU$14)</f>
        <v>0.938246744463344</v>
      </c>
      <c r="AV199" s="236">
        <f ca="1">INDEX(Photobiology!$21:$421,1+$AH199-380,AV$14)</f>
        <v>0.987008425404298</v>
      </c>
      <c r="AW199" s="236">
        <f ca="1">INDEX(Photobiology!$21:$421,1+$AH199-380,AW$14)</f>
        <v>0.431572251467371</v>
      </c>
      <c r="AX199" s="236">
        <f ca="1">INDEX(Photobiology!$21:$421,1+$AH199-380,AX$14)</f>
        <v>0.11802955297397</v>
      </c>
      <c r="AY199" s="236">
        <f ca="1" t="shared" si="59"/>
        <v>13.3319879209511</v>
      </c>
      <c r="AZ199" s="236">
        <f ca="1" t="shared" si="73"/>
        <v>0.00255221884754465</v>
      </c>
      <c r="BA199" s="236">
        <f ca="1" t="shared" si="60"/>
        <v>12.8534854866648</v>
      </c>
      <c r="BB199" s="236">
        <f ca="1" t="shared" si="61"/>
        <v>12.8981348005592</v>
      </c>
      <c r="BC199" s="236">
        <f ca="1" t="shared" si="62"/>
        <v>6.29852578341304</v>
      </c>
      <c r="BD199" s="236">
        <f ca="1" t="shared" si="63"/>
        <v>1.79642426042789</v>
      </c>
    </row>
    <row r="200" s="234" customFormat="1" ht="0.2" customHeight="1" spans="7:56">
      <c r="G200" s="236"/>
      <c r="H200" s="236">
        <f t="shared" si="64"/>
        <v>559</v>
      </c>
      <c r="I200" s="236">
        <f>IF($H200&gt;$H199,INDEX(Spectra!200:200,1,MATCH($I$20,Spectra!$20:$20,0)),I199)</f>
        <v>11.4289937723572</v>
      </c>
      <c r="J200" s="236">
        <f>((Physics!$C$9*Physics!$C$10)/(Physics!$C$11*Physics!$C$12*$H200))^($J$17-$J$18)</f>
        <v>2.81485910118153e+18</v>
      </c>
      <c r="K200" s="236">
        <f t="shared" si="65"/>
        <v>1</v>
      </c>
      <c r="L200" s="236">
        <f ca="1">INDEX(Photobiology!$21:$421,1+$H200-380,10)</f>
        <v>0.9968987</v>
      </c>
      <c r="M200" s="236">
        <f ca="1" t="shared" si="66"/>
        <v>11.4289937723572</v>
      </c>
      <c r="N200" s="236">
        <f ca="1">INDEX(Photobiology!$21:$421,1+$H200-380,N$14)</f>
        <v>0.000175217306529415</v>
      </c>
      <c r="O200" s="236">
        <f ca="1">INDEX(Photobiology!$21:$421,1+$H200-380,O$14)</f>
        <v>0.958098146506132</v>
      </c>
      <c r="P200" s="236">
        <f ca="1">INDEX(Photobiology!$21:$421,1+$H200-380,P$14)</f>
        <v>0.972059837950105</v>
      </c>
      <c r="Q200" s="236">
        <f ca="1">INDEX(Photobiology!$21:$421,1+$H200-380,Q$14)</f>
        <v>0.455598200442449</v>
      </c>
      <c r="R200" s="236">
        <f ca="1">INDEX(Photobiology!$21:$421,1+$H200-380,R$14)</f>
        <v>0.126440440445083</v>
      </c>
      <c r="S200" s="236">
        <f ca="1" t="shared" si="67"/>
        <v>3.21710071374667e+19</v>
      </c>
      <c r="T200" s="236">
        <f ca="1">INDEX(Photobiology!$21:$421,1+$H200-380,T$14)</f>
        <v>0.000137917021239611</v>
      </c>
      <c r="U200" s="236">
        <f ca="1">INDEX(Photobiology!$21:$421,1+$H200-380,U$14)</f>
        <v>0.930729452592683</v>
      </c>
      <c r="V200" s="236">
        <f ca="1">INDEX(Photobiology!$21:$421,1+$H200-380,V$14)</f>
        <v>0.989929464763858</v>
      </c>
      <c r="W200" s="236">
        <f ca="1">INDEX(Photobiology!$21:$421,1+$H200-380,W$14)</f>
        <v>0.415445351951593</v>
      </c>
      <c r="X200" s="236">
        <f ca="1">INDEX(Photobiology!$21:$421,1+$H200-380,X$14)</f>
        <v>0.110556721977558</v>
      </c>
      <c r="Y200" s="236">
        <f ca="1" t="shared" si="54"/>
        <v>11.4289937723572</v>
      </c>
      <c r="Z200" s="236">
        <f ca="1" t="shared" si="68"/>
        <v>0.00200255750513389</v>
      </c>
      <c r="AA200" s="236">
        <f ca="1" t="shared" si="55"/>
        <v>10.9500977497256</v>
      </c>
      <c r="AB200" s="236">
        <f ca="1" t="shared" si="56"/>
        <v>11.1096658342903</v>
      </c>
      <c r="AC200" s="236">
        <f ca="1" t="shared" si="57"/>
        <v>5.2070289955539</v>
      </c>
      <c r="AD200" s="236">
        <f ca="1" t="shared" si="58"/>
        <v>1.44508700642096</v>
      </c>
      <c r="AE200" s="236"/>
      <c r="AF200" s="236"/>
      <c r="AG200" s="236"/>
      <c r="AH200" s="236">
        <f t="shared" si="69"/>
        <v>559</v>
      </c>
      <c r="AI200" s="236">
        <f>IF($AH200&gt;$AH199,INDEX(Spectra!200:200,1,MATCH($AI$20,Spectra!$20:$20,0)),AI199)</f>
        <v>1</v>
      </c>
      <c r="AJ200" s="236">
        <f>((Physics!$C$9*Physics!$C$10)/(Physics!$C$11*Physics!$C$12*$AH200))^($AJ$17-$AJ$18)</f>
        <v>2.81485910118153e+18</v>
      </c>
      <c r="AK200" s="236">
        <f t="shared" si="70"/>
        <v>1</v>
      </c>
      <c r="AL200" s="236">
        <f ca="1">INDEX(Photobiology!$21:$421,1+$AH200-380,10)</f>
        <v>0.9968987</v>
      </c>
      <c r="AM200" s="236">
        <f ca="1" t="shared" si="71"/>
        <v>13.3319879209511</v>
      </c>
      <c r="AN200" s="236">
        <f ca="1">INDEX(Photobiology!$21:$421,1+$AH200-380,AN$14)</f>
        <v>0.000175217306529415</v>
      </c>
      <c r="AO200" s="236">
        <f ca="1">INDEX(Photobiology!$21:$421,1+$AH200-380,AO$14)</f>
        <v>0.958098146506132</v>
      </c>
      <c r="AP200" s="236">
        <f ca="1">INDEX(Photobiology!$21:$421,1+$AH200-380,AP$14)</f>
        <v>0.972059837950105</v>
      </c>
      <c r="AQ200" s="236">
        <f ca="1">INDEX(Photobiology!$21:$421,1+$AH200-380,AQ$14)</f>
        <v>0.455598200442449</v>
      </c>
      <c r="AR200" s="236">
        <f ca="1">INDEX(Photobiology!$21:$421,1+$AH200-380,AR$14)</f>
        <v>0.126440440445083</v>
      </c>
      <c r="AS200" s="236">
        <f ca="1" t="shared" si="72"/>
        <v>3.75276675361315e+19</v>
      </c>
      <c r="AT200" s="236">
        <f ca="1">INDEX(Photobiology!$21:$421,1+$AH200-380,AT$14)</f>
        <v>0.000137917021239611</v>
      </c>
      <c r="AU200" s="236">
        <f ca="1">INDEX(Photobiology!$21:$421,1+$AH200-380,AU$14)</f>
        <v>0.930729452592683</v>
      </c>
      <c r="AV200" s="236">
        <f ca="1">INDEX(Photobiology!$21:$421,1+$AH200-380,AV$14)</f>
        <v>0.989929464763858</v>
      </c>
      <c r="AW200" s="236">
        <f ca="1">INDEX(Photobiology!$21:$421,1+$AH200-380,AW$14)</f>
        <v>0.415445351951593</v>
      </c>
      <c r="AX200" s="236">
        <f ca="1">INDEX(Photobiology!$21:$421,1+$AH200-380,AX$14)</f>
        <v>0.110556721977558</v>
      </c>
      <c r="AY200" s="236">
        <f ca="1" t="shared" si="59"/>
        <v>13.3319879209511</v>
      </c>
      <c r="AZ200" s="236">
        <f ca="1" t="shared" si="73"/>
        <v>0.00233599501419175</v>
      </c>
      <c r="BA200" s="236">
        <f ca="1" t="shared" si="60"/>
        <v>12.7733529163054</v>
      </c>
      <c r="BB200" s="236">
        <f ca="1" t="shared" si="61"/>
        <v>12.9594900179925</v>
      </c>
      <c r="BC200" s="236">
        <f ca="1" t="shared" si="62"/>
        <v>6.07402970510581</v>
      </c>
      <c r="BD200" s="236">
        <f ca="1" t="shared" si="63"/>
        <v>1.68570242473359</v>
      </c>
    </row>
    <row r="201" s="234" customFormat="1" ht="0.2" customHeight="1" spans="7:56">
      <c r="G201" s="236"/>
      <c r="H201" s="236">
        <f t="shared" si="64"/>
        <v>560</v>
      </c>
      <c r="I201" s="236">
        <f>IF($H201&gt;$H200,INDEX(Spectra!201:201,1,MATCH($I$20,Spectra!$20:$20,0)),I200)</f>
        <v>11.4168561107643</v>
      </c>
      <c r="J201" s="236">
        <f>((Physics!$C$9*Physics!$C$10)/(Physics!$C$11*Physics!$C$12*$H201))^($J$17-$J$18)</f>
        <v>2.81989462730171e+18</v>
      </c>
      <c r="K201" s="236">
        <f t="shared" si="65"/>
        <v>1</v>
      </c>
      <c r="L201" s="236">
        <f ca="1">INDEX(Photobiology!$21:$421,1+$H201-380,10)</f>
        <v>0.995</v>
      </c>
      <c r="M201" s="236">
        <f ca="1" t="shared" si="66"/>
        <v>11.4168561107643</v>
      </c>
      <c r="N201" s="236">
        <f ca="1">INDEX(Photobiology!$21:$421,1+$H201-380,N$14)</f>
        <v>0.000160423135332526</v>
      </c>
      <c r="O201" s="236">
        <f ca="1">INDEX(Photobiology!$21:$421,1+$H201-380,O$14)</f>
        <v>0.951625344453318</v>
      </c>
      <c r="P201" s="236">
        <f ca="1">INDEX(Photobiology!$21:$421,1+$H201-380,P$14)</f>
        <v>0.976411756712062</v>
      </c>
      <c r="Q201" s="236">
        <f ca="1">INDEX(Photobiology!$21:$421,1+$H201-380,Q$14)</f>
        <v>0.438897391793955</v>
      </c>
      <c r="R201" s="236">
        <f ca="1">INDEX(Photobiology!$21:$421,1+$H201-380,R$14)</f>
        <v>0.118525555656457</v>
      </c>
      <c r="S201" s="236">
        <f ca="1" t="shared" si="67"/>
        <v>3.21943312074209e+19</v>
      </c>
      <c r="T201" s="236">
        <f ca="1">INDEX(Photobiology!$21:$421,1+$H201-380,T$14)</f>
        <v>0.000126046749189842</v>
      </c>
      <c r="U201" s="236">
        <f ca="1">INDEX(Photobiology!$21:$421,1+$H201-380,U$14)</f>
        <v>0.922790761838862</v>
      </c>
      <c r="V201" s="236">
        <f ca="1">INDEX(Photobiology!$21:$421,1+$H201-380,V$14)</f>
        <v>0.992585740639215</v>
      </c>
      <c r="W201" s="236">
        <f ca="1">INDEX(Photobiology!$21:$421,1+$H201-380,W$14)</f>
        <v>0.399501749278346</v>
      </c>
      <c r="X201" s="236">
        <f ca="1">INDEX(Photobiology!$21:$421,1+$H201-380,X$14)</f>
        <v>0.103451057435214</v>
      </c>
      <c r="Y201" s="236">
        <f ca="1" t="shared" si="54"/>
        <v>11.4168561107643</v>
      </c>
      <c r="Z201" s="236">
        <f ca="1" t="shared" si="68"/>
        <v>0.00183152785292912</v>
      </c>
      <c r="AA201" s="236">
        <f ca="1" t="shared" si="55"/>
        <v>10.86456962898</v>
      </c>
      <c r="AB201" s="236">
        <f ca="1" t="shared" si="56"/>
        <v>11.1475525312402</v>
      </c>
      <c r="AC201" s="236">
        <f ca="1" t="shared" si="57"/>
        <v>5.01082836950133</v>
      </c>
      <c r="AD201" s="236">
        <f ca="1" t="shared" si="58"/>
        <v>1.35318921437816</v>
      </c>
      <c r="AE201" s="236"/>
      <c r="AF201" s="236"/>
      <c r="AG201" s="236"/>
      <c r="AH201" s="236">
        <f t="shared" si="69"/>
        <v>560</v>
      </c>
      <c r="AI201" s="236">
        <f>IF($AH201&gt;$AH200,INDEX(Spectra!201:201,1,MATCH($AI$20,Spectra!$20:$20,0)),AI200)</f>
        <v>1</v>
      </c>
      <c r="AJ201" s="236">
        <f>((Physics!$C$9*Physics!$C$10)/(Physics!$C$11*Physics!$C$12*$AH201))^($AJ$17-$AJ$18)</f>
        <v>2.81989462730171e+18</v>
      </c>
      <c r="AK201" s="236">
        <f t="shared" si="70"/>
        <v>1</v>
      </c>
      <c r="AL201" s="236">
        <f ca="1">INDEX(Photobiology!$21:$421,1+$AH201-380,10)</f>
        <v>0.995</v>
      </c>
      <c r="AM201" s="236">
        <f ca="1" t="shared" si="71"/>
        <v>13.3319879209511</v>
      </c>
      <c r="AN201" s="236">
        <f ca="1">INDEX(Photobiology!$21:$421,1+$AH201-380,AN$14)</f>
        <v>0.000160423135332526</v>
      </c>
      <c r="AO201" s="236">
        <f ca="1">INDEX(Photobiology!$21:$421,1+$AH201-380,AO$14)</f>
        <v>0.951625344453318</v>
      </c>
      <c r="AP201" s="236">
        <f ca="1">INDEX(Photobiology!$21:$421,1+$AH201-380,AP$14)</f>
        <v>0.976411756712062</v>
      </c>
      <c r="AQ201" s="236">
        <f ca="1">INDEX(Photobiology!$21:$421,1+$AH201-380,AQ$14)</f>
        <v>0.438897391793955</v>
      </c>
      <c r="AR201" s="236">
        <f ca="1">INDEX(Photobiology!$21:$421,1+$AH201-380,AR$14)</f>
        <v>0.118525555656457</v>
      </c>
      <c r="AS201" s="236">
        <f ca="1" t="shared" si="72"/>
        <v>3.75948011095414e+19</v>
      </c>
      <c r="AT201" s="236">
        <f ca="1">INDEX(Photobiology!$21:$421,1+$AH201-380,AT$14)</f>
        <v>0.000126046749189842</v>
      </c>
      <c r="AU201" s="236">
        <f ca="1">INDEX(Photobiology!$21:$421,1+$AH201-380,AU$14)</f>
        <v>0.922790761838862</v>
      </c>
      <c r="AV201" s="236">
        <f ca="1">INDEX(Photobiology!$21:$421,1+$AH201-380,AV$14)</f>
        <v>0.992585740639215</v>
      </c>
      <c r="AW201" s="236">
        <f ca="1">INDEX(Photobiology!$21:$421,1+$AH201-380,AW$14)</f>
        <v>0.399501749278346</v>
      </c>
      <c r="AX201" s="236">
        <f ca="1">INDEX(Photobiology!$21:$421,1+$AH201-380,AX$14)</f>
        <v>0.103451057435214</v>
      </c>
      <c r="AY201" s="236">
        <f ca="1" t="shared" si="59"/>
        <v>13.3319879209511</v>
      </c>
      <c r="AZ201" s="236">
        <f ca="1" t="shared" si="73"/>
        <v>0.00213875930249435</v>
      </c>
      <c r="BA201" s="236">
        <f ca="1" t="shared" si="60"/>
        <v>12.6870575975226</v>
      </c>
      <c r="BB201" s="236">
        <f ca="1" t="shared" si="61"/>
        <v>13.0175097463599</v>
      </c>
      <c r="BC201" s="236">
        <f ca="1" t="shared" si="62"/>
        <v>5.85137472593397</v>
      </c>
      <c r="BD201" s="236">
        <f ca="1" t="shared" si="63"/>
        <v>1.58018127633591</v>
      </c>
    </row>
    <row r="202" s="234" customFormat="1" ht="0.2" customHeight="1" spans="7:56">
      <c r="G202" s="236"/>
      <c r="H202" s="236">
        <f t="shared" si="64"/>
        <v>561</v>
      </c>
      <c r="I202" s="236">
        <f>IF($H202&gt;$H201,INDEX(Spectra!202:202,1,MATCH($I$20,Spectra!$20:$20,0)),I201)</f>
        <v>11.4158236887765</v>
      </c>
      <c r="J202" s="236">
        <f>((Physics!$C$9*Physics!$C$10)/(Physics!$C$11*Physics!$C$12*$H202))^($J$17-$J$18)</f>
        <v>2.82493015342189e+18</v>
      </c>
      <c r="K202" s="236">
        <f t="shared" si="65"/>
        <v>1</v>
      </c>
      <c r="L202" s="236">
        <f ca="1">INDEX(Photobiology!$21:$421,1+$H202-380,10)</f>
        <v>0.9926005</v>
      </c>
      <c r="M202" s="236">
        <f ca="1" t="shared" si="66"/>
        <v>11.4158236887765</v>
      </c>
      <c r="N202" s="236">
        <f ca="1">INDEX(Photobiology!$21:$421,1+$H202-380,N$14)</f>
        <v>0.000146856441315396</v>
      </c>
      <c r="O202" s="236">
        <f ca="1">INDEX(Photobiology!$21:$421,1+$H202-380,O$14)</f>
        <v>0.944252188351865</v>
      </c>
      <c r="P202" s="236">
        <f ca="1">INDEX(Photobiology!$21:$421,1+$H202-380,P$14)</f>
        <v>0.980056244146056</v>
      </c>
      <c r="Q202" s="236">
        <f ca="1">INDEX(Photobiology!$21:$421,1+$H202-380,Q$14)</f>
        <v>0.422164781422543</v>
      </c>
      <c r="R202" s="236">
        <f ca="1">INDEX(Photobiology!$21:$421,1+$H202-380,R$14)</f>
        <v>0.110943279616831</v>
      </c>
      <c r="S202" s="236">
        <f ca="1" t="shared" si="67"/>
        <v>3.22489045645726e+19</v>
      </c>
      <c r="T202" s="236">
        <f ca="1">INDEX(Photobiology!$21:$421,1+$H202-380,T$14)</f>
        <v>0.000115181522600311</v>
      </c>
      <c r="U202" s="236">
        <f ca="1">INDEX(Photobiology!$21:$421,1+$H202-380,U$14)</f>
        <v>0.914008856288408</v>
      </c>
      <c r="V202" s="236">
        <f ca="1">INDEX(Photobiology!$21:$421,1+$H202-380,V$14)</f>
        <v>0.99451467890483</v>
      </c>
      <c r="W202" s="236">
        <f ca="1">INDEX(Photobiology!$21:$421,1+$H202-380,W$14)</f>
        <v>0.383586090957726</v>
      </c>
      <c r="X202" s="236">
        <f ca="1">INDEX(Photobiology!$21:$421,1+$H202-380,X$14)</f>
        <v>0.096660513945224</v>
      </c>
      <c r="Y202" s="236">
        <f ca="1" t="shared" si="54"/>
        <v>11.4158236887765</v>
      </c>
      <c r="Z202" s="236">
        <f ca="1" t="shared" si="68"/>
        <v>0.00167648724161771</v>
      </c>
      <c r="AA202" s="236">
        <f ca="1" t="shared" si="55"/>
        <v>10.7794164999663</v>
      </c>
      <c r="AB202" s="236">
        <f ca="1" t="shared" si="56"/>
        <v>11.1881492882559</v>
      </c>
      <c r="AC202" s="236">
        <f ca="1" t="shared" si="57"/>
        <v>4.81935871233062</v>
      </c>
      <c r="AD202" s="236">
        <f ca="1" t="shared" si="58"/>
        <v>1.26650891956037</v>
      </c>
      <c r="AE202" s="236"/>
      <c r="AF202" s="236"/>
      <c r="AG202" s="236"/>
      <c r="AH202" s="236">
        <f t="shared" si="69"/>
        <v>561</v>
      </c>
      <c r="AI202" s="236">
        <f>IF($AH202&gt;$AH201,INDEX(Spectra!202:202,1,MATCH($AI$20,Spectra!$20:$20,0)),AI201)</f>
        <v>1</v>
      </c>
      <c r="AJ202" s="236">
        <f>((Physics!$C$9*Physics!$C$10)/(Physics!$C$11*Physics!$C$12*$AH202))^($AJ$17-$AJ$18)</f>
        <v>2.82493015342189e+18</v>
      </c>
      <c r="AK202" s="236">
        <f t="shared" si="70"/>
        <v>1</v>
      </c>
      <c r="AL202" s="236">
        <f ca="1">INDEX(Photobiology!$21:$421,1+$AH202-380,10)</f>
        <v>0.9926005</v>
      </c>
      <c r="AM202" s="236">
        <f ca="1" t="shared" si="71"/>
        <v>13.3319879209511</v>
      </c>
      <c r="AN202" s="236">
        <f ca="1">INDEX(Photobiology!$21:$421,1+$AH202-380,AN$14)</f>
        <v>0.000146856441315396</v>
      </c>
      <c r="AO202" s="236">
        <f ca="1">INDEX(Photobiology!$21:$421,1+$AH202-380,AO$14)</f>
        <v>0.944252188351865</v>
      </c>
      <c r="AP202" s="236">
        <f ca="1">INDEX(Photobiology!$21:$421,1+$AH202-380,AP$14)</f>
        <v>0.980056244146056</v>
      </c>
      <c r="AQ202" s="236">
        <f ca="1">INDEX(Photobiology!$21:$421,1+$AH202-380,AQ$14)</f>
        <v>0.422164781422543</v>
      </c>
      <c r="AR202" s="236">
        <f ca="1">INDEX(Photobiology!$21:$421,1+$AH202-380,AR$14)</f>
        <v>0.110943279616831</v>
      </c>
      <c r="AS202" s="236">
        <f ca="1" t="shared" si="72"/>
        <v>3.76619346829513e+19</v>
      </c>
      <c r="AT202" s="236">
        <f ca="1">INDEX(Photobiology!$21:$421,1+$AH202-380,AT$14)</f>
        <v>0.000115181522600311</v>
      </c>
      <c r="AU202" s="236">
        <f ca="1">INDEX(Photobiology!$21:$421,1+$AH202-380,AU$14)</f>
        <v>0.914008856288408</v>
      </c>
      <c r="AV202" s="236">
        <f ca="1">INDEX(Photobiology!$21:$421,1+$AH202-380,AV$14)</f>
        <v>0.99451467890483</v>
      </c>
      <c r="AW202" s="236">
        <f ca="1">INDEX(Photobiology!$21:$421,1+$AH202-380,AW$14)</f>
        <v>0.383586090957726</v>
      </c>
      <c r="AX202" s="236">
        <f ca="1">INDEX(Photobiology!$21:$421,1+$AH202-380,AX$14)</f>
        <v>0.096660513945224</v>
      </c>
      <c r="AY202" s="236">
        <f ca="1" t="shared" si="59"/>
        <v>13.3319879209511</v>
      </c>
      <c r="AZ202" s="236">
        <f ca="1" t="shared" si="73"/>
        <v>0.00195788830173073</v>
      </c>
      <c r="BA202" s="236">
        <f ca="1" t="shared" si="60"/>
        <v>12.5887587694387</v>
      </c>
      <c r="BB202" s="236">
        <f ca="1" t="shared" si="61"/>
        <v>13.066098008808</v>
      </c>
      <c r="BC202" s="236">
        <f ca="1" t="shared" si="62"/>
        <v>5.62829576657632</v>
      </c>
      <c r="BD202" s="236">
        <f ca="1" t="shared" si="63"/>
        <v>1.4790944637623</v>
      </c>
    </row>
    <row r="203" s="234" customFormat="1" ht="0.2" customHeight="1" spans="7:56">
      <c r="G203" s="236"/>
      <c r="H203" s="236">
        <f t="shared" si="64"/>
        <v>562</v>
      </c>
      <c r="I203" s="236">
        <f>IF($H203&gt;$H202,INDEX(Spectra!203:203,1,MATCH($I$20,Spectra!$20:$20,0)),I202)</f>
        <v>11.4302421805984</v>
      </c>
      <c r="J203" s="236">
        <f>((Physics!$C$9*Physics!$C$10)/(Physics!$C$11*Physics!$C$12*$H203))^($J$17-$J$18)</f>
        <v>2.82996567954207e+18</v>
      </c>
      <c r="K203" s="236">
        <f t="shared" si="65"/>
        <v>1</v>
      </c>
      <c r="L203" s="236">
        <f ca="1">INDEX(Photobiology!$21:$421,1+$H203-380,10)</f>
        <v>0.9897426</v>
      </c>
      <c r="M203" s="236">
        <f ca="1" t="shared" si="66"/>
        <v>11.4302421805984</v>
      </c>
      <c r="N203" s="236">
        <f ca="1">INDEX(Photobiology!$21:$421,1+$H203-380,N$14)</f>
        <v>0.000134478854160213</v>
      </c>
      <c r="O203" s="236">
        <f ca="1">INDEX(Photobiology!$21:$421,1+$H203-380,O$14)</f>
        <v>0.936427156932653</v>
      </c>
      <c r="P203" s="236">
        <f ca="1">INDEX(Photobiology!$21:$421,1+$H203-380,P$14)</f>
        <v>0.983428975309161</v>
      </c>
      <c r="Q203" s="236">
        <f ca="1">INDEX(Photobiology!$21:$421,1+$H203-380,Q$14)</f>
        <v>0.405632738947561</v>
      </c>
      <c r="R203" s="236">
        <f ca="1">INDEX(Photobiology!$21:$421,1+$H203-380,R$14)</f>
        <v>0.103743524910021</v>
      </c>
      <c r="S203" s="236">
        <f ca="1" t="shared" si="67"/>
        <v>3.23471930799476e+19</v>
      </c>
      <c r="T203" s="236">
        <f ca="1">INDEX(Photobiology!$21:$421,1+$H203-380,T$14)</f>
        <v>0.000105285935641448</v>
      </c>
      <c r="U203" s="236">
        <f ca="1">INDEX(Photobiology!$21:$421,1+$H203-380,U$14)</f>
        <v>0.904821579105467</v>
      </c>
      <c r="V203" s="236">
        <f ca="1">INDEX(Photobiology!$21:$421,1+$H203-380,V$14)</f>
        <v>0.99616147790896</v>
      </c>
      <c r="W203" s="236">
        <f ca="1">INDEX(Photobiology!$21:$421,1+$H203-380,W$14)</f>
        <v>0.367908987118554</v>
      </c>
      <c r="X203" s="236">
        <f ca="1">INDEX(Photobiology!$21:$421,1+$H203-380,X$14)</f>
        <v>0.0902268188582012</v>
      </c>
      <c r="Y203" s="236">
        <f ca="1" t="shared" si="54"/>
        <v>11.4302421805984</v>
      </c>
      <c r="Z203" s="236">
        <f ca="1" t="shared" si="68"/>
        <v>0.00153712587122061</v>
      </c>
      <c r="AA203" s="236">
        <f ca="1" t="shared" si="55"/>
        <v>10.7035891882294</v>
      </c>
      <c r="AB203" s="236">
        <f ca="1" t="shared" si="56"/>
        <v>11.2408313552014</v>
      </c>
      <c r="AC203" s="236">
        <f ca="1" t="shared" si="57"/>
        <v>4.63648044255007</v>
      </c>
      <c r="AD203" s="236">
        <f ca="1" t="shared" si="58"/>
        <v>1.18581361439048</v>
      </c>
      <c r="AE203" s="236"/>
      <c r="AF203" s="236"/>
      <c r="AG203" s="236"/>
      <c r="AH203" s="236">
        <f t="shared" si="69"/>
        <v>562</v>
      </c>
      <c r="AI203" s="236">
        <f>IF($AH203&gt;$AH202,INDEX(Spectra!203:203,1,MATCH($AI$20,Spectra!$20:$20,0)),AI202)</f>
        <v>1</v>
      </c>
      <c r="AJ203" s="236">
        <f>((Physics!$C$9*Physics!$C$10)/(Physics!$C$11*Physics!$C$12*$AH203))^($AJ$17-$AJ$18)</f>
        <v>2.82996567954207e+18</v>
      </c>
      <c r="AK203" s="236">
        <f t="shared" si="70"/>
        <v>1</v>
      </c>
      <c r="AL203" s="236">
        <f ca="1">INDEX(Photobiology!$21:$421,1+$AH203-380,10)</f>
        <v>0.9897426</v>
      </c>
      <c r="AM203" s="236">
        <f ca="1" t="shared" si="71"/>
        <v>13.3319879209511</v>
      </c>
      <c r="AN203" s="236">
        <f ca="1">INDEX(Photobiology!$21:$421,1+$AH203-380,AN$14)</f>
        <v>0.000134478854160213</v>
      </c>
      <c r="AO203" s="236">
        <f ca="1">INDEX(Photobiology!$21:$421,1+$AH203-380,AO$14)</f>
        <v>0.936427156932653</v>
      </c>
      <c r="AP203" s="236">
        <f ca="1">INDEX(Photobiology!$21:$421,1+$AH203-380,AP$14)</f>
        <v>0.983428975309161</v>
      </c>
      <c r="AQ203" s="236">
        <f ca="1">INDEX(Photobiology!$21:$421,1+$AH203-380,AQ$14)</f>
        <v>0.405632738947561</v>
      </c>
      <c r="AR203" s="236">
        <f ca="1">INDEX(Photobiology!$21:$421,1+$AH203-380,AR$14)</f>
        <v>0.103743524910021</v>
      </c>
      <c r="AS203" s="236">
        <f ca="1" t="shared" si="72"/>
        <v>3.77290682563612e+19</v>
      </c>
      <c r="AT203" s="236">
        <f ca="1">INDEX(Photobiology!$21:$421,1+$AH203-380,AT$14)</f>
        <v>0.000105285935641448</v>
      </c>
      <c r="AU203" s="236">
        <f ca="1">INDEX(Photobiology!$21:$421,1+$AH203-380,AU$14)</f>
        <v>0.904821579105467</v>
      </c>
      <c r="AV203" s="236">
        <f ca="1">INDEX(Photobiology!$21:$421,1+$AH203-380,AV$14)</f>
        <v>0.99616147790896</v>
      </c>
      <c r="AW203" s="236">
        <f ca="1">INDEX(Photobiology!$21:$421,1+$AH203-380,AW$14)</f>
        <v>0.367908987118554</v>
      </c>
      <c r="AX203" s="236">
        <f ca="1">INDEX(Photobiology!$21:$421,1+$AH203-380,AX$14)</f>
        <v>0.0902268188582012</v>
      </c>
      <c r="AY203" s="236">
        <f ca="1" t="shared" si="59"/>
        <v>13.3319879209511</v>
      </c>
      <c r="AZ203" s="236">
        <f ca="1" t="shared" si="73"/>
        <v>0.00179287045928731</v>
      </c>
      <c r="BA203" s="236">
        <f ca="1" t="shared" si="60"/>
        <v>12.4844355450767</v>
      </c>
      <c r="BB203" s="236">
        <f ca="1" t="shared" si="61"/>
        <v>13.1110632199351</v>
      </c>
      <c r="BC203" s="236">
        <f ca="1" t="shared" si="62"/>
        <v>5.40789077599121</v>
      </c>
      <c r="BD203" s="236">
        <f ca="1" t="shared" si="63"/>
        <v>1.38310742097729</v>
      </c>
    </row>
    <row r="204" s="234" customFormat="1" ht="0.2" customHeight="1" spans="7:56">
      <c r="G204" s="236"/>
      <c r="H204" s="236">
        <f t="shared" si="64"/>
        <v>563</v>
      </c>
      <c r="I204" s="236">
        <f>IF($H204&gt;$H203,INDEX(Spectra!204:204,1,MATCH($I$20,Spectra!$20:$20,0)),I203)</f>
        <v>11.4273589607069</v>
      </c>
      <c r="J204" s="236">
        <f>((Physics!$C$9*Physics!$C$10)/(Physics!$C$11*Physics!$C$12*$H204))^($J$17-$J$18)</f>
        <v>2.83500120566225e+18</v>
      </c>
      <c r="K204" s="236">
        <f t="shared" si="65"/>
        <v>1</v>
      </c>
      <c r="L204" s="236">
        <f ca="1">INDEX(Photobiology!$21:$421,1+$H204-380,10)</f>
        <v>0.9864444</v>
      </c>
      <c r="M204" s="236">
        <f ca="1" t="shared" si="66"/>
        <v>11.4273589607069</v>
      </c>
      <c r="N204" s="236">
        <f ca="1">INDEX(Photobiology!$21:$421,1+$H204-380,N$14)</f>
        <v>0.000123182779698901</v>
      </c>
      <c r="O204" s="236">
        <f ca="1">INDEX(Photobiology!$21:$421,1+$H204-380,O$14)</f>
        <v>0.928151775952371</v>
      </c>
      <c r="P204" s="236">
        <f ca="1">INDEX(Photobiology!$21:$421,1+$H204-380,P$14)</f>
        <v>0.986527054873679</v>
      </c>
      <c r="Q204" s="236">
        <f ca="1">INDEX(Photobiology!$21:$421,1+$H204-380,Q$14)</f>
        <v>0.389325634447372</v>
      </c>
      <c r="R204" s="236">
        <f ca="1">INDEX(Photobiology!$21:$421,1+$H204-380,R$14)</f>
        <v>0.0969174547150743</v>
      </c>
      <c r="S204" s="236">
        <f ca="1" t="shared" si="67"/>
        <v>3.23965764311394e+19</v>
      </c>
      <c r="T204" s="236">
        <f ca="1">INDEX(Photobiology!$21:$421,1+$H204-380,T$14)</f>
        <v>9.62707336900825e-5</v>
      </c>
      <c r="U204" s="236">
        <f ca="1">INDEX(Photobiology!$21:$421,1+$H204-380,U$14)</f>
        <v>0.895232561993955</v>
      </c>
      <c r="V204" s="236">
        <f ca="1">INDEX(Photobiology!$21:$421,1+$H204-380,V$14)</f>
        <v>0.997524713453587</v>
      </c>
      <c r="W204" s="236">
        <f ca="1">INDEX(Photobiology!$21:$421,1+$H204-380,W$14)</f>
        <v>0.352491231006329</v>
      </c>
      <c r="X204" s="236">
        <f ca="1">INDEX(Photobiology!$21:$421,1+$H204-380,X$14)</f>
        <v>0.0841403988490468</v>
      </c>
      <c r="Y204" s="236">
        <f ca="1" t="shared" si="54"/>
        <v>11.4273589607069</v>
      </c>
      <c r="Z204" s="236">
        <f ca="1" t="shared" si="68"/>
        <v>0.00140765384139702</v>
      </c>
      <c r="AA204" s="236">
        <f ca="1" t="shared" si="55"/>
        <v>10.6063235138253</v>
      </c>
      <c r="AB204" s="236">
        <f ca="1" t="shared" si="56"/>
        <v>11.2733987804905</v>
      </c>
      <c r="AC204" s="236">
        <f ca="1" t="shared" si="57"/>
        <v>4.44896377743508</v>
      </c>
      <c r="AD204" s="236">
        <f ca="1" t="shared" si="58"/>
        <v>1.10751054458721</v>
      </c>
      <c r="AE204" s="236"/>
      <c r="AF204" s="236"/>
      <c r="AG204" s="236"/>
      <c r="AH204" s="236">
        <f t="shared" si="69"/>
        <v>563</v>
      </c>
      <c r="AI204" s="236">
        <f>IF($AH204&gt;$AH203,INDEX(Spectra!204:204,1,MATCH($AI$20,Spectra!$20:$20,0)),AI203)</f>
        <v>1</v>
      </c>
      <c r="AJ204" s="236">
        <f>((Physics!$C$9*Physics!$C$10)/(Physics!$C$11*Physics!$C$12*$AH204))^($AJ$17-$AJ$18)</f>
        <v>2.83500120566225e+18</v>
      </c>
      <c r="AK204" s="236">
        <f t="shared" si="70"/>
        <v>1</v>
      </c>
      <c r="AL204" s="236">
        <f ca="1">INDEX(Photobiology!$21:$421,1+$AH204-380,10)</f>
        <v>0.9864444</v>
      </c>
      <c r="AM204" s="236">
        <f ca="1" t="shared" si="71"/>
        <v>13.3319879209511</v>
      </c>
      <c r="AN204" s="236">
        <f ca="1">INDEX(Photobiology!$21:$421,1+$AH204-380,AN$14)</f>
        <v>0.000123182779698901</v>
      </c>
      <c r="AO204" s="236">
        <f ca="1">INDEX(Photobiology!$21:$421,1+$AH204-380,AO$14)</f>
        <v>0.928151775952371</v>
      </c>
      <c r="AP204" s="236">
        <f ca="1">INDEX(Photobiology!$21:$421,1+$AH204-380,AP$14)</f>
        <v>0.986527054873679</v>
      </c>
      <c r="AQ204" s="236">
        <f ca="1">INDEX(Photobiology!$21:$421,1+$AH204-380,AQ$14)</f>
        <v>0.389325634447372</v>
      </c>
      <c r="AR204" s="236">
        <f ca="1">INDEX(Photobiology!$21:$421,1+$AH204-380,AR$14)</f>
        <v>0.0969174547150743</v>
      </c>
      <c r="AS204" s="236">
        <f ca="1" t="shared" si="72"/>
        <v>3.77962018297711e+19</v>
      </c>
      <c r="AT204" s="236">
        <f ca="1">INDEX(Photobiology!$21:$421,1+$AH204-380,AT$14)</f>
        <v>9.62707336900825e-5</v>
      </c>
      <c r="AU204" s="236">
        <f ca="1">INDEX(Photobiology!$21:$421,1+$AH204-380,AU$14)</f>
        <v>0.895232561993955</v>
      </c>
      <c r="AV204" s="236">
        <f ca="1">INDEX(Photobiology!$21:$421,1+$AH204-380,AV$14)</f>
        <v>0.997524713453587</v>
      </c>
      <c r="AW204" s="236">
        <f ca="1">INDEX(Photobiology!$21:$421,1+$AH204-380,AW$14)</f>
        <v>0.352491231006329</v>
      </c>
      <c r="AX204" s="236">
        <f ca="1">INDEX(Photobiology!$21:$421,1+$AH204-380,AX$14)</f>
        <v>0.0841403988490468</v>
      </c>
      <c r="AY204" s="236">
        <f ca="1" t="shared" si="59"/>
        <v>13.3319879209511</v>
      </c>
      <c r="AZ204" s="236">
        <f ca="1" t="shared" si="73"/>
        <v>0.00164227133101493</v>
      </c>
      <c r="BA204" s="236">
        <f ca="1" t="shared" si="60"/>
        <v>12.3741082658064</v>
      </c>
      <c r="BB204" s="236">
        <f ca="1" t="shared" si="61"/>
        <v>13.1523667792674</v>
      </c>
      <c r="BC204" s="236">
        <f ca="1" t="shared" si="62"/>
        <v>5.190484655769</v>
      </c>
      <c r="BD204" s="236">
        <f ca="1" t="shared" si="63"/>
        <v>1.2921023355907</v>
      </c>
    </row>
    <row r="205" s="234" customFormat="1" ht="0.2" customHeight="1" spans="7:56">
      <c r="G205" s="236"/>
      <c r="H205" s="236">
        <f t="shared" si="64"/>
        <v>564</v>
      </c>
      <c r="I205" s="236">
        <f>IF($H205&gt;$H204,INDEX(Spectra!205:205,1,MATCH($I$20,Spectra!$20:$20,0)),I204)</f>
        <v>11.4665990604114</v>
      </c>
      <c r="J205" s="236">
        <f>((Physics!$C$9*Physics!$C$10)/(Physics!$C$11*Physics!$C$12*$H205))^($J$17-$J$18)</f>
        <v>2.84003673178243e+18</v>
      </c>
      <c r="K205" s="236">
        <f t="shared" si="65"/>
        <v>1</v>
      </c>
      <c r="L205" s="236">
        <f ca="1">INDEX(Photobiology!$21:$421,1+$H205-380,10)</f>
        <v>0.9827241</v>
      </c>
      <c r="M205" s="236">
        <f ca="1" t="shared" si="66"/>
        <v>11.4665990604114</v>
      </c>
      <c r="N205" s="236">
        <f ca="1">INDEX(Photobiology!$21:$421,1+$H205-380,N$14)</f>
        <v>0.000112870383330894</v>
      </c>
      <c r="O205" s="236">
        <f ca="1">INDEX(Photobiology!$21:$421,1+$H205-380,O$14)</f>
        <v>0.919432815274938</v>
      </c>
      <c r="P205" s="236">
        <f ca="1">INDEX(Photobiology!$21:$421,1+$H205-380,P$14)</f>
        <v>0.989338705185618</v>
      </c>
      <c r="Q205" s="236">
        <f ca="1">INDEX(Photobiology!$21:$421,1+$H205-380,Q$14)</f>
        <v>0.373263049622093</v>
      </c>
      <c r="R205" s="236">
        <f ca="1">INDEX(Photobiology!$21:$421,1+$H205-380,R$14)</f>
        <v>0.0904548796210557</v>
      </c>
      <c r="S205" s="236">
        <f ca="1" t="shared" si="67"/>
        <v>3.25655625201903e+19</v>
      </c>
      <c r="T205" s="236">
        <f ca="1">INDEX(Photobiology!$21:$421,1+$H205-380,T$14)</f>
        <v>8.80549089815485e-5</v>
      </c>
      <c r="U205" s="236">
        <f ca="1">INDEX(Photobiology!$21:$421,1+$H205-380,U$14)</f>
        <v>0.885250460044643</v>
      </c>
      <c r="V205" s="236">
        <f ca="1">INDEX(Photobiology!$21:$421,1+$H205-380,V$14)</f>
        <v>0.998594006020594</v>
      </c>
      <c r="W205" s="236">
        <f ca="1">INDEX(Photobiology!$21:$421,1+$H205-380,W$14)</f>
        <v>0.337349140737483</v>
      </c>
      <c r="X205" s="236">
        <f ca="1">INDEX(Photobiology!$21:$421,1+$H205-380,X$14)</f>
        <v>0.0783905762985532</v>
      </c>
      <c r="Y205" s="236">
        <f ca="1" t="shared" si="54"/>
        <v>11.4665990604114</v>
      </c>
      <c r="Z205" s="236">
        <f ca="1" t="shared" si="68"/>
        <v>0.0012942394314503</v>
      </c>
      <c r="AA205" s="236">
        <f ca="1" t="shared" si="55"/>
        <v>10.542767455743</v>
      </c>
      <c r="AB205" s="236">
        <f ca="1" t="shared" si="56"/>
        <v>11.34435026731</v>
      </c>
      <c r="AC205" s="236">
        <f ca="1" t="shared" si="57"/>
        <v>4.28005773408299</v>
      </c>
      <c r="AD205" s="236">
        <f ca="1" t="shared" si="58"/>
        <v>1.03720983767242</v>
      </c>
      <c r="AE205" s="236"/>
      <c r="AF205" s="236"/>
      <c r="AG205" s="236"/>
      <c r="AH205" s="236">
        <f t="shared" si="69"/>
        <v>564</v>
      </c>
      <c r="AI205" s="236">
        <f>IF($AH205&gt;$AH204,INDEX(Spectra!205:205,1,MATCH($AI$20,Spectra!$20:$20,0)),AI204)</f>
        <v>1</v>
      </c>
      <c r="AJ205" s="236">
        <f>((Physics!$C$9*Physics!$C$10)/(Physics!$C$11*Physics!$C$12*$AH205))^($AJ$17-$AJ$18)</f>
        <v>2.84003673178243e+18</v>
      </c>
      <c r="AK205" s="236">
        <f t="shared" si="70"/>
        <v>1</v>
      </c>
      <c r="AL205" s="236">
        <f ca="1">INDEX(Photobiology!$21:$421,1+$AH205-380,10)</f>
        <v>0.9827241</v>
      </c>
      <c r="AM205" s="236">
        <f ca="1" t="shared" si="71"/>
        <v>13.3319879209511</v>
      </c>
      <c r="AN205" s="236">
        <f ca="1">INDEX(Photobiology!$21:$421,1+$AH205-380,AN$14)</f>
        <v>0.000112870383330894</v>
      </c>
      <c r="AO205" s="236">
        <f ca="1">INDEX(Photobiology!$21:$421,1+$AH205-380,AO$14)</f>
        <v>0.919432815274938</v>
      </c>
      <c r="AP205" s="236">
        <f ca="1">INDEX(Photobiology!$21:$421,1+$AH205-380,AP$14)</f>
        <v>0.989338705185618</v>
      </c>
      <c r="AQ205" s="236">
        <f ca="1">INDEX(Photobiology!$21:$421,1+$AH205-380,AQ$14)</f>
        <v>0.373263049622093</v>
      </c>
      <c r="AR205" s="236">
        <f ca="1">INDEX(Photobiology!$21:$421,1+$AH205-380,AR$14)</f>
        <v>0.0904548796210557</v>
      </c>
      <c r="AS205" s="236">
        <f ca="1" t="shared" si="72"/>
        <v>3.7863335403181e+19</v>
      </c>
      <c r="AT205" s="236">
        <f ca="1">INDEX(Photobiology!$21:$421,1+$AH205-380,AT$14)</f>
        <v>8.80549089815485e-5</v>
      </c>
      <c r="AU205" s="236">
        <f ca="1">INDEX(Photobiology!$21:$421,1+$AH205-380,AU$14)</f>
        <v>0.885250460044643</v>
      </c>
      <c r="AV205" s="236">
        <f ca="1">INDEX(Photobiology!$21:$421,1+$AH205-380,AV$14)</f>
        <v>0.998594006020594</v>
      </c>
      <c r="AW205" s="236">
        <f ca="1">INDEX(Photobiology!$21:$421,1+$AH205-380,AW$14)</f>
        <v>0.337349140737483</v>
      </c>
      <c r="AX205" s="236">
        <f ca="1">INDEX(Photobiology!$21:$421,1+$AH205-380,AX$14)</f>
        <v>0.0783905762985532</v>
      </c>
      <c r="AY205" s="236">
        <f ca="1" t="shared" si="59"/>
        <v>13.3319879209511</v>
      </c>
      <c r="AZ205" s="236">
        <f ca="1" t="shared" si="73"/>
        <v>0.0015047865872006</v>
      </c>
      <c r="BA205" s="236">
        <f ca="1" t="shared" si="60"/>
        <v>12.2578671873716</v>
      </c>
      <c r="BB205" s="236">
        <f ca="1" t="shared" si="61"/>
        <v>13.1898516672641</v>
      </c>
      <c r="BC205" s="236">
        <f ca="1" t="shared" si="62"/>
        <v>4.97633846889913</v>
      </c>
      <c r="BD205" s="236">
        <f ca="1" t="shared" si="63"/>
        <v>1.205943362499</v>
      </c>
    </row>
    <row r="206" s="234" customFormat="1" ht="0.2" customHeight="1" spans="7:56">
      <c r="G206" s="236"/>
      <c r="H206" s="236">
        <f t="shared" si="64"/>
        <v>565</v>
      </c>
      <c r="I206" s="236">
        <f>IF($H206&gt;$H205,INDEX(Spectra!206:206,1,MATCH($I$20,Spectra!$20:$20,0)),I205)</f>
        <v>11.4845386828442</v>
      </c>
      <c r="J206" s="236">
        <f>((Physics!$C$9*Physics!$C$10)/(Physics!$C$11*Physics!$C$12*$H206))^($J$17-$J$18)</f>
        <v>2.84507225790262e+18</v>
      </c>
      <c r="K206" s="236">
        <f t="shared" si="65"/>
        <v>1</v>
      </c>
      <c r="L206" s="236">
        <f ca="1">INDEX(Photobiology!$21:$421,1+$H206-380,10)</f>
        <v>0.9786</v>
      </c>
      <c r="M206" s="236">
        <f ca="1" t="shared" si="66"/>
        <v>11.4845386828442</v>
      </c>
      <c r="N206" s="236">
        <f ca="1">INDEX(Photobiology!$21:$421,1+$H206-380,N$14)</f>
        <v>0.000103453216973388</v>
      </c>
      <c r="O206" s="236">
        <f ca="1">INDEX(Photobiology!$21:$421,1+$H206-380,O$14)</f>
        <v>0.910271614292821</v>
      </c>
      <c r="P206" s="236">
        <f ca="1">INDEX(Photobiology!$21:$421,1+$H206-380,P$14)</f>
        <v>0.991861424504528</v>
      </c>
      <c r="Q206" s="236">
        <f ca="1">INDEX(Photobiology!$21:$421,1+$H206-380,Q$14)</f>
        <v>0.357467036574098</v>
      </c>
      <c r="R206" s="236">
        <f ca="1">INDEX(Photobiology!$21:$421,1+$H206-380,R$14)</f>
        <v>0.0843457103190572</v>
      </c>
      <c r="S206" s="236">
        <f ca="1" t="shared" si="67"/>
        <v>3.26743424013695e+19</v>
      </c>
      <c r="T206" s="236">
        <f ca="1">INDEX(Photobiology!$21:$421,1+$H206-380,T$14)</f>
        <v>8.0565337112019e-5</v>
      </c>
      <c r="U206" s="236">
        <f ca="1">INDEX(Photobiology!$21:$421,1+$H206-380,U$14)</f>
        <v>0.874878647748187</v>
      </c>
      <c r="V206" s="236">
        <f ca="1">INDEX(Photobiology!$21:$421,1+$H206-380,V$14)</f>
        <v>0.999368395694111</v>
      </c>
      <c r="W206" s="236">
        <f ca="1">INDEX(Photobiology!$21:$421,1+$H206-380,W$14)</f>
        <v>0.322501147660085</v>
      </c>
      <c r="X206" s="236">
        <f ca="1">INDEX(Photobiology!$21:$421,1+$H206-380,X$14)</f>
        <v>0.0729668357787835</v>
      </c>
      <c r="Y206" s="236">
        <f ca="1" t="shared" si="54"/>
        <v>11.4845386828442</v>
      </c>
      <c r="Z206" s="236">
        <f ca="1" t="shared" si="68"/>
        <v>0.00118811247219555</v>
      </c>
      <c r="AA206" s="236">
        <f ca="1" t="shared" si="55"/>
        <v>10.4540495662409</v>
      </c>
      <c r="AB206" s="236">
        <f ca="1" t="shared" si="56"/>
        <v>11.3910708977432</v>
      </c>
      <c r="AC206" s="236">
        <f ca="1" t="shared" si="57"/>
        <v>4.10534400937691</v>
      </c>
      <c r="AD206" s="236">
        <f ca="1" t="shared" si="58"/>
        <v>0.968671572891184</v>
      </c>
      <c r="AE206" s="236"/>
      <c r="AF206" s="236"/>
      <c r="AG206" s="236"/>
      <c r="AH206" s="236">
        <f t="shared" si="69"/>
        <v>565</v>
      </c>
      <c r="AI206" s="236">
        <f>IF($AH206&gt;$AH205,INDEX(Spectra!206:206,1,MATCH($AI$20,Spectra!$20:$20,0)),AI205)</f>
        <v>1</v>
      </c>
      <c r="AJ206" s="236">
        <f>((Physics!$C$9*Physics!$C$10)/(Physics!$C$11*Physics!$C$12*$AH206))^($AJ$17-$AJ$18)</f>
        <v>2.84507225790262e+18</v>
      </c>
      <c r="AK206" s="236">
        <f t="shared" si="70"/>
        <v>1</v>
      </c>
      <c r="AL206" s="236">
        <f ca="1">INDEX(Photobiology!$21:$421,1+$AH206-380,10)</f>
        <v>0.9786</v>
      </c>
      <c r="AM206" s="236">
        <f ca="1" t="shared" si="71"/>
        <v>13.3319879209511</v>
      </c>
      <c r="AN206" s="236">
        <f ca="1">INDEX(Photobiology!$21:$421,1+$AH206-380,AN$14)</f>
        <v>0.000103453216973388</v>
      </c>
      <c r="AO206" s="236">
        <f ca="1">INDEX(Photobiology!$21:$421,1+$AH206-380,AO$14)</f>
        <v>0.910271614292821</v>
      </c>
      <c r="AP206" s="236">
        <f ca="1">INDEX(Photobiology!$21:$421,1+$AH206-380,AP$14)</f>
        <v>0.991861424504528</v>
      </c>
      <c r="AQ206" s="236">
        <f ca="1">INDEX(Photobiology!$21:$421,1+$AH206-380,AQ$14)</f>
        <v>0.357467036574098</v>
      </c>
      <c r="AR206" s="236">
        <f ca="1">INDEX(Photobiology!$21:$421,1+$AH206-380,AR$14)</f>
        <v>0.0843457103190572</v>
      </c>
      <c r="AS206" s="236">
        <f ca="1" t="shared" si="72"/>
        <v>3.79304689765909e+19</v>
      </c>
      <c r="AT206" s="236">
        <f ca="1">INDEX(Photobiology!$21:$421,1+$AH206-380,AT$14)</f>
        <v>8.0565337112019e-5</v>
      </c>
      <c r="AU206" s="236">
        <f ca="1">INDEX(Photobiology!$21:$421,1+$AH206-380,AU$14)</f>
        <v>0.874878647748187</v>
      </c>
      <c r="AV206" s="236">
        <f ca="1">INDEX(Photobiology!$21:$421,1+$AH206-380,AV$14)</f>
        <v>0.999368395694111</v>
      </c>
      <c r="AW206" s="236">
        <f ca="1">INDEX(Photobiology!$21:$421,1+$AH206-380,AW$14)</f>
        <v>0.322501147660085</v>
      </c>
      <c r="AX206" s="236">
        <f ca="1">INDEX(Photobiology!$21:$421,1+$AH206-380,AX$14)</f>
        <v>0.0729668357787835</v>
      </c>
      <c r="AY206" s="236">
        <f ca="1" t="shared" si="59"/>
        <v>13.3319879209511</v>
      </c>
      <c r="AZ206" s="236">
        <f ca="1" t="shared" si="73"/>
        <v>0.00137923703907275</v>
      </c>
      <c r="BA206" s="236">
        <f ca="1" t="shared" si="60"/>
        <v>12.1357301665366</v>
      </c>
      <c r="BB206" s="236">
        <f ca="1" t="shared" si="61"/>
        <v>13.2234845307518</v>
      </c>
      <c r="BC206" s="236">
        <f ca="1" t="shared" si="62"/>
        <v>4.76574621374407</v>
      </c>
      <c r="BD206" s="236">
        <f ca="1" t="shared" si="63"/>
        <v>1.12449599115771</v>
      </c>
    </row>
    <row r="207" s="234" customFormat="1" ht="0.2" customHeight="1" spans="7:56">
      <c r="G207" s="236"/>
      <c r="H207" s="236">
        <f t="shared" si="64"/>
        <v>566</v>
      </c>
      <c r="I207" s="236">
        <f>IF($H207&gt;$H206,INDEX(Spectra!207:207,1,MATCH($I$20,Spectra!$20:$20,0)),I206)</f>
        <v>11.4960407996086</v>
      </c>
      <c r="J207" s="236">
        <f>((Physics!$C$9*Physics!$C$10)/(Physics!$C$11*Physics!$C$12*$H207))^($J$17-$J$18)</f>
        <v>2.8501077840228e+18</v>
      </c>
      <c r="K207" s="236">
        <f t="shared" si="65"/>
        <v>1</v>
      </c>
      <c r="L207" s="236">
        <f ca="1">INDEX(Photobiology!$21:$421,1+$H207-380,10)</f>
        <v>0.9740837</v>
      </c>
      <c r="M207" s="236">
        <f ca="1" t="shared" si="66"/>
        <v>11.4960407996086</v>
      </c>
      <c r="N207" s="236">
        <f ca="1">INDEX(Photobiology!$21:$421,1+$H207-380,N$14)</f>
        <v>9.4851237196109e-5</v>
      </c>
      <c r="O207" s="236">
        <f ca="1">INDEX(Photobiology!$21:$421,1+$H207-380,O$14)</f>
        <v>0.90067684945467</v>
      </c>
      <c r="P207" s="236">
        <f ca="1">INDEX(Photobiology!$21:$421,1+$H207-380,P$14)</f>
        <v>0.99408380821058</v>
      </c>
      <c r="Q207" s="236">
        <f ca="1">INDEX(Photobiology!$21:$421,1+$H207-380,Q$14)</f>
        <v>0.341957394994984</v>
      </c>
      <c r="R207" s="236">
        <f ca="1">INDEX(Photobiology!$21:$421,1+$H207-380,R$14)</f>
        <v>0.0785789099561619</v>
      </c>
      <c r="S207" s="236">
        <f ca="1" t="shared" si="67"/>
        <v>3.27649553684082e+19</v>
      </c>
      <c r="T207" s="236">
        <f ca="1">INDEX(Photobiology!$21:$421,1+$H207-380,T$14)</f>
        <v>7.37359441100494e-5</v>
      </c>
      <c r="U207" s="236">
        <f ca="1">INDEX(Photobiology!$21:$421,1+$H207-380,U$14)</f>
        <v>0.864127515066769</v>
      </c>
      <c r="V207" s="236">
        <f ca="1">INDEX(Photobiology!$21:$421,1+$H207-380,V$14)</f>
        <v>0.999837974929213</v>
      </c>
      <c r="W207" s="236">
        <f ca="1">INDEX(Photobiology!$21:$421,1+$H207-380,W$14)</f>
        <v>0.307963524365956</v>
      </c>
      <c r="X207" s="236">
        <f ca="1">INDEX(Photobiology!$21:$421,1+$H207-380,X$14)</f>
        <v>0.0678579179108833</v>
      </c>
      <c r="Y207" s="236">
        <f ca="1" t="shared" si="54"/>
        <v>11.4960407996086</v>
      </c>
      <c r="Z207" s="236">
        <f ca="1" t="shared" si="68"/>
        <v>0.00109041369269982</v>
      </c>
      <c r="AA207" s="236">
        <f ca="1" t="shared" si="55"/>
        <v>10.3542178085938</v>
      </c>
      <c r="AB207" s="236">
        <f ca="1" t="shared" si="56"/>
        <v>11.4280280174191</v>
      </c>
      <c r="AC207" s="236">
        <f ca="1" t="shared" si="57"/>
        <v>3.93115616459021</v>
      </c>
      <c r="AD207" s="236">
        <f ca="1" t="shared" si="58"/>
        <v>0.903346354844808</v>
      </c>
      <c r="AE207" s="236"/>
      <c r="AF207" s="236"/>
      <c r="AG207" s="236"/>
      <c r="AH207" s="236">
        <f t="shared" si="69"/>
        <v>566</v>
      </c>
      <c r="AI207" s="236">
        <f>IF($AH207&gt;$AH206,INDEX(Spectra!207:207,1,MATCH($AI$20,Spectra!$20:$20,0)),AI206)</f>
        <v>1</v>
      </c>
      <c r="AJ207" s="236">
        <f>((Physics!$C$9*Physics!$C$10)/(Physics!$C$11*Physics!$C$12*$AH207))^($AJ$17-$AJ$18)</f>
        <v>2.8501077840228e+18</v>
      </c>
      <c r="AK207" s="236">
        <f t="shared" si="70"/>
        <v>1</v>
      </c>
      <c r="AL207" s="236">
        <f ca="1">INDEX(Photobiology!$21:$421,1+$AH207-380,10)</f>
        <v>0.9740837</v>
      </c>
      <c r="AM207" s="236">
        <f ca="1" t="shared" si="71"/>
        <v>13.3319879209511</v>
      </c>
      <c r="AN207" s="236">
        <f ca="1">INDEX(Photobiology!$21:$421,1+$AH207-380,AN$14)</f>
        <v>9.4851237196109e-5</v>
      </c>
      <c r="AO207" s="236">
        <f ca="1">INDEX(Photobiology!$21:$421,1+$AH207-380,AO$14)</f>
        <v>0.90067684945467</v>
      </c>
      <c r="AP207" s="236">
        <f ca="1">INDEX(Photobiology!$21:$421,1+$AH207-380,AP$14)</f>
        <v>0.99408380821058</v>
      </c>
      <c r="AQ207" s="236">
        <f ca="1">INDEX(Photobiology!$21:$421,1+$AH207-380,AQ$14)</f>
        <v>0.341957394994984</v>
      </c>
      <c r="AR207" s="236">
        <f ca="1">INDEX(Photobiology!$21:$421,1+$AH207-380,AR$14)</f>
        <v>0.0785789099561619</v>
      </c>
      <c r="AS207" s="236">
        <f ca="1" t="shared" si="72"/>
        <v>3.79976025500008e+19</v>
      </c>
      <c r="AT207" s="236">
        <f ca="1">INDEX(Photobiology!$21:$421,1+$AH207-380,AT$14)</f>
        <v>7.37359441100494e-5</v>
      </c>
      <c r="AU207" s="236">
        <f ca="1">INDEX(Photobiology!$21:$421,1+$AH207-380,AU$14)</f>
        <v>0.864127515066769</v>
      </c>
      <c r="AV207" s="236">
        <f ca="1">INDEX(Photobiology!$21:$421,1+$AH207-380,AV$14)</f>
        <v>0.999837974929213</v>
      </c>
      <c r="AW207" s="236">
        <f ca="1">INDEX(Photobiology!$21:$421,1+$AH207-380,AW$14)</f>
        <v>0.307963524365956</v>
      </c>
      <c r="AX207" s="236">
        <f ca="1">INDEX(Photobiology!$21:$421,1+$AH207-380,AX$14)</f>
        <v>0.0678579179108833</v>
      </c>
      <c r="AY207" s="236">
        <f ca="1" t="shared" si="59"/>
        <v>13.3319879209511</v>
      </c>
      <c r="AZ207" s="236">
        <f ca="1" t="shared" si="73"/>
        <v>0.0012645555485858</v>
      </c>
      <c r="BA207" s="236">
        <f ca="1" t="shared" si="60"/>
        <v>12.00781287761</v>
      </c>
      <c r="BB207" s="236">
        <f ca="1" t="shared" si="61"/>
        <v>13.2531133234766</v>
      </c>
      <c r="BC207" s="236">
        <f ca="1" t="shared" si="62"/>
        <v>4.55897185955305</v>
      </c>
      <c r="BD207" s="236">
        <f ca="1" t="shared" si="63"/>
        <v>1.04761307837706</v>
      </c>
    </row>
    <row r="208" s="234" customFormat="1" ht="0.2" customHeight="1" spans="7:56">
      <c r="G208" s="236"/>
      <c r="H208" s="236">
        <f t="shared" si="64"/>
        <v>567</v>
      </c>
      <c r="I208" s="236">
        <f>IF($H208&gt;$H207,INDEX(Spectra!208:208,1,MATCH($I$20,Spectra!$20:$20,0)),I207)</f>
        <v>11.5214228320127</v>
      </c>
      <c r="J208" s="236">
        <f>((Physics!$C$9*Physics!$C$10)/(Physics!$C$11*Physics!$C$12*$H208))^($J$17-$J$18)</f>
        <v>2.85514331014298e+18</v>
      </c>
      <c r="K208" s="236">
        <f t="shared" si="65"/>
        <v>1</v>
      </c>
      <c r="L208" s="236">
        <f ca="1">INDEX(Photobiology!$21:$421,1+$H208-380,10)</f>
        <v>0.9691712</v>
      </c>
      <c r="M208" s="236">
        <f ca="1" t="shared" si="66"/>
        <v>11.5214228320127</v>
      </c>
      <c r="N208" s="236">
        <f ca="1">INDEX(Photobiology!$21:$421,1+$H208-380,N$14)</f>
        <v>8.69909352458333e-5</v>
      </c>
      <c r="O208" s="236">
        <f ca="1">INDEX(Photobiology!$21:$421,1+$H208-380,O$14)</f>
        <v>0.890658055076865</v>
      </c>
      <c r="P208" s="236">
        <f ca="1">INDEX(Photobiology!$21:$421,1+$H208-380,P$14)</f>
        <v>0.996001517243542</v>
      </c>
      <c r="Q208" s="236">
        <f ca="1">INDEX(Photobiology!$21:$421,1+$H208-380,Q$14)</f>
        <v>0.326754065641005</v>
      </c>
      <c r="R208" s="236">
        <f ca="1">INDEX(Photobiology!$21:$421,1+$H208-380,R$14)</f>
        <v>0.0731432072904664</v>
      </c>
      <c r="S208" s="236">
        <f ca="1" t="shared" si="67"/>
        <v>3.28953133221496e+19</v>
      </c>
      <c r="T208" s="236">
        <f ca="1">INDEX(Photobiology!$21:$421,1+$H208-380,T$14)</f>
        <v>6.75061931360964e-5</v>
      </c>
      <c r="U208" s="236">
        <f ca="1">INDEX(Photobiology!$21:$421,1+$H208-380,U$14)</f>
        <v>0.853008200268768</v>
      </c>
      <c r="V208" s="236">
        <f ca="1">INDEX(Photobiology!$21:$421,1+$H208-380,V$14)</f>
        <v>1</v>
      </c>
      <c r="W208" s="236">
        <f ca="1">INDEX(Photobiology!$21:$421,1+$H208-380,W$14)</f>
        <v>0.293752555466497</v>
      </c>
      <c r="X208" s="236">
        <f ca="1">INDEX(Photobiology!$21:$421,1+$H208-380,X$14)</f>
        <v>0.0630524406943351</v>
      </c>
      <c r="Y208" s="236">
        <f ca="1" t="shared" si="54"/>
        <v>11.5214228320127</v>
      </c>
      <c r="Z208" s="236">
        <f ca="1" t="shared" si="68"/>
        <v>0.00100225934751948</v>
      </c>
      <c r="AA208" s="236">
        <f ca="1" t="shared" si="55"/>
        <v>10.2616480512786</v>
      </c>
      <c r="AB208" s="236">
        <f ca="1" t="shared" si="56"/>
        <v>11.475354621489</v>
      </c>
      <c r="AC208" s="236">
        <f ca="1" t="shared" si="57"/>
        <v>3.76467175232925</v>
      </c>
      <c r="AD208" s="236">
        <f ca="1" t="shared" si="58"/>
        <v>0.842713818483017</v>
      </c>
      <c r="AE208" s="236"/>
      <c r="AF208" s="236"/>
      <c r="AG208" s="236"/>
      <c r="AH208" s="236">
        <f t="shared" si="69"/>
        <v>567</v>
      </c>
      <c r="AI208" s="236">
        <f>IF($AH208&gt;$AH207,INDEX(Spectra!208:208,1,MATCH($AI$20,Spectra!$20:$20,0)),AI207)</f>
        <v>1</v>
      </c>
      <c r="AJ208" s="236">
        <f>((Physics!$C$9*Physics!$C$10)/(Physics!$C$11*Physics!$C$12*$AH208))^($AJ$17-$AJ$18)</f>
        <v>2.85514331014298e+18</v>
      </c>
      <c r="AK208" s="236">
        <f t="shared" si="70"/>
        <v>1</v>
      </c>
      <c r="AL208" s="236">
        <f ca="1">INDEX(Photobiology!$21:$421,1+$AH208-380,10)</f>
        <v>0.9691712</v>
      </c>
      <c r="AM208" s="236">
        <f ca="1" t="shared" si="71"/>
        <v>13.3319879209511</v>
      </c>
      <c r="AN208" s="236">
        <f ca="1">INDEX(Photobiology!$21:$421,1+$AH208-380,AN$14)</f>
        <v>8.69909352458333e-5</v>
      </c>
      <c r="AO208" s="236">
        <f ca="1">INDEX(Photobiology!$21:$421,1+$AH208-380,AO$14)</f>
        <v>0.890658055076865</v>
      </c>
      <c r="AP208" s="236">
        <f ca="1">INDEX(Photobiology!$21:$421,1+$AH208-380,AP$14)</f>
        <v>0.996001517243542</v>
      </c>
      <c r="AQ208" s="236">
        <f ca="1">INDEX(Photobiology!$21:$421,1+$AH208-380,AQ$14)</f>
        <v>0.326754065641005</v>
      </c>
      <c r="AR208" s="236">
        <f ca="1">INDEX(Photobiology!$21:$421,1+$AH208-380,AR$14)</f>
        <v>0.0731432072904664</v>
      </c>
      <c r="AS208" s="236">
        <f ca="1" t="shared" si="72"/>
        <v>3.80647361234107e+19</v>
      </c>
      <c r="AT208" s="236">
        <f ca="1">INDEX(Photobiology!$21:$421,1+$AH208-380,AT$14)</f>
        <v>6.75061931360964e-5</v>
      </c>
      <c r="AU208" s="236">
        <f ca="1">INDEX(Photobiology!$21:$421,1+$AH208-380,AU$14)</f>
        <v>0.853008200268768</v>
      </c>
      <c r="AV208" s="236">
        <f ca="1">INDEX(Photobiology!$21:$421,1+$AH208-380,AV$14)</f>
        <v>1</v>
      </c>
      <c r="AW208" s="236">
        <f ca="1">INDEX(Photobiology!$21:$421,1+$AH208-380,AW$14)</f>
        <v>0.293752555466497</v>
      </c>
      <c r="AX208" s="236">
        <f ca="1">INDEX(Photobiology!$21:$421,1+$AH208-380,AX$14)</f>
        <v>0.0630524406943351</v>
      </c>
      <c r="AY208" s="236">
        <f ca="1" t="shared" si="59"/>
        <v>13.3319879209511</v>
      </c>
      <c r="AZ208" s="236">
        <f ca="1" t="shared" si="73"/>
        <v>0.00115976209792969</v>
      </c>
      <c r="BA208" s="236">
        <f ca="1" t="shared" si="60"/>
        <v>11.8742424319826</v>
      </c>
      <c r="BB208" s="236">
        <f ca="1" t="shared" si="61"/>
        <v>13.2786801971399</v>
      </c>
      <c r="BC208" s="236">
        <f ca="1" t="shared" si="62"/>
        <v>4.35628125624755</v>
      </c>
      <c r="BD208" s="236">
        <f ca="1" t="shared" si="63"/>
        <v>0.975144356096123</v>
      </c>
    </row>
    <row r="209" s="234" customFormat="1" ht="0.2" customHeight="1" spans="7:56">
      <c r="G209" s="236"/>
      <c r="H209" s="236">
        <f t="shared" si="64"/>
        <v>568</v>
      </c>
      <c r="I209" s="236">
        <f>IF($H209&gt;$H208,INDEX(Spectra!209:209,1,MATCH($I$20,Spectra!$20:$20,0)),I208)</f>
        <v>11.5666436496985</v>
      </c>
      <c r="J209" s="236">
        <f>((Physics!$C$9*Physics!$C$10)/(Physics!$C$11*Physics!$C$12*$H209))^($J$17-$J$18)</f>
        <v>2.86017883626316e+18</v>
      </c>
      <c r="K209" s="236">
        <f t="shared" si="65"/>
        <v>1</v>
      </c>
      <c r="L209" s="236">
        <f ca="1">INDEX(Photobiology!$21:$421,1+$H209-380,10)</f>
        <v>0.9638568</v>
      </c>
      <c r="M209" s="236">
        <f ca="1" t="shared" si="66"/>
        <v>11.5666436496985</v>
      </c>
      <c r="N209" s="236">
        <f ca="1">INDEX(Photobiology!$21:$421,1+$H209-380,N$14)</f>
        <v>7.98066351061838e-5</v>
      </c>
      <c r="O209" s="236">
        <f ca="1">INDEX(Photobiology!$21:$421,1+$H209-380,O$14)</f>
        <v>0.880221556161734</v>
      </c>
      <c r="P209" s="236">
        <f ca="1">INDEX(Photobiology!$21:$421,1+$H209-380,P$14)</f>
        <v>0.997605879407346</v>
      </c>
      <c r="Q209" s="236">
        <f ca="1">INDEX(Photobiology!$21:$421,1+$H209-380,Q$14)</f>
        <v>0.311873877605815</v>
      </c>
      <c r="R209" s="236">
        <f ca="1">INDEX(Photobiology!$21:$421,1+$H209-380,R$14)</f>
        <v>0.0680264801305028</v>
      </c>
      <c r="S209" s="236">
        <f ca="1" t="shared" si="67"/>
        <v>3.30826693734653e+19</v>
      </c>
      <c r="T209" s="236">
        <f ca="1">INDEX(Photobiology!$21:$421,1+$H209-380,T$14)</f>
        <v>6.18220412794382e-5</v>
      </c>
      <c r="U209" s="236">
        <f ca="1">INDEX(Photobiology!$21:$421,1+$H209-380,U$14)</f>
        <v>0.841528694945322</v>
      </c>
      <c r="V209" s="236">
        <f ca="1">INDEX(Photobiology!$21:$421,1+$H209-380,V$14)</f>
        <v>0.999847403630614</v>
      </c>
      <c r="W209" s="236">
        <f ca="1">INDEX(Photobiology!$21:$421,1+$H209-380,W$14)</f>
        <v>0.279881618426862</v>
      </c>
      <c r="X209" s="236">
        <f ca="1">INDEX(Photobiology!$21:$421,1+$H209-380,X$14)</f>
        <v>0.0585383700216417</v>
      </c>
      <c r="Y209" s="236">
        <f ca="1" t="shared" si="54"/>
        <v>11.5666436496985</v>
      </c>
      <c r="Z209" s="236">
        <f ca="1" t="shared" si="68"/>
        <v>0.000923094909154746</v>
      </c>
      <c r="AA209" s="236">
        <f ca="1" t="shared" si="55"/>
        <v>10.1812090729059</v>
      </c>
      <c r="AB209" s="236">
        <f ca="1" t="shared" si="56"/>
        <v>11.5389517099489</v>
      </c>
      <c r="AC209" s="236">
        <f ca="1" t="shared" si="57"/>
        <v>3.60733400591615</v>
      </c>
      <c r="AD209" s="236">
        <f ca="1" t="shared" si="58"/>
        <v>0.786838054412822</v>
      </c>
      <c r="AE209" s="236"/>
      <c r="AF209" s="236"/>
      <c r="AG209" s="236"/>
      <c r="AH209" s="236">
        <f t="shared" si="69"/>
        <v>568</v>
      </c>
      <c r="AI209" s="236">
        <f>IF($AH209&gt;$AH208,INDEX(Spectra!209:209,1,MATCH($AI$20,Spectra!$20:$20,0)),AI208)</f>
        <v>1</v>
      </c>
      <c r="AJ209" s="236">
        <f>((Physics!$C$9*Physics!$C$10)/(Physics!$C$11*Physics!$C$12*$AH209))^($AJ$17-$AJ$18)</f>
        <v>2.86017883626316e+18</v>
      </c>
      <c r="AK209" s="236">
        <f t="shared" si="70"/>
        <v>1</v>
      </c>
      <c r="AL209" s="236">
        <f ca="1">INDEX(Photobiology!$21:$421,1+$AH209-380,10)</f>
        <v>0.9638568</v>
      </c>
      <c r="AM209" s="236">
        <f ca="1" t="shared" si="71"/>
        <v>13.3319879209511</v>
      </c>
      <c r="AN209" s="236">
        <f ca="1">INDEX(Photobiology!$21:$421,1+$AH209-380,AN$14)</f>
        <v>7.98066351061838e-5</v>
      </c>
      <c r="AO209" s="236">
        <f ca="1">INDEX(Photobiology!$21:$421,1+$AH209-380,AO$14)</f>
        <v>0.880221556161734</v>
      </c>
      <c r="AP209" s="236">
        <f ca="1">INDEX(Photobiology!$21:$421,1+$AH209-380,AP$14)</f>
        <v>0.997605879407346</v>
      </c>
      <c r="AQ209" s="236">
        <f ca="1">INDEX(Photobiology!$21:$421,1+$AH209-380,AQ$14)</f>
        <v>0.311873877605815</v>
      </c>
      <c r="AR209" s="236">
        <f ca="1">INDEX(Photobiology!$21:$421,1+$AH209-380,AR$14)</f>
        <v>0.0680264801305028</v>
      </c>
      <c r="AS209" s="236">
        <f ca="1" t="shared" si="72"/>
        <v>3.81318696968206e+19</v>
      </c>
      <c r="AT209" s="236">
        <f ca="1">INDEX(Photobiology!$21:$421,1+$AH209-380,AT$14)</f>
        <v>6.18220412794382e-5</v>
      </c>
      <c r="AU209" s="236">
        <f ca="1">INDEX(Photobiology!$21:$421,1+$AH209-380,AU$14)</f>
        <v>0.841528694945322</v>
      </c>
      <c r="AV209" s="236">
        <f ca="1">INDEX(Photobiology!$21:$421,1+$AH209-380,AV$14)</f>
        <v>0.999847403630614</v>
      </c>
      <c r="AW209" s="236">
        <f ca="1">INDEX(Photobiology!$21:$421,1+$AH209-380,AW$14)</f>
        <v>0.279881618426862</v>
      </c>
      <c r="AX209" s="236">
        <f ca="1">INDEX(Photobiology!$21:$421,1+$AH209-380,AX$14)</f>
        <v>0.0585383700216417</v>
      </c>
      <c r="AY209" s="236">
        <f ca="1" t="shared" si="59"/>
        <v>13.3319879209511</v>
      </c>
      <c r="AZ209" s="236">
        <f ca="1" t="shared" si="73"/>
        <v>0.0010639810952474</v>
      </c>
      <c r="BA209" s="236">
        <f ca="1" t="shared" si="60"/>
        <v>11.7351031545091</v>
      </c>
      <c r="BB209" s="236">
        <f ca="1" t="shared" si="61"/>
        <v>13.3000695341286</v>
      </c>
      <c r="BC209" s="236">
        <f ca="1" t="shared" si="62"/>
        <v>4.15789876910092</v>
      </c>
      <c r="BD209" s="236">
        <f ca="1" t="shared" si="63"/>
        <v>0.906928211404686</v>
      </c>
    </row>
    <row r="210" s="234" customFormat="1" ht="0.2" customHeight="1" spans="7:56">
      <c r="G210" s="236"/>
      <c r="H210" s="236">
        <f t="shared" si="64"/>
        <v>569</v>
      </c>
      <c r="I210" s="236">
        <f>IF($H210&gt;$H209,INDEX(Spectra!210:210,1,MATCH($I$20,Spectra!$20:$20,0)),I209)</f>
        <v>11.5898042459502</v>
      </c>
      <c r="J210" s="236">
        <f>((Physics!$C$9*Physics!$C$10)/(Physics!$C$11*Physics!$C$12*$H210))^($J$17-$J$18)</f>
        <v>2.86521436238334e+18</v>
      </c>
      <c r="K210" s="236">
        <f t="shared" si="65"/>
        <v>1</v>
      </c>
      <c r="L210" s="236">
        <f ca="1">INDEX(Photobiology!$21:$421,1+$H210-380,10)</f>
        <v>0.9581349</v>
      </c>
      <c r="M210" s="236">
        <f ca="1" t="shared" si="66"/>
        <v>11.5898042459502</v>
      </c>
      <c r="N210" s="236">
        <f ca="1">INDEX(Photobiology!$21:$421,1+$H210-380,N$14)</f>
        <v>7.32379197325245e-5</v>
      </c>
      <c r="O210" s="236">
        <f ca="1">INDEX(Photobiology!$21:$421,1+$H210-380,O$14)</f>
        <v>0.869376706872682</v>
      </c>
      <c r="P210" s="236">
        <f ca="1">INDEX(Photobiology!$21:$421,1+$H210-380,P$14)</f>
        <v>0.998888469608137</v>
      </c>
      <c r="Q210" s="236">
        <f ca="1">INDEX(Photobiology!$21:$421,1+$H210-380,Q$14)</f>
        <v>0.297333607422779</v>
      </c>
      <c r="R210" s="236">
        <f ca="1">INDEX(Photobiology!$21:$421,1+$H210-380,R$14)</f>
        <v>0.0632165804477113</v>
      </c>
      <c r="S210" s="236">
        <f ca="1" t="shared" si="67"/>
        <v>3.32072735827079e+19</v>
      </c>
      <c r="T210" s="236">
        <f ca="1">INDEX(Photobiology!$21:$421,1+$H210-380,T$14)</f>
        <v>5.66338922360471e-5</v>
      </c>
      <c r="U210" s="236">
        <f ca="1">INDEX(Photobiology!$21:$421,1+$H210-380,U$14)</f>
        <v>0.829699825422965</v>
      </c>
      <c r="V210" s="236">
        <f ca="1">INDEX(Photobiology!$21:$421,1+$H210-380,V$14)</f>
        <v>0.999373415449453</v>
      </c>
      <c r="W210" s="236">
        <f ca="1">INDEX(Photobiology!$21:$421,1+$H210-380,W$14)</f>
        <v>0.266363949584551</v>
      </c>
      <c r="X210" s="236">
        <f ca="1">INDEX(Photobiology!$21:$421,1+$H210-380,X$14)</f>
        <v>0.0543037341892564</v>
      </c>
      <c r="Y210" s="236">
        <f ca="1" t="shared" si="54"/>
        <v>11.5898042459502</v>
      </c>
      <c r="Z210" s="236">
        <f ca="1" t="shared" si="68"/>
        <v>0.000848813153080572</v>
      </c>
      <c r="AA210" s="236">
        <f ca="1" t="shared" si="55"/>
        <v>10.0759058486432</v>
      </c>
      <c r="AB210" s="236">
        <f ca="1" t="shared" si="56"/>
        <v>11.5769218262951</v>
      </c>
      <c r="AC210" s="236">
        <f ca="1" t="shared" si="57"/>
        <v>3.44603830577221</v>
      </c>
      <c r="AD210" s="236">
        <f ca="1" t="shared" si="58"/>
        <v>0.732667792487337</v>
      </c>
      <c r="AE210" s="236"/>
      <c r="AF210" s="236"/>
      <c r="AG210" s="236"/>
      <c r="AH210" s="236">
        <f t="shared" si="69"/>
        <v>569</v>
      </c>
      <c r="AI210" s="236">
        <f>IF($AH210&gt;$AH209,INDEX(Spectra!210:210,1,MATCH($AI$20,Spectra!$20:$20,0)),AI209)</f>
        <v>1</v>
      </c>
      <c r="AJ210" s="236">
        <f>((Physics!$C$9*Physics!$C$10)/(Physics!$C$11*Physics!$C$12*$AH210))^($AJ$17-$AJ$18)</f>
        <v>2.86521436238334e+18</v>
      </c>
      <c r="AK210" s="236">
        <f t="shared" si="70"/>
        <v>1</v>
      </c>
      <c r="AL210" s="236">
        <f ca="1">INDEX(Photobiology!$21:$421,1+$AH210-380,10)</f>
        <v>0.9581349</v>
      </c>
      <c r="AM210" s="236">
        <f ca="1" t="shared" si="71"/>
        <v>13.3319879209511</v>
      </c>
      <c r="AN210" s="236">
        <f ca="1">INDEX(Photobiology!$21:$421,1+$AH210-380,AN$14)</f>
        <v>7.32379197325245e-5</v>
      </c>
      <c r="AO210" s="236">
        <f ca="1">INDEX(Photobiology!$21:$421,1+$AH210-380,AO$14)</f>
        <v>0.869376706872682</v>
      </c>
      <c r="AP210" s="236">
        <f ca="1">INDEX(Photobiology!$21:$421,1+$AH210-380,AP$14)</f>
        <v>0.998888469608137</v>
      </c>
      <c r="AQ210" s="236">
        <f ca="1">INDEX(Photobiology!$21:$421,1+$AH210-380,AQ$14)</f>
        <v>0.297333607422779</v>
      </c>
      <c r="AR210" s="236">
        <f ca="1">INDEX(Photobiology!$21:$421,1+$AH210-380,AR$14)</f>
        <v>0.0632165804477113</v>
      </c>
      <c r="AS210" s="236">
        <f ca="1" t="shared" si="72"/>
        <v>3.81990032702305e+19</v>
      </c>
      <c r="AT210" s="236">
        <f ca="1">INDEX(Photobiology!$21:$421,1+$AH210-380,AT$14)</f>
        <v>5.66338922360471e-5</v>
      </c>
      <c r="AU210" s="236">
        <f ca="1">INDEX(Photobiology!$21:$421,1+$AH210-380,AU$14)</f>
        <v>0.829699825422965</v>
      </c>
      <c r="AV210" s="236">
        <f ca="1">INDEX(Photobiology!$21:$421,1+$AH210-380,AV$14)</f>
        <v>0.999373415449453</v>
      </c>
      <c r="AW210" s="236">
        <f ca="1">INDEX(Photobiology!$21:$421,1+$AH210-380,AW$14)</f>
        <v>0.266363949584551</v>
      </c>
      <c r="AX210" s="236">
        <f ca="1">INDEX(Photobiology!$21:$421,1+$AH210-380,AX$14)</f>
        <v>0.0543037341892564</v>
      </c>
      <c r="AY210" s="236">
        <f ca="1" t="shared" si="59"/>
        <v>13.3319879209511</v>
      </c>
      <c r="AZ210" s="236">
        <f ca="1" t="shared" si="73"/>
        <v>0.000976407061229606</v>
      </c>
      <c r="BA210" s="236">
        <f ca="1" t="shared" si="60"/>
        <v>11.5905197547829</v>
      </c>
      <c r="BB210" s="236">
        <f ca="1" t="shared" si="61"/>
        <v>13.3171690111931</v>
      </c>
      <c r="BC210" s="236">
        <f ca="1" t="shared" si="62"/>
        <v>3.96404806265332</v>
      </c>
      <c r="BD210" s="236">
        <f ca="1" t="shared" si="63"/>
        <v>0.842802686932723</v>
      </c>
    </row>
    <row r="211" s="234" customFormat="1" ht="0.2" customHeight="1" spans="7:56">
      <c r="G211" s="236"/>
      <c r="H211" s="236">
        <f t="shared" si="64"/>
        <v>570</v>
      </c>
      <c r="I211" s="236">
        <f>IF($H211&gt;$H210,INDEX(Spectra!211:211,1,MATCH($I$20,Spectra!$20:$20,0)),I210)</f>
        <v>11.6154706530618</v>
      </c>
      <c r="J211" s="236">
        <f>((Physics!$C$9*Physics!$C$10)/(Physics!$C$11*Physics!$C$12*$H211))^($J$17-$J$18)</f>
        <v>2.87024988850352e+18</v>
      </c>
      <c r="K211" s="236">
        <f t="shared" si="65"/>
        <v>1</v>
      </c>
      <c r="L211" s="236">
        <f ca="1">INDEX(Photobiology!$21:$421,1+$H211-380,10)</f>
        <v>0.952</v>
      </c>
      <c r="M211" s="236">
        <f ca="1" t="shared" si="66"/>
        <v>11.6154706530618</v>
      </c>
      <c r="N211" s="236">
        <f ca="1">INDEX(Photobiology!$21:$421,1+$H211-380,N$14)</f>
        <v>6.7230292383685e-5</v>
      </c>
      <c r="O211" s="236">
        <f ca="1">INDEX(Photobiology!$21:$421,1+$H211-380,O$14)</f>
        <v>0.858137735635838</v>
      </c>
      <c r="P211" s="236">
        <f ca="1">INDEX(Photobiology!$21:$421,1+$H211-380,P$14)</f>
        <v>0.999843436471025</v>
      </c>
      <c r="Q211" s="236">
        <f ca="1">INDEX(Photobiology!$21:$421,1+$H211-380,Q$14)</f>
        <v>0.283149631005694</v>
      </c>
      <c r="R211" s="236">
        <f ca="1">INDEX(Photobiology!$21:$421,1+$H211-380,R$14)</f>
        <v>0.058701337947893</v>
      </c>
      <c r="S211" s="236">
        <f ca="1" t="shared" si="67"/>
        <v>3.33393033468665e+19</v>
      </c>
      <c r="T211" s="236">
        <f ca="1">INDEX(Photobiology!$21:$421,1+$H211-380,T$14)</f>
        <v>5.18970678049498e-5</v>
      </c>
      <c r="U211" s="236">
        <f ca="1">INDEX(Photobiology!$21:$421,1+$H211-380,U$14)</f>
        <v>0.81753698570256</v>
      </c>
      <c r="V211" s="236">
        <f ca="1">INDEX(Photobiology!$21:$421,1+$H211-380,V$14)</f>
        <v>0.998573883047276</v>
      </c>
      <c r="W211" s="236">
        <f ca="1">INDEX(Photobiology!$21:$421,1+$H211-380,W$14)</f>
        <v>0.253212334128264</v>
      </c>
      <c r="X211" s="236">
        <f ca="1">INDEX(Photobiology!$21:$421,1+$H211-380,X$14)</f>
        <v>0.0503366264127149</v>
      </c>
      <c r="Y211" s="236">
        <f ca="1" t="shared" si="54"/>
        <v>11.6154706530618</v>
      </c>
      <c r="Z211" s="236">
        <f ca="1" t="shared" si="68"/>
        <v>0.000780911488179457</v>
      </c>
      <c r="AA211" s="236">
        <f ca="1" t="shared" si="55"/>
        <v>9.96767368456298</v>
      </c>
      <c r="AB211" s="236">
        <f ca="1" t="shared" si="56"/>
        <v>11.6136520939857</v>
      </c>
      <c r="AC211" s="236">
        <f ca="1" t="shared" si="57"/>
        <v>3.28891622937192</v>
      </c>
      <c r="AD211" s="236">
        <f ca="1" t="shared" si="58"/>
        <v>0.681843668229214</v>
      </c>
      <c r="AE211" s="236"/>
      <c r="AF211" s="236"/>
      <c r="AG211" s="236"/>
      <c r="AH211" s="236">
        <f t="shared" si="69"/>
        <v>570</v>
      </c>
      <c r="AI211" s="236">
        <f>IF($AH211&gt;$AH210,INDEX(Spectra!211:211,1,MATCH($AI$20,Spectra!$20:$20,0)),AI210)</f>
        <v>1</v>
      </c>
      <c r="AJ211" s="236">
        <f>((Physics!$C$9*Physics!$C$10)/(Physics!$C$11*Physics!$C$12*$AH211))^($AJ$17-$AJ$18)</f>
        <v>2.87024988850352e+18</v>
      </c>
      <c r="AK211" s="236">
        <f t="shared" si="70"/>
        <v>1</v>
      </c>
      <c r="AL211" s="236">
        <f ca="1">INDEX(Photobiology!$21:$421,1+$AH211-380,10)</f>
        <v>0.952</v>
      </c>
      <c r="AM211" s="236">
        <f ca="1" t="shared" si="71"/>
        <v>13.3319879209511</v>
      </c>
      <c r="AN211" s="236">
        <f ca="1">INDEX(Photobiology!$21:$421,1+$AH211-380,AN$14)</f>
        <v>6.7230292383685e-5</v>
      </c>
      <c r="AO211" s="236">
        <f ca="1">INDEX(Photobiology!$21:$421,1+$AH211-380,AO$14)</f>
        <v>0.858137735635838</v>
      </c>
      <c r="AP211" s="236">
        <f ca="1">INDEX(Photobiology!$21:$421,1+$AH211-380,AP$14)</f>
        <v>0.999843436471025</v>
      </c>
      <c r="AQ211" s="236">
        <f ca="1">INDEX(Photobiology!$21:$421,1+$AH211-380,AQ$14)</f>
        <v>0.283149631005694</v>
      </c>
      <c r="AR211" s="236">
        <f ca="1">INDEX(Photobiology!$21:$421,1+$AH211-380,AR$14)</f>
        <v>0.058701337947893</v>
      </c>
      <c r="AS211" s="236">
        <f ca="1" t="shared" si="72"/>
        <v>3.82661368436403e+19</v>
      </c>
      <c r="AT211" s="236">
        <f ca="1">INDEX(Photobiology!$21:$421,1+$AH211-380,AT$14)</f>
        <v>5.18970678049498e-5</v>
      </c>
      <c r="AU211" s="236">
        <f ca="1">INDEX(Photobiology!$21:$421,1+$AH211-380,AU$14)</f>
        <v>0.81753698570256</v>
      </c>
      <c r="AV211" s="236">
        <f ca="1">INDEX(Photobiology!$21:$421,1+$AH211-380,AV$14)</f>
        <v>0.998573883047276</v>
      </c>
      <c r="AW211" s="236">
        <f ca="1">INDEX(Photobiology!$21:$421,1+$AH211-380,AW$14)</f>
        <v>0.253212334128264</v>
      </c>
      <c r="AX211" s="236">
        <f ca="1">INDEX(Photobiology!$21:$421,1+$AH211-380,AX$14)</f>
        <v>0.0503366264127149</v>
      </c>
      <c r="AY211" s="236">
        <f ca="1" t="shared" si="59"/>
        <v>13.3319879209511</v>
      </c>
      <c r="AZ211" s="236">
        <f ca="1" t="shared" si="73"/>
        <v>0.000896313445981302</v>
      </c>
      <c r="BA211" s="236">
        <f ca="1" t="shared" si="60"/>
        <v>11.4406819260094</v>
      </c>
      <c r="BB211" s="236">
        <f ca="1" t="shared" si="61"/>
        <v>13.329900617874</v>
      </c>
      <c r="BC211" s="236">
        <f ca="1" t="shared" si="62"/>
        <v>3.77494746038968</v>
      </c>
      <c r="BD211" s="236">
        <f ca="1" t="shared" si="63"/>
        <v>0.78260552846498</v>
      </c>
    </row>
    <row r="212" s="234" customFormat="1" ht="0.2" customHeight="1" spans="7:56">
      <c r="G212" s="236"/>
      <c r="H212" s="236">
        <f t="shared" si="64"/>
        <v>571</v>
      </c>
      <c r="I212" s="236">
        <f>IF($H212&gt;$H211,INDEX(Spectra!212:212,1,MATCH($I$20,Spectra!$20:$20,0)),I211)</f>
        <v>11.6708462125854</v>
      </c>
      <c r="J212" s="236">
        <f>((Physics!$C$9*Physics!$C$10)/(Physics!$C$11*Physics!$C$12*$H212))^($J$17-$J$18)</f>
        <v>2.87528541462371e+18</v>
      </c>
      <c r="K212" s="236">
        <f t="shared" si="65"/>
        <v>1</v>
      </c>
      <c r="L212" s="236">
        <f ca="1">INDEX(Photobiology!$21:$421,1+$H212-380,10)</f>
        <v>0.9454504</v>
      </c>
      <c r="M212" s="236">
        <f ca="1" t="shared" si="66"/>
        <v>11.6708462125854</v>
      </c>
      <c r="N212" s="236">
        <f ca="1">INDEX(Photobiology!$21:$421,1+$H212-380,N$14)</f>
        <v>6.17058018181523e-5</v>
      </c>
      <c r="O212" s="236">
        <f ca="1">INDEX(Photobiology!$21:$421,1+$H212-380,O$14)</f>
        <v>0.846122024784411</v>
      </c>
      <c r="P212" s="236">
        <f ca="1">INDEX(Photobiology!$21:$421,1+$H212-380,P$14)</f>
        <v>1</v>
      </c>
      <c r="Q212" s="236">
        <f ca="1">INDEX(Photobiology!$21:$421,1+$H212-380,Q$14)</f>
        <v>0.26921050332112</v>
      </c>
      <c r="R212" s="236">
        <f ca="1">INDEX(Photobiology!$21:$421,1+$H212-380,R$14)</f>
        <v>0.0544427432217106</v>
      </c>
      <c r="S212" s="236">
        <f ca="1" t="shared" si="67"/>
        <v>3.35570138913632e+19</v>
      </c>
      <c r="T212" s="236">
        <f ca="1">INDEX(Photobiology!$21:$421,1+$H212-380,T$14)</f>
        <v>4.75491292469125e-5</v>
      </c>
      <c r="U212" s="236">
        <f ca="1">INDEX(Photobiology!$21:$421,1+$H212-380,U$14)</f>
        <v>0.804678053803574</v>
      </c>
      <c r="V212" s="236">
        <f ca="1">INDEX(Photobiology!$21:$421,1+$H212-380,V$14)</f>
        <v>0.996981158028435</v>
      </c>
      <c r="W212" s="236">
        <f ca="1">INDEX(Photobiology!$21:$421,1+$H212-380,W$14)</f>
        <v>0.240325361379933</v>
      </c>
      <c r="X212" s="236">
        <f ca="1">INDEX(Photobiology!$21:$421,1+$H212-380,X$14)</f>
        <v>0.0466031049796173</v>
      </c>
      <c r="Y212" s="236">
        <f ca="1" t="shared" si="54"/>
        <v>11.6708462125854</v>
      </c>
      <c r="Z212" s="236">
        <f ca="1" t="shared" si="68"/>
        <v>0.000720158923443928</v>
      </c>
      <c r="AA212" s="236">
        <f ca="1" t="shared" si="55"/>
        <v>9.87496002834023</v>
      </c>
      <c r="AB212" s="236">
        <f ca="1" t="shared" si="56"/>
        <v>11.6708462125854</v>
      </c>
      <c r="AC212" s="236">
        <f ca="1" t="shared" si="57"/>
        <v>3.1419143830735</v>
      </c>
      <c r="AD212" s="236">
        <f ca="1" t="shared" si="58"/>
        <v>0.635392883531861</v>
      </c>
      <c r="AE212" s="236"/>
      <c r="AF212" s="236"/>
      <c r="AG212" s="236"/>
      <c r="AH212" s="236">
        <f t="shared" si="69"/>
        <v>571</v>
      </c>
      <c r="AI212" s="236">
        <f>IF($AH212&gt;$AH211,INDEX(Spectra!212:212,1,MATCH($AI$20,Spectra!$20:$20,0)),AI211)</f>
        <v>1</v>
      </c>
      <c r="AJ212" s="236">
        <f>((Physics!$C$9*Physics!$C$10)/(Physics!$C$11*Physics!$C$12*$AH212))^($AJ$17-$AJ$18)</f>
        <v>2.87528541462371e+18</v>
      </c>
      <c r="AK212" s="236">
        <f t="shared" si="70"/>
        <v>1</v>
      </c>
      <c r="AL212" s="236">
        <f ca="1">INDEX(Photobiology!$21:$421,1+$AH212-380,10)</f>
        <v>0.9454504</v>
      </c>
      <c r="AM212" s="236">
        <f ca="1" t="shared" si="71"/>
        <v>13.3319879209511</v>
      </c>
      <c r="AN212" s="236">
        <f ca="1">INDEX(Photobiology!$21:$421,1+$AH212-380,AN$14)</f>
        <v>6.17058018181523e-5</v>
      </c>
      <c r="AO212" s="236">
        <f ca="1">INDEX(Photobiology!$21:$421,1+$AH212-380,AO$14)</f>
        <v>0.846122024784411</v>
      </c>
      <c r="AP212" s="236">
        <f ca="1">INDEX(Photobiology!$21:$421,1+$AH212-380,AP$14)</f>
        <v>1</v>
      </c>
      <c r="AQ212" s="236">
        <f ca="1">INDEX(Photobiology!$21:$421,1+$AH212-380,AQ$14)</f>
        <v>0.26921050332112</v>
      </c>
      <c r="AR212" s="236">
        <f ca="1">INDEX(Photobiology!$21:$421,1+$AH212-380,AR$14)</f>
        <v>0.0544427432217106</v>
      </c>
      <c r="AS212" s="236">
        <f ca="1" t="shared" si="72"/>
        <v>3.83332704170502e+19</v>
      </c>
      <c r="AT212" s="236">
        <f ca="1">INDEX(Photobiology!$21:$421,1+$AH212-380,AT$14)</f>
        <v>4.75491292469125e-5</v>
      </c>
      <c r="AU212" s="236">
        <f ca="1">INDEX(Photobiology!$21:$421,1+$AH212-380,AU$14)</f>
        <v>0.804678053803574</v>
      </c>
      <c r="AV212" s="236">
        <f ca="1">INDEX(Photobiology!$21:$421,1+$AH212-380,AV$14)</f>
        <v>0.996981158028435</v>
      </c>
      <c r="AW212" s="236">
        <f ca="1">INDEX(Photobiology!$21:$421,1+$AH212-380,AW$14)</f>
        <v>0.240325361379933</v>
      </c>
      <c r="AX212" s="236">
        <f ca="1">INDEX(Photobiology!$21:$421,1+$AH212-380,AX$14)</f>
        <v>0.0466031049796173</v>
      </c>
      <c r="AY212" s="236">
        <f ca="1" t="shared" si="59"/>
        <v>13.3319879209511</v>
      </c>
      <c r="AZ212" s="236">
        <f ca="1" t="shared" si="73"/>
        <v>0.000822661004492211</v>
      </c>
      <c r="BA212" s="236">
        <f ca="1" t="shared" si="60"/>
        <v>11.2804886140765</v>
      </c>
      <c r="BB212" s="236">
        <f ca="1" t="shared" si="61"/>
        <v>13.3319879209511</v>
      </c>
      <c r="BC212" s="236">
        <f ca="1" t="shared" si="62"/>
        <v>3.58911117847035</v>
      </c>
      <c r="BD212" s="236">
        <f ca="1" t="shared" si="63"/>
        <v>0.72582999501529</v>
      </c>
    </row>
    <row r="213" s="234" customFormat="1" ht="0.2" customHeight="1" spans="7:56">
      <c r="G213" s="236"/>
      <c r="H213" s="236">
        <f t="shared" si="64"/>
        <v>572</v>
      </c>
      <c r="I213" s="236">
        <f>IF($H213&gt;$H212,INDEX(Spectra!213:213,1,MATCH($I$20,Spectra!$20:$20,0)),I212)</f>
        <v>11.7218055106327</v>
      </c>
      <c r="J213" s="236">
        <f>((Physics!$C$9*Physics!$C$10)/(Physics!$C$11*Physics!$C$12*$H213))^($J$17-$J$18)</f>
        <v>2.88032094074389e+18</v>
      </c>
      <c r="K213" s="236">
        <f t="shared" si="65"/>
        <v>1</v>
      </c>
      <c r="L213" s="236">
        <f ca="1">INDEX(Photobiology!$21:$421,1+$H213-380,10)</f>
        <v>0.9384992</v>
      </c>
      <c r="M213" s="236">
        <f ca="1" t="shared" si="66"/>
        <v>11.7218055106327</v>
      </c>
      <c r="N213" s="236">
        <f ca="1">INDEX(Photobiology!$21:$421,1+$H213-380,N$14)</f>
        <v>5.66522287403667e-5</v>
      </c>
      <c r="O213" s="236">
        <f ca="1">INDEX(Photobiology!$21:$421,1+$H213-380,O$14)</f>
        <v>0.833746454318027</v>
      </c>
      <c r="P213" s="236">
        <f ca="1">INDEX(Photobiology!$21:$421,1+$H213-380,P$14)</f>
        <v>0.999813507999263</v>
      </c>
      <c r="Q213" s="236">
        <f ca="1">INDEX(Photobiology!$21:$421,1+$H213-380,Q$14)</f>
        <v>0.255667191058787</v>
      </c>
      <c r="R213" s="236">
        <f ca="1">INDEX(Photobiology!$21:$421,1+$H213-380,R$14)</f>
        <v>0.0504571829525342</v>
      </c>
      <c r="S213" s="236">
        <f ca="1" t="shared" si="67"/>
        <v>3.37625618756025e+19</v>
      </c>
      <c r="T213" s="236">
        <f ca="1">INDEX(Photobiology!$21:$421,1+$H213-380,T$14)</f>
        <v>4.35786374925898e-5</v>
      </c>
      <c r="U213" s="236">
        <f ca="1">INDEX(Photobiology!$21:$421,1+$H213-380,U$14)</f>
        <v>0.791522448212703</v>
      </c>
      <c r="V213" s="236">
        <f ca="1">INDEX(Photobiology!$21:$421,1+$H213-380,V$14)</f>
        <v>0.995052580015798</v>
      </c>
      <c r="W213" s="236">
        <f ca="1">INDEX(Photobiology!$21:$421,1+$H213-380,W$14)</f>
        <v>0.227836176349923</v>
      </c>
      <c r="X213" s="236">
        <f ca="1">INDEX(Photobiology!$21:$421,1+$H213-380,X$14)</f>
        <v>0.0431159473000881</v>
      </c>
      <c r="Y213" s="236">
        <f ca="1" t="shared" ref="Y213:Y276" si="74">IF(TRUE,M213,S213)</f>
        <v>11.7218055106327</v>
      </c>
      <c r="Z213" s="236">
        <f ca="1" t="shared" si="68"/>
        <v>0.000664066407038455</v>
      </c>
      <c r="AA213" s="236">
        <f ca="1" t="shared" ref="AA213:AA276" si="75">$Y213*O213</f>
        <v>9.77301378269552</v>
      </c>
      <c r="AB213" s="236">
        <f ca="1" t="shared" ref="AB213:AB276" si="76">$Y213*P213</f>
        <v>11.7196194876708</v>
      </c>
      <c r="AC213" s="236">
        <f ca="1" t="shared" ref="AC213:AC276" si="77">$Y213*Q213</f>
        <v>2.99688108904087</v>
      </c>
      <c r="AD213" s="236">
        <f ca="1" t="shared" ref="AD213:AD276" si="78">$Y213*R213</f>
        <v>0.591449285184018</v>
      </c>
      <c r="AE213" s="236"/>
      <c r="AF213" s="236"/>
      <c r="AG213" s="236"/>
      <c r="AH213" s="236">
        <f t="shared" si="69"/>
        <v>572</v>
      </c>
      <c r="AI213" s="236">
        <f>IF($AH213&gt;$AH212,INDEX(Spectra!213:213,1,MATCH($AI$20,Spectra!$20:$20,0)),AI212)</f>
        <v>1</v>
      </c>
      <c r="AJ213" s="236">
        <f>((Physics!$C$9*Physics!$C$10)/(Physics!$C$11*Physics!$C$12*$AH213))^($AJ$17-$AJ$18)</f>
        <v>2.88032094074389e+18</v>
      </c>
      <c r="AK213" s="236">
        <f t="shared" si="70"/>
        <v>1</v>
      </c>
      <c r="AL213" s="236">
        <f ca="1">INDEX(Photobiology!$21:$421,1+$AH213-380,10)</f>
        <v>0.9384992</v>
      </c>
      <c r="AM213" s="236">
        <f ca="1" t="shared" si="71"/>
        <v>13.3319879209511</v>
      </c>
      <c r="AN213" s="236">
        <f ca="1">INDEX(Photobiology!$21:$421,1+$AH213-380,AN$14)</f>
        <v>5.66522287403667e-5</v>
      </c>
      <c r="AO213" s="236">
        <f ca="1">INDEX(Photobiology!$21:$421,1+$AH213-380,AO$14)</f>
        <v>0.833746454318027</v>
      </c>
      <c r="AP213" s="236">
        <f ca="1">INDEX(Photobiology!$21:$421,1+$AH213-380,AP$14)</f>
        <v>0.999813507999263</v>
      </c>
      <c r="AQ213" s="236">
        <f ca="1">INDEX(Photobiology!$21:$421,1+$AH213-380,AQ$14)</f>
        <v>0.255667191058787</v>
      </c>
      <c r="AR213" s="236">
        <f ca="1">INDEX(Photobiology!$21:$421,1+$AH213-380,AR$14)</f>
        <v>0.0504571829525342</v>
      </c>
      <c r="AS213" s="236">
        <f ca="1" t="shared" si="72"/>
        <v>3.84004039904601e+19</v>
      </c>
      <c r="AT213" s="236">
        <f ca="1">INDEX(Photobiology!$21:$421,1+$AH213-380,AT$14)</f>
        <v>4.35786374925898e-5</v>
      </c>
      <c r="AU213" s="236">
        <f ca="1">INDEX(Photobiology!$21:$421,1+$AH213-380,AU$14)</f>
        <v>0.791522448212703</v>
      </c>
      <c r="AV213" s="236">
        <f ca="1">INDEX(Photobiology!$21:$421,1+$AH213-380,AV$14)</f>
        <v>0.995052580015798</v>
      </c>
      <c r="AW213" s="236">
        <f ca="1">INDEX(Photobiology!$21:$421,1+$AH213-380,AW$14)</f>
        <v>0.227836176349923</v>
      </c>
      <c r="AX213" s="236">
        <f ca="1">INDEX(Photobiology!$21:$421,1+$AH213-380,AX$14)</f>
        <v>0.0431159473000881</v>
      </c>
      <c r="AY213" s="236">
        <f ca="1" t="shared" ref="AY213:AY276" si="79">IF(TRUE,AM213,AS213)</f>
        <v>13.3319879209511</v>
      </c>
      <c r="AZ213" s="236">
        <f ca="1" t="shared" si="73"/>
        <v>0.00075528682926153</v>
      </c>
      <c r="BA213" s="236">
        <f ca="1" t="shared" ref="BA213:BA276" si="80">$AY213*AO213</f>
        <v>11.1154976581038</v>
      </c>
      <c r="BB213" s="236">
        <f ca="1" t="shared" ref="BB213:BB276" si="81">$AY213*AP213</f>
        <v>13.32950161185</v>
      </c>
      <c r="BC213" s="236">
        <f ca="1" t="shared" ref="BC213:BC276" si="82">$AY213*AQ213</f>
        <v>3.40855190297926</v>
      </c>
      <c r="BD213" s="236">
        <f ca="1" t="shared" ref="BD213:BD276" si="83">$AY213*AR213</f>
        <v>0.672694553648408</v>
      </c>
    </row>
    <row r="214" s="234" customFormat="1" ht="0.2" customHeight="1" spans="7:56">
      <c r="G214" s="236"/>
      <c r="H214" s="236">
        <f t="shared" ref="H214:H277" si="84">MIN(780,H213+$J$14)</f>
        <v>573</v>
      </c>
      <c r="I214" s="236">
        <f>IF($H214&gt;$H213,INDEX(Spectra!214:214,1,MATCH($I$20,Spectra!$20:$20,0)),I213)</f>
        <v>11.7675564800164</v>
      </c>
      <c r="J214" s="236">
        <f>((Physics!$C$9*Physics!$C$10)/(Physics!$C$11*Physics!$C$12*$H214))^($J$17-$J$18)</f>
        <v>2.88535646686407e+18</v>
      </c>
      <c r="K214" s="236">
        <f t="shared" ref="K214:K277" si="85">(H214&lt;&gt;H213)*1</f>
        <v>1</v>
      </c>
      <c r="L214" s="236">
        <f ca="1">INDEX(Photobiology!$21:$421,1+$H214-380,10)</f>
        <v>0.9311628</v>
      </c>
      <c r="M214" s="236">
        <f ca="1" t="shared" ref="M214:M277" si="86">$I214*$J$15*IF($J$18,1,$J214)</f>
        <v>11.7675564800164</v>
      </c>
      <c r="N214" s="236">
        <f ca="1">INDEX(Photobiology!$21:$421,1+$H214-380,N$14)</f>
        <v>5.20283436355967e-5</v>
      </c>
      <c r="O214" s="236">
        <f ca="1">INDEX(Photobiology!$21:$421,1+$H214-380,O$14)</f>
        <v>0.821024278827576</v>
      </c>
      <c r="P214" s="236">
        <f ca="1">INDEX(Photobiology!$21:$421,1+$H214-380,P$14)</f>
        <v>0.99927955051434</v>
      </c>
      <c r="Q214" s="236">
        <f ca="1">INDEX(Photobiology!$21:$421,1+$H214-380,Q$14)</f>
        <v>0.24252862244749</v>
      </c>
      <c r="R214" s="236">
        <f ca="1">INDEX(Photobiology!$21:$421,1+$H214-380,R$14)</f>
        <v>0.0467316375874541</v>
      </c>
      <c r="S214" s="236">
        <f ca="1" t="shared" ref="S214:S277" si="87">$I214*$J$15*IF($J$17,1,$J214)</f>
        <v>3.39535951888035e+19</v>
      </c>
      <c r="T214" s="236">
        <f ca="1">INDEX(Photobiology!$21:$421,1+$H214-380,T$14)</f>
        <v>3.99519567184338e-5</v>
      </c>
      <c r="U214" s="236">
        <f ca="1">INDEX(Photobiology!$21:$421,1+$H214-380,U$14)</f>
        <v>0.778084283564268</v>
      </c>
      <c r="V214" s="236">
        <f ca="1">INDEX(Photobiology!$21:$421,1+$H214-380,V$14)</f>
        <v>0.992785526106528</v>
      </c>
      <c r="W214" s="236">
        <f ca="1">INDEX(Photobiology!$21:$421,1+$H214-380,W$14)</f>
        <v>0.21575063882841</v>
      </c>
      <c r="X214" s="236">
        <f ca="1">INDEX(Photobiology!$21:$421,1+$H214-380,X$14)</f>
        <v>0.0398627576460292</v>
      </c>
      <c r="Y214" s="236">
        <f ca="1" t="shared" si="74"/>
        <v>11.7675564800164</v>
      </c>
      <c r="Z214" s="236">
        <f ca="1" t="shared" ref="Z214:Z277" si="88">$Y214*N214</f>
        <v>0.000612246472293586</v>
      </c>
      <c r="AA214" s="236">
        <f ca="1" t="shared" si="75"/>
        <v>9.66144957256823</v>
      </c>
      <c r="AB214" s="236">
        <f ca="1" t="shared" si="76"/>
        <v>11.7590785500029</v>
      </c>
      <c r="AC214" s="236">
        <f ca="1" t="shared" si="77"/>
        <v>2.85396926267141</v>
      </c>
      <c r="AD214" s="236">
        <f ca="1" t="shared" si="78"/>
        <v>0.549917184714024</v>
      </c>
      <c r="AE214" s="236"/>
      <c r="AF214" s="236"/>
      <c r="AG214" s="236"/>
      <c r="AH214" s="236">
        <f t="shared" ref="AH214:AH277" si="89">MIN(780,AH213+$AJ$14)</f>
        <v>573</v>
      </c>
      <c r="AI214" s="236">
        <f>IF($AH214&gt;$AH213,INDEX(Spectra!214:214,1,MATCH($AI$20,Spectra!$20:$20,0)),AI213)</f>
        <v>1</v>
      </c>
      <c r="AJ214" s="236">
        <f>((Physics!$C$9*Physics!$C$10)/(Physics!$C$11*Physics!$C$12*$AH214))^($AJ$17-$AJ$18)</f>
        <v>2.88535646686407e+18</v>
      </c>
      <c r="AK214" s="236">
        <f t="shared" ref="AK214:AK277" si="90">(AH214&lt;&gt;AH213)*1</f>
        <v>1</v>
      </c>
      <c r="AL214" s="236">
        <f ca="1">INDEX(Photobiology!$21:$421,1+$AH214-380,10)</f>
        <v>0.9311628</v>
      </c>
      <c r="AM214" s="236">
        <f ca="1" t="shared" ref="AM214:AM277" si="91">$AI214*$AJ$15*IF($AJ$18,1,$AJ214)</f>
        <v>13.3319879209511</v>
      </c>
      <c r="AN214" s="236">
        <f ca="1">INDEX(Photobiology!$21:$421,1+$AH214-380,AN$14)</f>
        <v>5.20283436355967e-5</v>
      </c>
      <c r="AO214" s="236">
        <f ca="1">INDEX(Photobiology!$21:$421,1+$AH214-380,AO$14)</f>
        <v>0.821024278827576</v>
      </c>
      <c r="AP214" s="236">
        <f ca="1">INDEX(Photobiology!$21:$421,1+$AH214-380,AP$14)</f>
        <v>0.99927955051434</v>
      </c>
      <c r="AQ214" s="236">
        <f ca="1">INDEX(Photobiology!$21:$421,1+$AH214-380,AQ$14)</f>
        <v>0.24252862244749</v>
      </c>
      <c r="AR214" s="236">
        <f ca="1">INDEX(Photobiology!$21:$421,1+$AH214-380,AR$14)</f>
        <v>0.0467316375874541</v>
      </c>
      <c r="AS214" s="236">
        <f ca="1" t="shared" ref="AS214:AS277" si="92">$AI214*$AJ$15*IF($AJ$17,1,$AJ214)</f>
        <v>3.846753756387e+19</v>
      </c>
      <c r="AT214" s="236">
        <f ca="1">INDEX(Photobiology!$21:$421,1+$AH214-380,AT$14)</f>
        <v>3.99519567184338e-5</v>
      </c>
      <c r="AU214" s="236">
        <f ca="1">INDEX(Photobiology!$21:$421,1+$AH214-380,AU$14)</f>
        <v>0.778084283564268</v>
      </c>
      <c r="AV214" s="236">
        <f ca="1">INDEX(Photobiology!$21:$421,1+$AH214-380,AV$14)</f>
        <v>0.992785526106528</v>
      </c>
      <c r="AW214" s="236">
        <f ca="1">INDEX(Photobiology!$21:$421,1+$AH214-380,AW$14)</f>
        <v>0.21575063882841</v>
      </c>
      <c r="AX214" s="236">
        <f ca="1">INDEX(Photobiology!$21:$421,1+$AH214-380,AX$14)</f>
        <v>0.0398627576460292</v>
      </c>
      <c r="AY214" s="236">
        <f ca="1" t="shared" si="79"/>
        <v>13.3319879209511</v>
      </c>
      <c r="AZ214" s="236">
        <f ca="1" t="shared" ref="AZ214:AZ277" si="93">$AY214*AN214</f>
        <v>0.00069364124889687</v>
      </c>
      <c r="BA214" s="236">
        <f ca="1" t="shared" si="80"/>
        <v>10.9458857681369</v>
      </c>
      <c r="BB214" s="236">
        <f ca="1" t="shared" si="81"/>
        <v>13.3223828971107</v>
      </c>
      <c r="BC214" s="236">
        <f ca="1" t="shared" si="82"/>
        <v>3.23338866495486</v>
      </c>
      <c r="BD214" s="236">
        <f ca="1" t="shared" si="83"/>
        <v>0.623025627842204</v>
      </c>
    </row>
    <row r="215" s="234" customFormat="1" ht="0.2" customHeight="1" spans="7:56">
      <c r="G215" s="236"/>
      <c r="H215" s="236">
        <f t="shared" si="84"/>
        <v>574</v>
      </c>
      <c r="I215" s="236">
        <f>IF($H215&gt;$H214,INDEX(Spectra!215:215,1,MATCH($I$20,Spectra!$20:$20,0)),I214)</f>
        <v>11.8287321794608</v>
      </c>
      <c r="J215" s="236">
        <f>((Physics!$C$9*Physics!$C$10)/(Physics!$C$11*Physics!$C$12*$H215))^($J$17-$J$18)</f>
        <v>2.89039199298425e+18</v>
      </c>
      <c r="K215" s="236">
        <f t="shared" si="85"/>
        <v>1</v>
      </c>
      <c r="L215" s="236">
        <f ca="1">INDEX(Photobiology!$21:$421,1+$H215-380,10)</f>
        <v>0.9234576</v>
      </c>
      <c r="M215" s="236">
        <f ca="1" t="shared" si="86"/>
        <v>11.8287321794608</v>
      </c>
      <c r="N215" s="236">
        <f ca="1">INDEX(Photobiology!$21:$421,1+$H215-380,N$14)</f>
        <v>4.77960492540877e-5</v>
      </c>
      <c r="O215" s="236">
        <f ca="1">INDEX(Photobiology!$21:$421,1+$H215-380,O$14)</f>
        <v>0.807969561536201</v>
      </c>
      <c r="P215" s="236">
        <f ca="1">INDEX(Photobiology!$21:$421,1+$H215-380,P$14)</f>
        <v>0.998389488702328</v>
      </c>
      <c r="Q215" s="236">
        <f ca="1">INDEX(Photobiology!$21:$421,1+$H215-380,Q$14)</f>
        <v>0.229805278515553</v>
      </c>
      <c r="R215" s="236">
        <f ca="1">INDEX(Photobiology!$21:$421,1+$H215-380,R$14)</f>
        <v>0.043253076166467</v>
      </c>
      <c r="S215" s="236">
        <f ca="1" t="shared" si="87"/>
        <v>3.41896727786686e+19</v>
      </c>
      <c r="T215" s="236">
        <f ca="1">INDEX(Photobiology!$21:$421,1+$H215-380,T$14)</f>
        <v>3.66380865362345e-5</v>
      </c>
      <c r="U215" s="236">
        <f ca="1">INDEX(Photobiology!$21:$421,1+$H215-380,U$14)</f>
        <v>0.764378341138045</v>
      </c>
      <c r="V215" s="236">
        <f ca="1">INDEX(Photobiology!$21:$421,1+$H215-380,V$14)</f>
        <v>0.990173197589255</v>
      </c>
      <c r="W215" s="236">
        <f ca="1">INDEX(Photobiology!$21:$421,1+$H215-380,W$14)</f>
        <v>0.20407594671664</v>
      </c>
      <c r="X215" s="236">
        <f ca="1">INDEX(Photobiology!$21:$421,1+$H215-380,X$14)</f>
        <v>0.0368312169572601</v>
      </c>
      <c r="Y215" s="236">
        <f ca="1" t="shared" si="74"/>
        <v>11.8287321794608</v>
      </c>
      <c r="Z215" s="236">
        <f ca="1" t="shared" si="88"/>
        <v>0.000565366665862921</v>
      </c>
      <c r="AA215" s="236">
        <f ca="1" t="shared" si="75"/>
        <v>9.55725555256809</v>
      </c>
      <c r="AB215" s="236">
        <f ca="1" t="shared" si="76"/>
        <v>11.8096818726486</v>
      </c>
      <c r="AC215" s="236">
        <f ca="1" t="shared" si="77"/>
        <v>2.71830509298687</v>
      </c>
      <c r="AD215" s="236">
        <f ca="1" t="shared" si="78"/>
        <v>0.511629053910957</v>
      </c>
      <c r="AE215" s="236"/>
      <c r="AF215" s="236"/>
      <c r="AG215" s="236"/>
      <c r="AH215" s="236">
        <f t="shared" si="89"/>
        <v>574</v>
      </c>
      <c r="AI215" s="236">
        <f>IF($AH215&gt;$AH214,INDEX(Spectra!215:215,1,MATCH($AI$20,Spectra!$20:$20,0)),AI214)</f>
        <v>1</v>
      </c>
      <c r="AJ215" s="236">
        <f>((Physics!$C$9*Physics!$C$10)/(Physics!$C$11*Physics!$C$12*$AH215))^($AJ$17-$AJ$18)</f>
        <v>2.89039199298425e+18</v>
      </c>
      <c r="AK215" s="236">
        <f t="shared" si="90"/>
        <v>1</v>
      </c>
      <c r="AL215" s="236">
        <f ca="1">INDEX(Photobiology!$21:$421,1+$AH215-380,10)</f>
        <v>0.9234576</v>
      </c>
      <c r="AM215" s="236">
        <f ca="1" t="shared" si="91"/>
        <v>13.3319879209511</v>
      </c>
      <c r="AN215" s="236">
        <f ca="1">INDEX(Photobiology!$21:$421,1+$AH215-380,AN$14)</f>
        <v>4.77960492540877e-5</v>
      </c>
      <c r="AO215" s="236">
        <f ca="1">INDEX(Photobiology!$21:$421,1+$AH215-380,AO$14)</f>
        <v>0.807969561536201</v>
      </c>
      <c r="AP215" s="236">
        <f ca="1">INDEX(Photobiology!$21:$421,1+$AH215-380,AP$14)</f>
        <v>0.998389488702328</v>
      </c>
      <c r="AQ215" s="236">
        <f ca="1">INDEX(Photobiology!$21:$421,1+$AH215-380,AQ$14)</f>
        <v>0.229805278515553</v>
      </c>
      <c r="AR215" s="236">
        <f ca="1">INDEX(Photobiology!$21:$421,1+$AH215-380,AR$14)</f>
        <v>0.043253076166467</v>
      </c>
      <c r="AS215" s="236">
        <f ca="1" t="shared" si="92"/>
        <v>3.85346711372799e+19</v>
      </c>
      <c r="AT215" s="236">
        <f ca="1">INDEX(Photobiology!$21:$421,1+$AH215-380,AT$14)</f>
        <v>3.66380865362345e-5</v>
      </c>
      <c r="AU215" s="236">
        <f ca="1">INDEX(Photobiology!$21:$421,1+$AH215-380,AU$14)</f>
        <v>0.764378341138045</v>
      </c>
      <c r="AV215" s="236">
        <f ca="1">INDEX(Photobiology!$21:$421,1+$AH215-380,AV$14)</f>
        <v>0.990173197589255</v>
      </c>
      <c r="AW215" s="236">
        <f ca="1">INDEX(Photobiology!$21:$421,1+$AH215-380,AW$14)</f>
        <v>0.20407594671664</v>
      </c>
      <c r="AX215" s="236">
        <f ca="1">INDEX(Photobiology!$21:$421,1+$AH215-380,AX$14)</f>
        <v>0.0368312169572601</v>
      </c>
      <c r="AY215" s="236">
        <f ca="1" t="shared" si="79"/>
        <v>13.3319879209511</v>
      </c>
      <c r="AZ215" s="236">
        <f ca="1" t="shared" si="93"/>
        <v>0.000637216351324683</v>
      </c>
      <c r="BA215" s="236">
        <f ca="1" t="shared" si="80"/>
        <v>10.7718404348968</v>
      </c>
      <c r="BB215" s="236">
        <f ca="1" t="shared" si="81"/>
        <v>13.310516603784</v>
      </c>
      <c r="BC215" s="236">
        <f ca="1" t="shared" si="82"/>
        <v>3.06376119734016</v>
      </c>
      <c r="BD215" s="236">
        <f ca="1" t="shared" si="83"/>
        <v>0.576649488995318</v>
      </c>
    </row>
    <row r="216" s="234" customFormat="1" ht="0.2" customHeight="1" spans="7:56">
      <c r="G216" s="236"/>
      <c r="H216" s="236">
        <f t="shared" si="84"/>
        <v>575</v>
      </c>
      <c r="I216" s="236">
        <f>IF($H216&gt;$H215,INDEX(Spectra!216:216,1,MATCH($I$20,Spectra!$20:$20,0)),I215)</f>
        <v>11.8856165485057</v>
      </c>
      <c r="J216" s="236">
        <f>((Physics!$C$9*Physics!$C$10)/(Physics!$C$11*Physics!$C$12*$H216))^($J$17-$J$18)</f>
        <v>2.89542751910443e+18</v>
      </c>
      <c r="K216" s="236">
        <f t="shared" si="85"/>
        <v>1</v>
      </c>
      <c r="L216" s="236">
        <f ca="1">INDEX(Photobiology!$21:$421,1+$H216-380,10)</f>
        <v>0.9154</v>
      </c>
      <c r="M216" s="236">
        <f ca="1" t="shared" si="86"/>
        <v>11.8856165485057</v>
      </c>
      <c r="N216" s="236">
        <f ca="1">INDEX(Photobiology!$21:$421,1+$H216-380,N$14)</f>
        <v>4.39211800517203e-5</v>
      </c>
      <c r="O216" s="236">
        <f ca="1">INDEX(Photobiology!$21:$421,1+$H216-380,O$14)</f>
        <v>0.794597144459775</v>
      </c>
      <c r="P216" s="236">
        <f ca="1">INDEX(Photobiology!$21:$421,1+$H216-380,P$14)</f>
        <v>0.997135090681821</v>
      </c>
      <c r="Q216" s="236">
        <f ca="1">INDEX(Photobiology!$21:$421,1+$H216-380,Q$14)</f>
        <v>0.217503875675029</v>
      </c>
      <c r="R216" s="236">
        <f ca="1">INDEX(Photobiology!$21:$421,1+$H216-380,R$14)</f>
        <v>0.0400089358268489</v>
      </c>
      <c r="S216" s="236">
        <f ca="1" t="shared" si="87"/>
        <v>3.44139412360664e+19</v>
      </c>
      <c r="T216" s="236">
        <f ca="1">INDEX(Photobiology!$21:$421,1+$H216-380,T$14)</f>
        <v>3.3609250822186e-5</v>
      </c>
      <c r="U216" s="236">
        <f ca="1">INDEX(Photobiology!$21:$421,1+$H216-380,U$14)</f>
        <v>0.750420034881817</v>
      </c>
      <c r="V216" s="236">
        <f ca="1">INDEX(Photobiology!$21:$421,1+$H216-380,V$14)</f>
        <v>0.987209245958446</v>
      </c>
      <c r="W216" s="236">
        <f ca="1">INDEX(Photobiology!$21:$421,1+$H216-380,W$14)</f>
        <v>0.19281591053325</v>
      </c>
      <c r="X216" s="236">
        <f ca="1">INDEX(Photobiology!$21:$421,1+$H216-380,X$14)</f>
        <v>0.0340094897762611</v>
      </c>
      <c r="Y216" s="236">
        <f ca="1" t="shared" si="74"/>
        <v>11.8856165485057</v>
      </c>
      <c r="Z216" s="236">
        <f ca="1" t="shared" si="88"/>
        <v>0.000522030304452625</v>
      </c>
      <c r="AA216" s="236">
        <f ca="1" t="shared" si="75"/>
        <v>9.44427696958648</v>
      </c>
      <c r="AB216" s="236">
        <f ca="1" t="shared" si="76"/>
        <v>11.8515653349036</v>
      </c>
      <c r="AC216" s="236">
        <f ca="1" t="shared" si="77"/>
        <v>2.58516766408725</v>
      </c>
      <c r="AD216" s="236">
        <f ca="1" t="shared" si="78"/>
        <v>0.475530869751698</v>
      </c>
      <c r="AE216" s="236"/>
      <c r="AF216" s="236"/>
      <c r="AG216" s="236"/>
      <c r="AH216" s="236">
        <f t="shared" si="89"/>
        <v>575</v>
      </c>
      <c r="AI216" s="236">
        <f>IF($AH216&gt;$AH215,INDEX(Spectra!216:216,1,MATCH($AI$20,Spectra!$20:$20,0)),AI215)</f>
        <v>1</v>
      </c>
      <c r="AJ216" s="236">
        <f>((Physics!$C$9*Physics!$C$10)/(Physics!$C$11*Physics!$C$12*$AH216))^($AJ$17-$AJ$18)</f>
        <v>2.89542751910443e+18</v>
      </c>
      <c r="AK216" s="236">
        <f t="shared" si="90"/>
        <v>1</v>
      </c>
      <c r="AL216" s="236">
        <f ca="1">INDEX(Photobiology!$21:$421,1+$AH216-380,10)</f>
        <v>0.9154</v>
      </c>
      <c r="AM216" s="236">
        <f ca="1" t="shared" si="91"/>
        <v>13.3319879209511</v>
      </c>
      <c r="AN216" s="236">
        <f ca="1">INDEX(Photobiology!$21:$421,1+$AH216-380,AN$14)</f>
        <v>4.39211800517203e-5</v>
      </c>
      <c r="AO216" s="236">
        <f ca="1">INDEX(Photobiology!$21:$421,1+$AH216-380,AO$14)</f>
        <v>0.794597144459775</v>
      </c>
      <c r="AP216" s="236">
        <f ca="1">INDEX(Photobiology!$21:$421,1+$AH216-380,AP$14)</f>
        <v>0.997135090681821</v>
      </c>
      <c r="AQ216" s="236">
        <f ca="1">INDEX(Photobiology!$21:$421,1+$AH216-380,AQ$14)</f>
        <v>0.217503875675029</v>
      </c>
      <c r="AR216" s="236">
        <f ca="1">INDEX(Photobiology!$21:$421,1+$AH216-380,AR$14)</f>
        <v>0.0400089358268489</v>
      </c>
      <c r="AS216" s="236">
        <f ca="1" t="shared" si="92"/>
        <v>3.86018047106898e+19</v>
      </c>
      <c r="AT216" s="236">
        <f ca="1">INDEX(Photobiology!$21:$421,1+$AH216-380,AT$14)</f>
        <v>3.3609250822186e-5</v>
      </c>
      <c r="AU216" s="236">
        <f ca="1">INDEX(Photobiology!$21:$421,1+$AH216-380,AU$14)</f>
        <v>0.750420034881817</v>
      </c>
      <c r="AV216" s="236">
        <f ca="1">INDEX(Photobiology!$21:$421,1+$AH216-380,AV$14)</f>
        <v>0.987209245958446</v>
      </c>
      <c r="AW216" s="236">
        <f ca="1">INDEX(Photobiology!$21:$421,1+$AH216-380,AW$14)</f>
        <v>0.19281591053325</v>
      </c>
      <c r="AX216" s="236">
        <f ca="1">INDEX(Photobiology!$21:$421,1+$AH216-380,AX$14)</f>
        <v>0.0340094897762611</v>
      </c>
      <c r="AY216" s="236">
        <f ca="1" t="shared" si="79"/>
        <v>13.3319879209511</v>
      </c>
      <c r="AZ216" s="236">
        <f ca="1" t="shared" si="93"/>
        <v>0.000585556641923455</v>
      </c>
      <c r="BA216" s="236">
        <f ca="1" t="shared" si="80"/>
        <v>10.59355953196</v>
      </c>
      <c r="BB216" s="236">
        <f ca="1" t="shared" si="81"/>
        <v>13.2937929845266</v>
      </c>
      <c r="BC216" s="236">
        <f ca="1" t="shared" si="82"/>
        <v>2.89975904325955</v>
      </c>
      <c r="BD216" s="236">
        <f ca="1" t="shared" si="83"/>
        <v>0.533398649173659</v>
      </c>
    </row>
    <row r="217" s="234" customFormat="1" ht="0.2" customHeight="1" spans="7:56">
      <c r="G217" s="236"/>
      <c r="H217" s="236">
        <f t="shared" si="84"/>
        <v>576</v>
      </c>
      <c r="I217" s="236">
        <f>IF($H217&gt;$H216,INDEX(Spectra!217:217,1,MATCH($I$20,Spectra!$20:$20,0)),I216)</f>
        <v>12.0223022684537</v>
      </c>
      <c r="J217" s="236">
        <f>((Physics!$C$9*Physics!$C$10)/(Physics!$C$11*Physics!$C$12*$H217))^($J$17-$J$18)</f>
        <v>2.90046304522461e+18</v>
      </c>
      <c r="K217" s="236">
        <f t="shared" si="85"/>
        <v>1</v>
      </c>
      <c r="L217" s="236">
        <f ca="1">INDEX(Photobiology!$21:$421,1+$H217-380,10)</f>
        <v>0.9070064</v>
      </c>
      <c r="M217" s="236">
        <f ca="1" t="shared" si="86"/>
        <v>12.0223022684537</v>
      </c>
      <c r="N217" s="236">
        <f ca="1">INDEX(Photobiology!$21:$421,1+$H217-380,N$14)</f>
        <v>4.03725331678533e-5</v>
      </c>
      <c r="O217" s="236">
        <f ca="1">INDEX(Photobiology!$21:$421,1+$H217-380,O$14)</f>
        <v>0.780924413339534</v>
      </c>
      <c r="P217" s="236">
        <f ca="1">INDEX(Photobiology!$21:$421,1+$H217-380,P$14)</f>
        <v>0.995515439703898</v>
      </c>
      <c r="Q217" s="236">
        <f ca="1">INDEX(Photobiology!$21:$421,1+$H217-380,Q$14)</f>
        <v>0.205630721813971</v>
      </c>
      <c r="R217" s="236">
        <f ca="1">INDEX(Photobiology!$21:$421,1+$H217-380,R$14)</f>
        <v>0.0369864798709788</v>
      </c>
      <c r="S217" s="236">
        <f ca="1" t="shared" si="87"/>
        <v>3.487024344817e+19</v>
      </c>
      <c r="T217" s="236">
        <f ca="1">INDEX(Photobiology!$21:$421,1+$H217-380,T$14)</f>
        <v>3.08401295032213e-5</v>
      </c>
      <c r="U217" s="236">
        <f ca="1">INDEX(Photobiology!$21:$421,1+$H217-380,U$14)</f>
        <v>0.736227069833605</v>
      </c>
      <c r="V217" s="236">
        <f ca="1">INDEX(Photobiology!$21:$421,1+$H217-380,V$14)</f>
        <v>0.98389459653695</v>
      </c>
      <c r="W217" s="236">
        <f ca="1">INDEX(Photobiology!$21:$421,1+$H217-380,W$14)</f>
        <v>0.181973952809553</v>
      </c>
      <c r="X217" s="236">
        <f ca="1">INDEX(Photobiology!$21:$421,1+$H217-380,X$14)</f>
        <v>0.031385675324838</v>
      </c>
      <c r="Y217" s="236">
        <f ca="1" t="shared" si="74"/>
        <v>12.0223022684537</v>
      </c>
      <c r="Z217" s="236">
        <f ca="1" t="shared" si="88"/>
        <v>0.000485370797087105</v>
      </c>
      <c r="AA217" s="236">
        <f ca="1" t="shared" si="75"/>
        <v>9.38850934598275</v>
      </c>
      <c r="AB217" s="236">
        <f ca="1" t="shared" si="76"/>
        <v>11.9683875290329</v>
      </c>
      <c r="AC217" s="236">
        <f ca="1" t="shared" si="77"/>
        <v>2.47215469332788</v>
      </c>
      <c r="AD217" s="236">
        <f ca="1" t="shared" si="78"/>
        <v>0.444662640854986</v>
      </c>
      <c r="AE217" s="236"/>
      <c r="AF217" s="236"/>
      <c r="AG217" s="236"/>
      <c r="AH217" s="236">
        <f t="shared" si="89"/>
        <v>576</v>
      </c>
      <c r="AI217" s="236">
        <f>IF($AH217&gt;$AH216,INDEX(Spectra!217:217,1,MATCH($AI$20,Spectra!$20:$20,0)),AI216)</f>
        <v>1</v>
      </c>
      <c r="AJ217" s="236">
        <f>((Physics!$C$9*Physics!$C$10)/(Physics!$C$11*Physics!$C$12*$AH217))^($AJ$17-$AJ$18)</f>
        <v>2.90046304522461e+18</v>
      </c>
      <c r="AK217" s="236">
        <f t="shared" si="90"/>
        <v>1</v>
      </c>
      <c r="AL217" s="236">
        <f ca="1">INDEX(Photobiology!$21:$421,1+$AH217-380,10)</f>
        <v>0.9070064</v>
      </c>
      <c r="AM217" s="236">
        <f ca="1" t="shared" si="91"/>
        <v>13.3319879209511</v>
      </c>
      <c r="AN217" s="236">
        <f ca="1">INDEX(Photobiology!$21:$421,1+$AH217-380,AN$14)</f>
        <v>4.03725331678533e-5</v>
      </c>
      <c r="AO217" s="236">
        <f ca="1">INDEX(Photobiology!$21:$421,1+$AH217-380,AO$14)</f>
        <v>0.780924413339534</v>
      </c>
      <c r="AP217" s="236">
        <f ca="1">INDEX(Photobiology!$21:$421,1+$AH217-380,AP$14)</f>
        <v>0.995515439703898</v>
      </c>
      <c r="AQ217" s="236">
        <f ca="1">INDEX(Photobiology!$21:$421,1+$AH217-380,AQ$14)</f>
        <v>0.205630721813971</v>
      </c>
      <c r="AR217" s="236">
        <f ca="1">INDEX(Photobiology!$21:$421,1+$AH217-380,AR$14)</f>
        <v>0.0369864798709788</v>
      </c>
      <c r="AS217" s="236">
        <f ca="1" t="shared" si="92"/>
        <v>3.86689382840997e+19</v>
      </c>
      <c r="AT217" s="236">
        <f ca="1">INDEX(Photobiology!$21:$421,1+$AH217-380,AT$14)</f>
        <v>3.08401295032213e-5</v>
      </c>
      <c r="AU217" s="236">
        <f ca="1">INDEX(Photobiology!$21:$421,1+$AH217-380,AU$14)</f>
        <v>0.736227069833605</v>
      </c>
      <c r="AV217" s="236">
        <f ca="1">INDEX(Photobiology!$21:$421,1+$AH217-380,AV$14)</f>
        <v>0.98389459653695</v>
      </c>
      <c r="AW217" s="236">
        <f ca="1">INDEX(Photobiology!$21:$421,1+$AH217-380,AW$14)</f>
        <v>0.181973952809553</v>
      </c>
      <c r="AX217" s="236">
        <f ca="1">INDEX(Photobiology!$21:$421,1+$AH217-380,AX$14)</f>
        <v>0.031385675324838</v>
      </c>
      <c r="AY217" s="236">
        <f ca="1" t="shared" si="79"/>
        <v>13.3319879209511</v>
      </c>
      <c r="AZ217" s="236">
        <f ca="1" t="shared" si="93"/>
        <v>0.000538246124532019</v>
      </c>
      <c r="BA217" s="236">
        <f ca="1" t="shared" si="80"/>
        <v>10.4112748458185</v>
      </c>
      <c r="BB217" s="236">
        <f ca="1" t="shared" si="81"/>
        <v>13.2721998172527</v>
      </c>
      <c r="BC217" s="236">
        <f ca="1" t="shared" si="82"/>
        <v>2.74146629940033</v>
      </c>
      <c r="BD217" s="236">
        <f ca="1" t="shared" si="83"/>
        <v>0.493103302878392</v>
      </c>
    </row>
    <row r="218" s="234" customFormat="1" ht="0.2" customHeight="1" spans="7:56">
      <c r="G218" s="236"/>
      <c r="H218" s="236">
        <f t="shared" si="84"/>
        <v>577</v>
      </c>
      <c r="I218" s="236">
        <f>IF($H218&gt;$H217,INDEX(Spectra!218:218,1,MATCH($I$20,Spectra!$20:$20,0)),I217)</f>
        <v>12.0491466806104</v>
      </c>
      <c r="J218" s="236">
        <f>((Physics!$C$9*Physics!$C$10)/(Physics!$C$11*Physics!$C$12*$H218))^($J$17-$J$18)</f>
        <v>2.9054985713448e+18</v>
      </c>
      <c r="K218" s="236">
        <f t="shared" si="85"/>
        <v>1</v>
      </c>
      <c r="L218" s="236">
        <f ca="1">INDEX(Photobiology!$21:$421,1+$H218-380,10)</f>
        <v>0.8982772</v>
      </c>
      <c r="M218" s="236">
        <f ca="1" t="shared" si="86"/>
        <v>12.0491466806104</v>
      </c>
      <c r="N218" s="236">
        <f ca="1">INDEX(Photobiology!$21:$421,1+$H218-380,N$14)</f>
        <v>3.71215413010903e-5</v>
      </c>
      <c r="O218" s="236">
        <f ca="1">INDEX(Photobiology!$21:$421,1+$H218-380,O$14)</f>
        <v>0.766969334441988</v>
      </c>
      <c r="P218" s="236">
        <f ca="1">INDEX(Photobiology!$21:$421,1+$H218-380,P$14)</f>
        <v>0.993520882866941</v>
      </c>
      <c r="Q218" s="236">
        <f ca="1">INDEX(Photobiology!$21:$421,1+$H218-380,Q$14)</f>
        <v>0.194190508962181</v>
      </c>
      <c r="R218" s="236">
        <f ca="1">INDEX(Photobiology!$21:$421,1+$H218-380,R$14)</f>
        <v>0.034173621109257</v>
      </c>
      <c r="S218" s="236">
        <f ca="1" t="shared" si="87"/>
        <v>3.50087784664375e+19</v>
      </c>
      <c r="T218" s="236">
        <f ca="1">INDEX(Photobiology!$21:$421,1+$H218-380,T$14)</f>
        <v>2.83075878205888e-5</v>
      </c>
      <c r="U218" s="236">
        <f ca="1">INDEX(Photobiology!$21:$421,1+$H218-380,U$14)</f>
        <v>0.721817574642409</v>
      </c>
      <c r="V218" s="236">
        <f ca="1">INDEX(Photobiology!$21:$421,1+$H218-380,V$14)</f>
        <v>0.980221549022898</v>
      </c>
      <c r="W218" s="236">
        <f ca="1">INDEX(Photobiology!$21:$421,1+$H218-380,W$14)</f>
        <v>0.171552044866767</v>
      </c>
      <c r="X218" s="236">
        <f ca="1">INDEX(Photobiology!$21:$421,1+$H218-380,X$14)</f>
        <v>0.0289485055246943</v>
      </c>
      <c r="Y218" s="236">
        <f ca="1" t="shared" si="74"/>
        <v>12.0491466806104</v>
      </c>
      <c r="Z218" s="236">
        <f ca="1" t="shared" si="88"/>
        <v>0.000447282896147174</v>
      </c>
      <c r="AA218" s="236">
        <f ca="1" t="shared" si="75"/>
        <v>9.24132601022165</v>
      </c>
      <c r="AB218" s="236">
        <f ca="1" t="shared" si="76"/>
        <v>11.9710788479133</v>
      </c>
      <c r="AC218" s="236">
        <f ca="1" t="shared" si="77"/>
        <v>2.33982992646771</v>
      </c>
      <c r="AD218" s="236">
        <f ca="1" t="shared" si="78"/>
        <v>0.411762973353042</v>
      </c>
      <c r="AE218" s="236"/>
      <c r="AF218" s="236"/>
      <c r="AG218" s="236"/>
      <c r="AH218" s="236">
        <f t="shared" si="89"/>
        <v>577</v>
      </c>
      <c r="AI218" s="236">
        <f>IF($AH218&gt;$AH217,INDEX(Spectra!218:218,1,MATCH($AI$20,Spectra!$20:$20,0)),AI217)</f>
        <v>1</v>
      </c>
      <c r="AJ218" s="236">
        <f>((Physics!$C$9*Physics!$C$10)/(Physics!$C$11*Physics!$C$12*$AH218))^($AJ$17-$AJ$18)</f>
        <v>2.9054985713448e+18</v>
      </c>
      <c r="AK218" s="236">
        <f t="shared" si="90"/>
        <v>1</v>
      </c>
      <c r="AL218" s="236">
        <f ca="1">INDEX(Photobiology!$21:$421,1+$AH218-380,10)</f>
        <v>0.8982772</v>
      </c>
      <c r="AM218" s="236">
        <f ca="1" t="shared" si="91"/>
        <v>13.3319879209511</v>
      </c>
      <c r="AN218" s="236">
        <f ca="1">INDEX(Photobiology!$21:$421,1+$AH218-380,AN$14)</f>
        <v>3.71215413010903e-5</v>
      </c>
      <c r="AO218" s="236">
        <f ca="1">INDEX(Photobiology!$21:$421,1+$AH218-380,AO$14)</f>
        <v>0.766969334441988</v>
      </c>
      <c r="AP218" s="236">
        <f ca="1">INDEX(Photobiology!$21:$421,1+$AH218-380,AP$14)</f>
        <v>0.993520882866941</v>
      </c>
      <c r="AQ218" s="236">
        <f ca="1">INDEX(Photobiology!$21:$421,1+$AH218-380,AQ$14)</f>
        <v>0.194190508962181</v>
      </c>
      <c r="AR218" s="236">
        <f ca="1">INDEX(Photobiology!$21:$421,1+$AH218-380,AR$14)</f>
        <v>0.034173621109257</v>
      </c>
      <c r="AS218" s="236">
        <f ca="1" t="shared" si="92"/>
        <v>3.87360718575096e+19</v>
      </c>
      <c r="AT218" s="236">
        <f ca="1">INDEX(Photobiology!$21:$421,1+$AH218-380,AT$14)</f>
        <v>2.83075878205888e-5</v>
      </c>
      <c r="AU218" s="236">
        <f ca="1">INDEX(Photobiology!$21:$421,1+$AH218-380,AU$14)</f>
        <v>0.721817574642409</v>
      </c>
      <c r="AV218" s="236">
        <f ca="1">INDEX(Photobiology!$21:$421,1+$AH218-380,AV$14)</f>
        <v>0.980221549022898</v>
      </c>
      <c r="AW218" s="236">
        <f ca="1">INDEX(Photobiology!$21:$421,1+$AH218-380,AW$14)</f>
        <v>0.171552044866767</v>
      </c>
      <c r="AX218" s="236">
        <f ca="1">INDEX(Photobiology!$21:$421,1+$AH218-380,AX$14)</f>
        <v>0.0289485055246943</v>
      </c>
      <c r="AY218" s="236">
        <f ca="1" t="shared" si="79"/>
        <v>13.3319879209511</v>
      </c>
      <c r="AZ218" s="236">
        <f ca="1" t="shared" si="93"/>
        <v>0.000494903940233225</v>
      </c>
      <c r="BA218" s="236">
        <f ca="1" t="shared" si="80"/>
        <v>10.2252259025205</v>
      </c>
      <c r="BB218" s="236">
        <f ca="1" t="shared" si="81"/>
        <v>13.2456084095948</v>
      </c>
      <c r="BC218" s="236">
        <f ca="1" t="shared" si="82"/>
        <v>2.58894551984715</v>
      </c>
      <c r="BD218" s="236">
        <f ca="1" t="shared" si="83"/>
        <v>0.455602303843775</v>
      </c>
    </row>
    <row r="219" s="234" customFormat="1" ht="0.2" customHeight="1" spans="7:56">
      <c r="G219" s="236"/>
      <c r="H219" s="236">
        <f t="shared" si="84"/>
        <v>578</v>
      </c>
      <c r="I219" s="236">
        <f>IF($H219&gt;$H218,INDEX(Spectra!219:219,1,MATCH($I$20,Spectra!$20:$20,0)),I218)</f>
        <v>12.1253713230888</v>
      </c>
      <c r="J219" s="236">
        <f>((Physics!$C$9*Physics!$C$10)/(Physics!$C$11*Physics!$C$12*$H219))^($J$17-$J$18)</f>
        <v>2.91053409746498e+18</v>
      </c>
      <c r="K219" s="236">
        <f t="shared" si="85"/>
        <v>1</v>
      </c>
      <c r="L219" s="236">
        <f ca="1">INDEX(Photobiology!$21:$421,1+$H219-380,10)</f>
        <v>0.8892048</v>
      </c>
      <c r="M219" s="236">
        <f ca="1" t="shared" si="86"/>
        <v>12.1253713230888</v>
      </c>
      <c r="N219" s="236">
        <f ca="1">INDEX(Photobiology!$21:$421,1+$H219-380,N$14)</f>
        <v>3.41423963779008e-5</v>
      </c>
      <c r="O219" s="236">
        <f ca="1">INDEX(Photobiology!$21:$421,1+$H219-380,O$14)</f>
        <v>0.752746942195989</v>
      </c>
      <c r="P219" s="236">
        <f ca="1">INDEX(Photobiology!$21:$421,1+$H219-380,P$14)</f>
        <v>0.991146838451398</v>
      </c>
      <c r="Q219" s="236">
        <f ca="1">INDEX(Photobiology!$21:$421,1+$H219-380,Q$14)</f>
        <v>0.183185460255049</v>
      </c>
      <c r="R219" s="236">
        <f ca="1">INDEX(Photobiology!$21:$421,1+$H219-380,R$14)</f>
        <v>0.0315584017065569</v>
      </c>
      <c r="S219" s="236">
        <f ca="1" t="shared" si="87"/>
        <v>3.5291306680274e+19</v>
      </c>
      <c r="T219" s="236">
        <f ca="1">INDEX(Photobiology!$21:$421,1+$H219-380,T$14)</f>
        <v>2.59907515679522e-5</v>
      </c>
      <c r="U219" s="236">
        <f ca="1">INDEX(Photobiology!$21:$421,1+$H219-380,U$14)</f>
        <v>0.707206798033898</v>
      </c>
      <c r="V219" s="236">
        <f ca="1">INDEX(Photobiology!$21:$421,1+$H219-380,V$14)</f>
        <v>0.976187451046382</v>
      </c>
      <c r="W219" s="236">
        <f ca="1">INDEX(Photobiology!$21:$421,1+$H219-380,W$14)</f>
        <v>0.16154996708316</v>
      </c>
      <c r="X219" s="236">
        <f ca="1">INDEX(Photobiology!$21:$421,1+$H219-380,X$14)</f>
        <v>0.0266868996640275</v>
      </c>
      <c r="Y219" s="236">
        <f ca="1" t="shared" si="74"/>
        <v>12.1253713230888</v>
      </c>
      <c r="Z219" s="236">
        <f ca="1" t="shared" si="88"/>
        <v>0.000413989233942129</v>
      </c>
      <c r="AA219" s="236">
        <f ca="1" t="shared" si="75"/>
        <v>9.12733618644603</v>
      </c>
      <c r="AB219" s="236">
        <f ca="1" t="shared" si="76"/>
        <v>12.0180234519287</v>
      </c>
      <c r="AC219" s="236">
        <f ca="1" t="shared" si="77"/>
        <v>2.22119172658339</v>
      </c>
      <c r="AD219" s="236">
        <f ca="1" t="shared" si="78"/>
        <v>0.382657339055202</v>
      </c>
      <c r="AE219" s="236"/>
      <c r="AF219" s="236"/>
      <c r="AG219" s="236"/>
      <c r="AH219" s="236">
        <f t="shared" si="89"/>
        <v>578</v>
      </c>
      <c r="AI219" s="236">
        <f>IF($AH219&gt;$AH218,INDEX(Spectra!219:219,1,MATCH($AI$20,Spectra!$20:$20,0)),AI218)</f>
        <v>1</v>
      </c>
      <c r="AJ219" s="236">
        <f>((Physics!$C$9*Physics!$C$10)/(Physics!$C$11*Physics!$C$12*$AH219))^($AJ$17-$AJ$18)</f>
        <v>2.91053409746498e+18</v>
      </c>
      <c r="AK219" s="236">
        <f t="shared" si="90"/>
        <v>1</v>
      </c>
      <c r="AL219" s="236">
        <f ca="1">INDEX(Photobiology!$21:$421,1+$AH219-380,10)</f>
        <v>0.8892048</v>
      </c>
      <c r="AM219" s="236">
        <f ca="1" t="shared" si="91"/>
        <v>13.3319879209511</v>
      </c>
      <c r="AN219" s="236">
        <f ca="1">INDEX(Photobiology!$21:$421,1+$AH219-380,AN$14)</f>
        <v>3.41423963779008e-5</v>
      </c>
      <c r="AO219" s="236">
        <f ca="1">INDEX(Photobiology!$21:$421,1+$AH219-380,AO$14)</f>
        <v>0.752746942195989</v>
      </c>
      <c r="AP219" s="236">
        <f ca="1">INDEX(Photobiology!$21:$421,1+$AH219-380,AP$14)</f>
        <v>0.991146838451398</v>
      </c>
      <c r="AQ219" s="236">
        <f ca="1">INDEX(Photobiology!$21:$421,1+$AH219-380,AQ$14)</f>
        <v>0.183185460255049</v>
      </c>
      <c r="AR219" s="236">
        <f ca="1">INDEX(Photobiology!$21:$421,1+$AH219-380,AR$14)</f>
        <v>0.0315584017065569</v>
      </c>
      <c r="AS219" s="236">
        <f ca="1" t="shared" si="92"/>
        <v>3.88032054309195e+19</v>
      </c>
      <c r="AT219" s="236">
        <f ca="1">INDEX(Photobiology!$21:$421,1+$AH219-380,AT$14)</f>
        <v>2.59907515679522e-5</v>
      </c>
      <c r="AU219" s="236">
        <f ca="1">INDEX(Photobiology!$21:$421,1+$AH219-380,AU$14)</f>
        <v>0.707206798033898</v>
      </c>
      <c r="AV219" s="236">
        <f ca="1">INDEX(Photobiology!$21:$421,1+$AH219-380,AV$14)</f>
        <v>0.976187451046382</v>
      </c>
      <c r="AW219" s="236">
        <f ca="1">INDEX(Photobiology!$21:$421,1+$AH219-380,AW$14)</f>
        <v>0.16154996708316</v>
      </c>
      <c r="AX219" s="236">
        <f ca="1">INDEX(Photobiology!$21:$421,1+$AH219-380,AX$14)</f>
        <v>0.0266868996640275</v>
      </c>
      <c r="AY219" s="236">
        <f ca="1" t="shared" si="79"/>
        <v>13.3319879209511</v>
      </c>
      <c r="AZ219" s="236">
        <f ca="1" t="shared" si="93"/>
        <v>0.000455186016102499</v>
      </c>
      <c r="BA219" s="236">
        <f ca="1" t="shared" si="80"/>
        <v>10.0356131408898</v>
      </c>
      <c r="BB219" s="236">
        <f ca="1" t="shared" si="81"/>
        <v>13.2139576781229</v>
      </c>
      <c r="BC219" s="236">
        <f ca="1" t="shared" si="82"/>
        <v>2.44222634341419</v>
      </c>
      <c r="BD219" s="236">
        <f ca="1" t="shared" si="83"/>
        <v>0.420736230356341</v>
      </c>
    </row>
    <row r="220" s="234" customFormat="1" ht="0.2" customHeight="1" spans="7:56">
      <c r="G220" s="236"/>
      <c r="H220" s="236">
        <f t="shared" si="84"/>
        <v>579</v>
      </c>
      <c r="I220" s="236">
        <f>IF($H220&gt;$H219,INDEX(Spectra!220:220,1,MATCH($I$20,Spectra!$20:$20,0)),I219)</f>
        <v>12.2425234868107</v>
      </c>
      <c r="J220" s="236">
        <f>((Physics!$C$9*Physics!$C$10)/(Physics!$C$11*Physics!$C$12*$H220))^($J$17-$J$18)</f>
        <v>2.91556962358516e+18</v>
      </c>
      <c r="K220" s="236">
        <f t="shared" si="85"/>
        <v>1</v>
      </c>
      <c r="L220" s="236">
        <f ca="1">INDEX(Photobiology!$21:$421,1+$H220-380,10)</f>
        <v>0.8797816</v>
      </c>
      <c r="M220" s="236">
        <f ca="1" t="shared" si="86"/>
        <v>12.2425234868107</v>
      </c>
      <c r="N220" s="236">
        <f ca="1">INDEX(Photobiology!$21:$421,1+$H220-380,N$14)</f>
        <v>3.14115234450241e-5</v>
      </c>
      <c r="O220" s="236">
        <f ca="1">INDEX(Photobiology!$21:$421,1+$H220-380,O$14)</f>
        <v>0.738278124024259</v>
      </c>
      <c r="P220" s="236">
        <f ca="1">INDEX(Photobiology!$21:$421,1+$H220-380,P$14)</f>
        <v>0.988391495705707</v>
      </c>
      <c r="Q220" s="236">
        <f ca="1">INDEX(Photobiology!$21:$421,1+$H220-380,Q$14)</f>
        <v>0.172616775626418</v>
      </c>
      <c r="R220" s="236">
        <f ca="1">INDEX(Photobiology!$21:$421,1+$H220-380,R$14)</f>
        <v>0.0291291626143277</v>
      </c>
      <c r="S220" s="236">
        <f ca="1" t="shared" si="87"/>
        <v>3.56939295941732e+19</v>
      </c>
      <c r="T220" s="236">
        <f ca="1">INDEX(Photobiology!$21:$421,1+$H220-380,T$14)</f>
        <v>2.38705877647852e-5</v>
      </c>
      <c r="U220" s="236">
        <f ca="1">INDEX(Photobiology!$21:$421,1+$H220-380,U$14)</f>
        <v>0.692415372787129</v>
      </c>
      <c r="V220" s="236">
        <f ca="1">INDEX(Photobiology!$21:$421,1+$H220-380,V$14)</f>
        <v>0.971792392993488</v>
      </c>
      <c r="W220" s="236">
        <f ca="1">INDEX(Photobiology!$21:$421,1+$H220-380,W$14)</f>
        <v>0.15196660055848</v>
      </c>
      <c r="X220" s="236">
        <f ca="1">INDEX(Photobiology!$21:$421,1+$H220-380,X$14)</f>
        <v>0.024590105809827</v>
      </c>
      <c r="Y220" s="236">
        <f ca="1" t="shared" si="74"/>
        <v>12.2425234868107</v>
      </c>
      <c r="Z220" s="236">
        <f ca="1" t="shared" si="88"/>
        <v>0.000384556313532213</v>
      </c>
      <c r="AA220" s="236">
        <f ca="1" t="shared" si="75"/>
        <v>9.03838727316553</v>
      </c>
      <c r="AB220" s="236">
        <f ca="1" t="shared" si="76"/>
        <v>12.1004061003411</v>
      </c>
      <c r="AC220" s="236">
        <f ca="1" t="shared" si="77"/>
        <v>2.11326492982396</v>
      </c>
      <c r="AD220" s="236">
        <f ca="1" t="shared" si="78"/>
        <v>0.356614457457035</v>
      </c>
      <c r="AE220" s="236"/>
      <c r="AF220" s="236"/>
      <c r="AG220" s="236"/>
      <c r="AH220" s="236">
        <f t="shared" si="89"/>
        <v>579</v>
      </c>
      <c r="AI220" s="236">
        <f>IF($AH220&gt;$AH219,INDEX(Spectra!220:220,1,MATCH($AI$20,Spectra!$20:$20,0)),AI219)</f>
        <v>1</v>
      </c>
      <c r="AJ220" s="236">
        <f>((Physics!$C$9*Physics!$C$10)/(Physics!$C$11*Physics!$C$12*$AH220))^($AJ$17-$AJ$18)</f>
        <v>2.91556962358516e+18</v>
      </c>
      <c r="AK220" s="236">
        <f t="shared" si="90"/>
        <v>1</v>
      </c>
      <c r="AL220" s="236">
        <f ca="1">INDEX(Photobiology!$21:$421,1+$AH220-380,10)</f>
        <v>0.8797816</v>
      </c>
      <c r="AM220" s="236">
        <f ca="1" t="shared" si="91"/>
        <v>13.3319879209511</v>
      </c>
      <c r="AN220" s="236">
        <f ca="1">INDEX(Photobiology!$21:$421,1+$AH220-380,AN$14)</f>
        <v>3.14115234450241e-5</v>
      </c>
      <c r="AO220" s="236">
        <f ca="1">INDEX(Photobiology!$21:$421,1+$AH220-380,AO$14)</f>
        <v>0.738278124024259</v>
      </c>
      <c r="AP220" s="236">
        <f ca="1">INDEX(Photobiology!$21:$421,1+$AH220-380,AP$14)</f>
        <v>0.988391495705707</v>
      </c>
      <c r="AQ220" s="236">
        <f ca="1">INDEX(Photobiology!$21:$421,1+$AH220-380,AQ$14)</f>
        <v>0.172616775626418</v>
      </c>
      <c r="AR220" s="236">
        <f ca="1">INDEX(Photobiology!$21:$421,1+$AH220-380,AR$14)</f>
        <v>0.0291291626143277</v>
      </c>
      <c r="AS220" s="236">
        <f ca="1" t="shared" si="92"/>
        <v>3.88703390043294e+19</v>
      </c>
      <c r="AT220" s="236">
        <f ca="1">INDEX(Photobiology!$21:$421,1+$AH220-380,AT$14)</f>
        <v>2.38705877647852e-5</v>
      </c>
      <c r="AU220" s="236">
        <f ca="1">INDEX(Photobiology!$21:$421,1+$AH220-380,AU$14)</f>
        <v>0.692415372787129</v>
      </c>
      <c r="AV220" s="236">
        <f ca="1">INDEX(Photobiology!$21:$421,1+$AH220-380,AV$14)</f>
        <v>0.971792392993488</v>
      </c>
      <c r="AW220" s="236">
        <f ca="1">INDEX(Photobiology!$21:$421,1+$AH220-380,AW$14)</f>
        <v>0.15196660055848</v>
      </c>
      <c r="AX220" s="236">
        <f ca="1">INDEX(Photobiology!$21:$421,1+$AH220-380,AX$14)</f>
        <v>0.024590105809827</v>
      </c>
      <c r="AY220" s="236">
        <f ca="1" t="shared" si="79"/>
        <v>13.3319879209511</v>
      </c>
      <c r="AZ220" s="236">
        <f ca="1" t="shared" si="93"/>
        <v>0.000418778051147735</v>
      </c>
      <c r="BA220" s="236">
        <f ca="1" t="shared" si="80"/>
        <v>9.84271503179389</v>
      </c>
      <c r="BB220" s="236">
        <f ca="1" t="shared" si="81"/>
        <v>13.1772234819193</v>
      </c>
      <c r="BC220" s="236">
        <f ca="1" t="shared" si="82"/>
        <v>2.30132476760494</v>
      </c>
      <c r="BD220" s="236">
        <f ca="1" t="shared" si="83"/>
        <v>0.388349644121638</v>
      </c>
    </row>
    <row r="221" s="234" customFormat="1" ht="0.2" customHeight="1" spans="7:56">
      <c r="G221" s="236"/>
      <c r="H221" s="236">
        <f t="shared" si="84"/>
        <v>580</v>
      </c>
      <c r="I221" s="236">
        <f>IF($H221&gt;$H220,INDEX(Spectra!221:221,1,MATCH($I$20,Spectra!$20:$20,0)),I220)</f>
        <v>12.3091368260627</v>
      </c>
      <c r="J221" s="236">
        <f>((Physics!$C$9*Physics!$C$10)/(Physics!$C$11*Physics!$C$12*$H221))^($J$17-$J$18)</f>
        <v>2.92060514970534e+18</v>
      </c>
      <c r="K221" s="236">
        <f t="shared" si="85"/>
        <v>1</v>
      </c>
      <c r="L221" s="236">
        <f ca="1">INDEX(Photobiology!$21:$421,1+$H221-380,10)</f>
        <v>0.87</v>
      </c>
      <c r="M221" s="236">
        <f ca="1" t="shared" si="86"/>
        <v>12.3091368260627</v>
      </c>
      <c r="N221" s="236">
        <f ca="1">INDEX(Photobiology!$21:$421,1+$H221-380,N$14)</f>
        <v>2.89075975590583e-5</v>
      </c>
      <c r="O221" s="236">
        <f ca="1">INDEX(Photobiology!$21:$421,1+$H221-380,O$14)</f>
        <v>0.723580742575068</v>
      </c>
      <c r="P221" s="236">
        <f ca="1">INDEX(Photobiology!$21:$421,1+$H221-380,P$14)</f>
        <v>0.985246725164247</v>
      </c>
      <c r="Q221" s="236">
        <f ca="1">INDEX(Photobiology!$21:$421,1+$H221-380,Q$14)</f>
        <v>0.162484148939984</v>
      </c>
      <c r="R221" s="236">
        <f ca="1">INDEX(Photobiology!$21:$421,1+$H221-380,R$14)</f>
        <v>0.026874723208078</v>
      </c>
      <c r="S221" s="236">
        <f ca="1" t="shared" si="87"/>
        <v>3.59501284026264e+19</v>
      </c>
      <c r="T221" s="236">
        <f ca="1">INDEX(Photobiology!$21:$421,1+$H221-380,T$14)</f>
        <v>2.1929901596527e-5</v>
      </c>
      <c r="U221" s="236">
        <f ca="1">INDEX(Photobiology!$21:$421,1+$H221-380,U$14)</f>
        <v>0.677460957405569</v>
      </c>
      <c r="V221" s="236">
        <f ca="1">INDEX(Photobiology!$21:$421,1+$H221-380,V$14)</f>
        <v>0.967030262741109</v>
      </c>
      <c r="W221" s="236">
        <f ca="1">INDEX(Photobiology!$21:$421,1+$H221-380,W$14)</f>
        <v>0.142799510496351</v>
      </c>
      <c r="X221" s="236">
        <f ca="1">INDEX(Photobiology!$21:$421,1+$H221-380,X$14)</f>
        <v>0.0226478493575583</v>
      </c>
      <c r="Y221" s="236">
        <f ca="1" t="shared" si="74"/>
        <v>12.3091368260627</v>
      </c>
      <c r="Z221" s="236">
        <f ca="1" t="shared" si="88"/>
        <v>0.000355827573667205</v>
      </c>
      <c r="AA221" s="236">
        <f ca="1" t="shared" si="75"/>
        <v>8.90665436506056</v>
      </c>
      <c r="AB221" s="236">
        <f ca="1" t="shared" si="76"/>
        <v>12.1275367474769</v>
      </c>
      <c r="AC221" s="236">
        <f ca="1" t="shared" si="77"/>
        <v>2.00003962136861</v>
      </c>
      <c r="AD221" s="236">
        <f ca="1" t="shared" si="78"/>
        <v>0.330804645130795</v>
      </c>
      <c r="AE221" s="236"/>
      <c r="AF221" s="236"/>
      <c r="AG221" s="236"/>
      <c r="AH221" s="236">
        <f t="shared" si="89"/>
        <v>580</v>
      </c>
      <c r="AI221" s="236">
        <f>IF($AH221&gt;$AH220,INDEX(Spectra!221:221,1,MATCH($AI$20,Spectra!$20:$20,0)),AI220)</f>
        <v>1</v>
      </c>
      <c r="AJ221" s="236">
        <f>((Physics!$C$9*Physics!$C$10)/(Physics!$C$11*Physics!$C$12*$AH221))^($AJ$17-$AJ$18)</f>
        <v>2.92060514970534e+18</v>
      </c>
      <c r="AK221" s="236">
        <f t="shared" si="90"/>
        <v>1</v>
      </c>
      <c r="AL221" s="236">
        <f ca="1">INDEX(Photobiology!$21:$421,1+$AH221-380,10)</f>
        <v>0.87</v>
      </c>
      <c r="AM221" s="236">
        <f ca="1" t="shared" si="91"/>
        <v>13.3319879209511</v>
      </c>
      <c r="AN221" s="236">
        <f ca="1">INDEX(Photobiology!$21:$421,1+$AH221-380,AN$14)</f>
        <v>2.89075975590583e-5</v>
      </c>
      <c r="AO221" s="236">
        <f ca="1">INDEX(Photobiology!$21:$421,1+$AH221-380,AO$14)</f>
        <v>0.723580742575068</v>
      </c>
      <c r="AP221" s="236">
        <f ca="1">INDEX(Photobiology!$21:$421,1+$AH221-380,AP$14)</f>
        <v>0.985246725164247</v>
      </c>
      <c r="AQ221" s="236">
        <f ca="1">INDEX(Photobiology!$21:$421,1+$AH221-380,AQ$14)</f>
        <v>0.162484148939984</v>
      </c>
      <c r="AR221" s="236">
        <f ca="1">INDEX(Photobiology!$21:$421,1+$AH221-380,AR$14)</f>
        <v>0.026874723208078</v>
      </c>
      <c r="AS221" s="236">
        <f ca="1" t="shared" si="92"/>
        <v>3.89374725777393e+19</v>
      </c>
      <c r="AT221" s="236">
        <f ca="1">INDEX(Photobiology!$21:$421,1+$AH221-380,AT$14)</f>
        <v>2.1929901596527e-5</v>
      </c>
      <c r="AU221" s="236">
        <f ca="1">INDEX(Photobiology!$21:$421,1+$AH221-380,AU$14)</f>
        <v>0.677460957405569</v>
      </c>
      <c r="AV221" s="236">
        <f ca="1">INDEX(Photobiology!$21:$421,1+$AH221-380,AV$14)</f>
        <v>0.967030262741109</v>
      </c>
      <c r="AW221" s="236">
        <f ca="1">INDEX(Photobiology!$21:$421,1+$AH221-380,AW$14)</f>
        <v>0.142799510496351</v>
      </c>
      <c r="AX221" s="236">
        <f ca="1">INDEX(Photobiology!$21:$421,1+$AH221-380,AX$14)</f>
        <v>0.0226478493575583</v>
      </c>
      <c r="AY221" s="236">
        <f ca="1" t="shared" si="79"/>
        <v>13.3319879209511</v>
      </c>
      <c r="AZ221" s="236">
        <f ca="1" t="shared" si="93"/>
        <v>0.000385395741481082</v>
      </c>
      <c r="BA221" s="236">
        <f ca="1" t="shared" si="80"/>
        <v>9.64676971984366</v>
      </c>
      <c r="BB221" s="236">
        <f ca="1" t="shared" si="81"/>
        <v>13.1352974390464</v>
      </c>
      <c r="BC221" s="236">
        <f ca="1" t="shared" si="82"/>
        <v>2.16623671101389</v>
      </c>
      <c r="BD221" s="236">
        <f ca="1" t="shared" si="83"/>
        <v>0.358293485189001</v>
      </c>
    </row>
    <row r="222" s="234" customFormat="1" ht="0.2" customHeight="1" spans="7:56">
      <c r="G222" s="236"/>
      <c r="H222" s="236">
        <f t="shared" si="84"/>
        <v>581</v>
      </c>
      <c r="I222" s="236">
        <f>IF($H222&gt;$H221,INDEX(Spectra!222:222,1,MATCH($I$20,Spectra!$20:$20,0)),I221)</f>
        <v>12.3782503170934</v>
      </c>
      <c r="J222" s="236">
        <f>((Physics!$C$9*Physics!$C$10)/(Physics!$C$11*Physics!$C$12*$H222))^($J$17-$J$18)</f>
        <v>2.92564067582552e+18</v>
      </c>
      <c r="K222" s="236">
        <f t="shared" si="85"/>
        <v>1</v>
      </c>
      <c r="L222" s="236">
        <f ca="1">INDEX(Photobiology!$21:$421,1+$H222-380,10)</f>
        <v>0.8598613</v>
      </c>
      <c r="M222" s="236">
        <f ca="1" t="shared" si="86"/>
        <v>12.3782503170934</v>
      </c>
      <c r="N222" s="236">
        <f ca="1">INDEX(Photobiology!$21:$421,1+$H222-380,N$14)</f>
        <v>2.66109880534333e-5</v>
      </c>
      <c r="O222" s="236">
        <f ca="1">INDEX(Photobiology!$21:$421,1+$H222-380,O$14)</f>
        <v>0.708671553057555</v>
      </c>
      <c r="P222" s="236">
        <f ca="1">INDEX(Photobiology!$21:$421,1+$H222-380,P$14)</f>
        <v>0.981709514283078</v>
      </c>
      <c r="Q222" s="236">
        <f ca="1">INDEX(Photobiology!$21:$421,1+$H222-380,Q$14)</f>
        <v>0.15278580262561</v>
      </c>
      <c r="R222" s="236">
        <f ca="1">INDEX(Photobiology!$21:$421,1+$H222-380,R$14)</f>
        <v>0.0247843766231462</v>
      </c>
      <c r="S222" s="236">
        <f ca="1" t="shared" si="87"/>
        <v>3.62143126232386e+19</v>
      </c>
      <c r="T222" s="236">
        <f ca="1">INDEX(Photobiology!$21:$421,1+$H222-380,T$14)</f>
        <v>2.01528997306552e-5</v>
      </c>
      <c r="U222" s="236">
        <f ca="1">INDEX(Photobiology!$21:$421,1+$H222-380,U$14)</f>
        <v>0.662360053751241</v>
      </c>
      <c r="V222" s="236">
        <f ca="1">INDEX(Photobiology!$21:$421,1+$H222-380,V$14)</f>
        <v>0.961900003915591</v>
      </c>
      <c r="W222" s="236">
        <f ca="1">INDEX(Photobiology!$21:$421,1+$H222-380,W$14)</f>
        <v>0.134044987916474</v>
      </c>
      <c r="X222" s="236">
        <f ca="1">INDEX(Photobiology!$21:$421,1+$H222-380,X$14)</f>
        <v>0.0208503249994734</v>
      </c>
      <c r="Y222" s="236">
        <f ca="1" t="shared" si="74"/>
        <v>12.3782503170934</v>
      </c>
      <c r="Z222" s="236">
        <f ca="1" t="shared" si="88"/>
        <v>0.000329397471310579</v>
      </c>
      <c r="AA222" s="236">
        <f ca="1" t="shared" si="75"/>
        <v>8.77211387634975</v>
      </c>
      <c r="AB222" s="236">
        <f ca="1" t="shared" si="76"/>
        <v>12.1518461064681</v>
      </c>
      <c r="AC222" s="236">
        <f ca="1" t="shared" si="77"/>
        <v>1.89122090979783</v>
      </c>
      <c r="AD222" s="236">
        <f ca="1" t="shared" si="78"/>
        <v>0.306787217794422</v>
      </c>
      <c r="AE222" s="236"/>
      <c r="AF222" s="236"/>
      <c r="AG222" s="236"/>
      <c r="AH222" s="236">
        <f t="shared" si="89"/>
        <v>581</v>
      </c>
      <c r="AI222" s="236">
        <f>IF($AH222&gt;$AH221,INDEX(Spectra!222:222,1,MATCH($AI$20,Spectra!$20:$20,0)),AI221)</f>
        <v>1</v>
      </c>
      <c r="AJ222" s="236">
        <f>((Physics!$C$9*Physics!$C$10)/(Physics!$C$11*Physics!$C$12*$AH222))^($AJ$17-$AJ$18)</f>
        <v>2.92564067582552e+18</v>
      </c>
      <c r="AK222" s="236">
        <f t="shared" si="90"/>
        <v>1</v>
      </c>
      <c r="AL222" s="236">
        <f ca="1">INDEX(Photobiology!$21:$421,1+$AH222-380,10)</f>
        <v>0.8598613</v>
      </c>
      <c r="AM222" s="236">
        <f ca="1" t="shared" si="91"/>
        <v>13.3319879209511</v>
      </c>
      <c r="AN222" s="236">
        <f ca="1">INDEX(Photobiology!$21:$421,1+$AH222-380,AN$14)</f>
        <v>2.66109880534333e-5</v>
      </c>
      <c r="AO222" s="236">
        <f ca="1">INDEX(Photobiology!$21:$421,1+$AH222-380,AO$14)</f>
        <v>0.708671553057555</v>
      </c>
      <c r="AP222" s="236">
        <f ca="1">INDEX(Photobiology!$21:$421,1+$AH222-380,AP$14)</f>
        <v>0.981709514283078</v>
      </c>
      <c r="AQ222" s="236">
        <f ca="1">INDEX(Photobiology!$21:$421,1+$AH222-380,AQ$14)</f>
        <v>0.15278580262561</v>
      </c>
      <c r="AR222" s="236">
        <f ca="1">INDEX(Photobiology!$21:$421,1+$AH222-380,AR$14)</f>
        <v>0.0247843766231462</v>
      </c>
      <c r="AS222" s="236">
        <f ca="1" t="shared" si="92"/>
        <v>3.90046061511492e+19</v>
      </c>
      <c r="AT222" s="236">
        <f ca="1">INDEX(Photobiology!$21:$421,1+$AH222-380,AT$14)</f>
        <v>2.01528997306552e-5</v>
      </c>
      <c r="AU222" s="236">
        <f ca="1">INDEX(Photobiology!$21:$421,1+$AH222-380,AU$14)</f>
        <v>0.662360053751241</v>
      </c>
      <c r="AV222" s="236">
        <f ca="1">INDEX(Photobiology!$21:$421,1+$AH222-380,AV$14)</f>
        <v>0.961900003915591</v>
      </c>
      <c r="AW222" s="236">
        <f ca="1">INDEX(Photobiology!$21:$421,1+$AH222-380,AW$14)</f>
        <v>0.134044987916474</v>
      </c>
      <c r="AX222" s="236">
        <f ca="1">INDEX(Photobiology!$21:$421,1+$AH222-380,AX$14)</f>
        <v>0.0208503249994734</v>
      </c>
      <c r="AY222" s="236">
        <f ca="1" t="shared" si="79"/>
        <v>13.3319879209511</v>
      </c>
      <c r="AZ222" s="236">
        <f ca="1" t="shared" si="93"/>
        <v>0.000354777371292948</v>
      </c>
      <c r="BA222" s="236">
        <f ca="1" t="shared" si="80"/>
        <v>9.44800058528501</v>
      </c>
      <c r="BB222" s="236">
        <f ca="1" t="shared" si="81"/>
        <v>13.0881393863048</v>
      </c>
      <c r="BC222" s="236">
        <f ca="1" t="shared" si="82"/>
        <v>2.03693847509746</v>
      </c>
      <c r="BD222" s="236">
        <f ca="1" t="shared" si="83"/>
        <v>0.330425009768089</v>
      </c>
    </row>
    <row r="223" s="234" customFormat="1" ht="0.2" customHeight="1" spans="7:56">
      <c r="G223" s="236"/>
      <c r="H223" s="236">
        <f t="shared" si="84"/>
        <v>582</v>
      </c>
      <c r="I223" s="236">
        <f>IF($H223&gt;$H222,INDEX(Spectra!223:223,1,MATCH($I$20,Spectra!$20:$20,0)),I222)</f>
        <v>12.5046416229075</v>
      </c>
      <c r="J223" s="236">
        <f>((Physics!$C$9*Physics!$C$10)/(Physics!$C$11*Physics!$C$12*$H223))^($J$17-$J$18)</f>
        <v>2.9306762019457e+18</v>
      </c>
      <c r="K223" s="236">
        <f t="shared" si="85"/>
        <v>1</v>
      </c>
      <c r="L223" s="236">
        <f ca="1">INDEX(Photobiology!$21:$421,1+$H223-380,10)</f>
        <v>0.849392</v>
      </c>
      <c r="M223" s="236">
        <f ca="1" t="shared" si="86"/>
        <v>12.5046416229075</v>
      </c>
      <c r="N223" s="236">
        <f ca="1">INDEX(Photobiology!$21:$421,1+$H223-380,N$14)</f>
        <v>2.45039444916467e-5</v>
      </c>
      <c r="O223" s="236">
        <f ca="1">INDEX(Photobiology!$21:$421,1+$H223-380,O$14)</f>
        <v>0.693572715393512</v>
      </c>
      <c r="P223" s="236">
        <f ca="1">INDEX(Photobiology!$21:$421,1+$H223-380,P$14)</f>
        <v>0.977777411447962</v>
      </c>
      <c r="Q223" s="236">
        <f ca="1">INDEX(Photobiology!$21:$421,1+$H223-380,Q$14)</f>
        <v>0.143518537459589</v>
      </c>
      <c r="R223" s="236">
        <f ca="1">INDEX(Photobiology!$21:$421,1+$H223-380,R$14)</f>
        <v>0.0228476217360289</v>
      </c>
      <c r="S223" s="236">
        <f ca="1" t="shared" si="87"/>
        <v>3.66470556181147e+19</v>
      </c>
      <c r="T223" s="236">
        <f ca="1">INDEX(Photobiology!$21:$421,1+$H223-380,T$14)</f>
        <v>1.85253188596642e-5</v>
      </c>
      <c r="U223" s="236">
        <f ca="1">INDEX(Photobiology!$21:$421,1+$H223-380,U$14)</f>
        <v>0.647134093107827</v>
      </c>
      <c r="V223" s="236">
        <f ca="1">INDEX(Photobiology!$21:$421,1+$H223-380,V$14)</f>
        <v>0.956401116070167</v>
      </c>
      <c r="W223" s="236">
        <f ca="1">INDEX(Photobiology!$21:$421,1+$H223-380,W$14)</f>
        <v>0.125698104200369</v>
      </c>
      <c r="X223" s="236">
        <f ca="1">INDEX(Photobiology!$21:$421,1+$H223-380,X$14)</f>
        <v>0.0191879676044966</v>
      </c>
      <c r="Y223" s="236">
        <f ca="1" t="shared" si="74"/>
        <v>12.5046416229075</v>
      </c>
      <c r="Z223" s="236">
        <f ca="1" t="shared" si="88"/>
        <v>0.00030641304421566</v>
      </c>
      <c r="AA223" s="236">
        <f ca="1" t="shared" si="75"/>
        <v>8.67287824542269</v>
      </c>
      <c r="AB223" s="236">
        <f ca="1" t="shared" si="76"/>
        <v>12.2267561171309</v>
      </c>
      <c r="AC223" s="236">
        <f ca="1" t="shared" si="77"/>
        <v>1.79464787717599</v>
      </c>
      <c r="AD223" s="236">
        <f ca="1" t="shared" si="78"/>
        <v>0.285701321744793</v>
      </c>
      <c r="AE223" s="236"/>
      <c r="AF223" s="236"/>
      <c r="AG223" s="236"/>
      <c r="AH223" s="236">
        <f t="shared" si="89"/>
        <v>582</v>
      </c>
      <c r="AI223" s="236">
        <f>IF($AH223&gt;$AH222,INDEX(Spectra!223:223,1,MATCH($AI$20,Spectra!$20:$20,0)),AI222)</f>
        <v>1</v>
      </c>
      <c r="AJ223" s="236">
        <f>((Physics!$C$9*Physics!$C$10)/(Physics!$C$11*Physics!$C$12*$AH223))^($AJ$17-$AJ$18)</f>
        <v>2.9306762019457e+18</v>
      </c>
      <c r="AK223" s="236">
        <f t="shared" si="90"/>
        <v>1</v>
      </c>
      <c r="AL223" s="236">
        <f ca="1">INDEX(Photobiology!$21:$421,1+$AH223-380,10)</f>
        <v>0.849392</v>
      </c>
      <c r="AM223" s="236">
        <f ca="1" t="shared" si="91"/>
        <v>13.3319879209511</v>
      </c>
      <c r="AN223" s="236">
        <f ca="1">INDEX(Photobiology!$21:$421,1+$AH223-380,AN$14)</f>
        <v>2.45039444916467e-5</v>
      </c>
      <c r="AO223" s="236">
        <f ca="1">INDEX(Photobiology!$21:$421,1+$AH223-380,AO$14)</f>
        <v>0.693572715393512</v>
      </c>
      <c r="AP223" s="236">
        <f ca="1">INDEX(Photobiology!$21:$421,1+$AH223-380,AP$14)</f>
        <v>0.977777411447962</v>
      </c>
      <c r="AQ223" s="236">
        <f ca="1">INDEX(Photobiology!$21:$421,1+$AH223-380,AQ$14)</f>
        <v>0.143518537459589</v>
      </c>
      <c r="AR223" s="236">
        <f ca="1">INDEX(Photobiology!$21:$421,1+$AH223-380,AR$14)</f>
        <v>0.0228476217360289</v>
      </c>
      <c r="AS223" s="236">
        <f ca="1" t="shared" si="92"/>
        <v>3.90717397245591e+19</v>
      </c>
      <c r="AT223" s="236">
        <f ca="1">INDEX(Photobiology!$21:$421,1+$AH223-380,AT$14)</f>
        <v>1.85253188596642e-5</v>
      </c>
      <c r="AU223" s="236">
        <f ca="1">INDEX(Photobiology!$21:$421,1+$AH223-380,AU$14)</f>
        <v>0.647134093107827</v>
      </c>
      <c r="AV223" s="236">
        <f ca="1">INDEX(Photobiology!$21:$421,1+$AH223-380,AV$14)</f>
        <v>0.956401116070167</v>
      </c>
      <c r="AW223" s="236">
        <f ca="1">INDEX(Photobiology!$21:$421,1+$AH223-380,AW$14)</f>
        <v>0.125698104200369</v>
      </c>
      <c r="AX223" s="236">
        <f ca="1">INDEX(Photobiology!$21:$421,1+$AH223-380,AX$14)</f>
        <v>0.0191879676044966</v>
      </c>
      <c r="AY223" s="236">
        <f ca="1" t="shared" si="79"/>
        <v>13.3319879209511</v>
      </c>
      <c r="AZ223" s="236">
        <f ca="1" t="shared" si="93"/>
        <v>0.000326686291978291</v>
      </c>
      <c r="BA223" s="236">
        <f ca="1" t="shared" si="80"/>
        <v>9.24670306392759</v>
      </c>
      <c r="BB223" s="236">
        <f ca="1" t="shared" si="81"/>
        <v>13.0357166388031</v>
      </c>
      <c r="BC223" s="236">
        <f ca="1" t="shared" si="82"/>
        <v>1.91338740784381</v>
      </c>
      <c r="BD223" s="236">
        <f ca="1" t="shared" si="83"/>
        <v>0.304604217007198</v>
      </c>
    </row>
    <row r="224" s="234" customFormat="1" ht="0.2" customHeight="1" spans="7:56">
      <c r="G224" s="236"/>
      <c r="H224" s="236">
        <f t="shared" si="84"/>
        <v>583</v>
      </c>
      <c r="I224" s="236">
        <f>IF($H224&gt;$H223,INDEX(Spectra!224:224,1,MATCH($I$20,Spectra!$20:$20,0)),I223)</f>
        <v>12.5977376708679</v>
      </c>
      <c r="J224" s="236">
        <f>((Physics!$C$9*Physics!$C$10)/(Physics!$C$11*Physics!$C$12*$H224))^($J$17-$J$18)</f>
        <v>2.93571172806589e+18</v>
      </c>
      <c r="K224" s="236">
        <f t="shared" si="85"/>
        <v>1</v>
      </c>
      <c r="L224" s="236">
        <f ca="1">INDEX(Photobiology!$21:$421,1+$H224-380,10)</f>
        <v>0.838622</v>
      </c>
      <c r="M224" s="236">
        <f ca="1" t="shared" si="86"/>
        <v>12.5977376708679</v>
      </c>
      <c r="N224" s="236">
        <f ca="1">INDEX(Photobiology!$21:$421,1+$H224-380,N$14)</f>
        <v>2.25702307930023e-5</v>
      </c>
      <c r="O224" s="236">
        <f ca="1">INDEX(Photobiology!$21:$421,1+$H224-380,O$14)</f>
        <v>0.678303409411306</v>
      </c>
      <c r="P224" s="236">
        <f ca="1">INDEX(Photobiology!$21:$421,1+$H224-380,P$14)</f>
        <v>0.973446302834482</v>
      </c>
      <c r="Q224" s="236">
        <f ca="1">INDEX(Photobiology!$21:$421,1+$H224-380,Q$14)</f>
        <v>0.134677175616115</v>
      </c>
      <c r="R224" s="236">
        <f ca="1">INDEX(Photobiology!$21:$421,1+$H224-380,R$14)</f>
        <v>0.0210546487219334</v>
      </c>
      <c r="S224" s="236">
        <f ca="1" t="shared" si="87"/>
        <v>3.69833262274644e+19</v>
      </c>
      <c r="T224" s="236">
        <f ca="1">INDEX(Photobiology!$21:$421,1+$H224-380,T$14)</f>
        <v>1.70341364475489e-5</v>
      </c>
      <c r="U224" s="236">
        <f ca="1">INDEX(Photobiology!$21:$421,1+$H224-380,U$14)</f>
        <v>0.631801583927727</v>
      </c>
      <c r="V224" s="236">
        <f ca="1">INDEX(Photobiology!$21:$421,1+$H224-380,V$14)</f>
        <v>0.950531479109739</v>
      </c>
      <c r="W224" s="236">
        <f ca="1">INDEX(Photobiology!$21:$421,1+$H224-380,W$14)</f>
        <v>0.117752234594835</v>
      </c>
      <c r="X224" s="236">
        <f ca="1">INDEX(Photobiology!$21:$421,1+$H224-380,X$14)</f>
        <v>0.0176518572415347</v>
      </c>
      <c r="Y224" s="236">
        <f ca="1" t="shared" si="74"/>
        <v>12.5977376708679</v>
      </c>
      <c r="Z224" s="236">
        <f ca="1" t="shared" si="88"/>
        <v>0.000284333846701188</v>
      </c>
      <c r="AA224" s="236">
        <f ca="1" t="shared" si="75"/>
        <v>8.54508841301894</v>
      </c>
      <c r="AB224" s="236">
        <f ca="1" t="shared" si="76"/>
        <v>12.263221159785</v>
      </c>
      <c r="AC224" s="236">
        <f ca="1" t="shared" si="77"/>
        <v>1.69662772866522</v>
      </c>
      <c r="AD224" s="236">
        <f ca="1" t="shared" si="78"/>
        <v>0.265240941351191</v>
      </c>
      <c r="AE224" s="236"/>
      <c r="AF224" s="236"/>
      <c r="AG224" s="236"/>
      <c r="AH224" s="236">
        <f t="shared" si="89"/>
        <v>583</v>
      </c>
      <c r="AI224" s="236">
        <f>IF($AH224&gt;$AH223,INDEX(Spectra!224:224,1,MATCH($AI$20,Spectra!$20:$20,0)),AI223)</f>
        <v>1</v>
      </c>
      <c r="AJ224" s="236">
        <f>((Physics!$C$9*Physics!$C$10)/(Physics!$C$11*Physics!$C$12*$AH224))^($AJ$17-$AJ$18)</f>
        <v>2.93571172806589e+18</v>
      </c>
      <c r="AK224" s="236">
        <f t="shared" si="90"/>
        <v>1</v>
      </c>
      <c r="AL224" s="236">
        <f ca="1">INDEX(Photobiology!$21:$421,1+$AH224-380,10)</f>
        <v>0.838622</v>
      </c>
      <c r="AM224" s="236">
        <f ca="1" t="shared" si="91"/>
        <v>13.3319879209511</v>
      </c>
      <c r="AN224" s="236">
        <f ca="1">INDEX(Photobiology!$21:$421,1+$AH224-380,AN$14)</f>
        <v>2.25702307930023e-5</v>
      </c>
      <c r="AO224" s="236">
        <f ca="1">INDEX(Photobiology!$21:$421,1+$AH224-380,AO$14)</f>
        <v>0.678303409411306</v>
      </c>
      <c r="AP224" s="236">
        <f ca="1">INDEX(Photobiology!$21:$421,1+$AH224-380,AP$14)</f>
        <v>0.973446302834482</v>
      </c>
      <c r="AQ224" s="236">
        <f ca="1">INDEX(Photobiology!$21:$421,1+$AH224-380,AQ$14)</f>
        <v>0.134677175616115</v>
      </c>
      <c r="AR224" s="236">
        <f ca="1">INDEX(Photobiology!$21:$421,1+$AH224-380,AR$14)</f>
        <v>0.0210546487219334</v>
      </c>
      <c r="AS224" s="236">
        <f ca="1" t="shared" si="92"/>
        <v>3.9138873297969e+19</v>
      </c>
      <c r="AT224" s="236">
        <f ca="1">INDEX(Photobiology!$21:$421,1+$AH224-380,AT$14)</f>
        <v>1.70341364475489e-5</v>
      </c>
      <c r="AU224" s="236">
        <f ca="1">INDEX(Photobiology!$21:$421,1+$AH224-380,AU$14)</f>
        <v>0.631801583927727</v>
      </c>
      <c r="AV224" s="236">
        <f ca="1">INDEX(Photobiology!$21:$421,1+$AH224-380,AV$14)</f>
        <v>0.950531479109739</v>
      </c>
      <c r="AW224" s="236">
        <f ca="1">INDEX(Photobiology!$21:$421,1+$AH224-380,AW$14)</f>
        <v>0.117752234594835</v>
      </c>
      <c r="AX224" s="236">
        <f ca="1">INDEX(Photobiology!$21:$421,1+$AH224-380,AX$14)</f>
        <v>0.0176518572415347</v>
      </c>
      <c r="AY224" s="236">
        <f ca="1" t="shared" si="79"/>
        <v>13.3319879209511</v>
      </c>
      <c r="AZ224" s="236">
        <f ca="1" t="shared" si="93"/>
        <v>0.000300906044305386</v>
      </c>
      <c r="BA224" s="236">
        <f ca="1" t="shared" si="80"/>
        <v>9.04313286101151</v>
      </c>
      <c r="BB224" s="236">
        <f ca="1" t="shared" si="81"/>
        <v>12.9779743510839</v>
      </c>
      <c r="BC224" s="236">
        <f ca="1" t="shared" si="82"/>
        <v>1.79551447854186</v>
      </c>
      <c r="BD224" s="236">
        <f ca="1" t="shared" si="83"/>
        <v>0.280700322440685</v>
      </c>
    </row>
    <row r="225" s="234" customFormat="1" ht="0.2" customHeight="1" spans="7:56">
      <c r="G225" s="236"/>
      <c r="H225" s="236">
        <f t="shared" si="84"/>
        <v>584</v>
      </c>
      <c r="I225" s="236">
        <f>IF($H225&gt;$H224,INDEX(Spectra!225:225,1,MATCH($I$20,Spectra!$20:$20,0)),I224)</f>
        <v>12.7223322445611</v>
      </c>
      <c r="J225" s="236">
        <f>((Physics!$C$9*Physics!$C$10)/(Physics!$C$11*Physics!$C$12*$H225))^($J$17-$J$18)</f>
        <v>2.94074725418607e+18</v>
      </c>
      <c r="K225" s="236">
        <f t="shared" si="85"/>
        <v>1</v>
      </c>
      <c r="L225" s="236">
        <f ca="1">INDEX(Photobiology!$21:$421,1+$H225-380,10)</f>
        <v>0.8275813</v>
      </c>
      <c r="M225" s="236">
        <f ca="1" t="shared" si="86"/>
        <v>12.7223322445611</v>
      </c>
      <c r="N225" s="236">
        <f ca="1">INDEX(Photobiology!$21:$421,1+$H225-380,N$14)</f>
        <v>2.07951472527807e-5</v>
      </c>
      <c r="O225" s="236">
        <f ca="1">INDEX(Photobiology!$21:$421,1+$H225-380,O$14)</f>
        <v>0.662883180965082</v>
      </c>
      <c r="P225" s="236">
        <f ca="1">INDEX(Photobiology!$21:$421,1+$H225-380,P$14)</f>
        <v>0.968714945147307</v>
      </c>
      <c r="Q225" s="236">
        <f ca="1">INDEX(Photobiology!$21:$421,1+$H225-380,Q$14)</f>
        <v>0.126256283145853</v>
      </c>
      <c r="R225" s="236">
        <f ca="1">INDEX(Photobiology!$21:$421,1+$H225-380,R$14)</f>
        <v>0.0193959028428913</v>
      </c>
      <c r="S225" s="236">
        <f ca="1" t="shared" si="87"/>
        <v>3.7413163615036e+19</v>
      </c>
      <c r="T225" s="236">
        <f ca="1">INDEX(Photobiology!$21:$421,1+$H225-380,T$14)</f>
        <v>1.56675766973005e-5</v>
      </c>
      <c r="U225" s="236">
        <f ca="1">INDEX(Photobiology!$21:$421,1+$H225-380,U$14)</f>
        <v>0.61638124824181</v>
      </c>
      <c r="V225" s="236">
        <f ca="1">INDEX(Photobiology!$21:$421,1+$H225-380,V$14)</f>
        <v>0.944291785617959</v>
      </c>
      <c r="W225" s="236">
        <f ca="1">INDEX(Photobiology!$21:$421,1+$H225-380,W$14)</f>
        <v>0.110200576168771</v>
      </c>
      <c r="X225" s="236">
        <f ca="1">INDEX(Photobiology!$21:$421,1+$H225-380,X$14)</f>
        <v>0.0162333485691421</v>
      </c>
      <c r="Y225" s="236">
        <f ca="1" t="shared" si="74"/>
        <v>12.7223322445611</v>
      </c>
      <c r="Z225" s="236">
        <f ca="1" t="shared" si="88"/>
        <v>0.000264562772424448</v>
      </c>
      <c r="AA225" s="236">
        <f ca="1" t="shared" si="75"/>
        <v>8.43342006756929</v>
      </c>
      <c r="AB225" s="236">
        <f ca="1" t="shared" si="76"/>
        <v>12.3243133824358</v>
      </c>
      <c r="AC225" s="236">
        <f ca="1" t="shared" si="77"/>
        <v>1.60627438214492</v>
      </c>
      <c r="AD225" s="236">
        <f ca="1" t="shared" si="78"/>
        <v>0.24676112015049</v>
      </c>
      <c r="AE225" s="236"/>
      <c r="AF225" s="236"/>
      <c r="AG225" s="236"/>
      <c r="AH225" s="236">
        <f t="shared" si="89"/>
        <v>584</v>
      </c>
      <c r="AI225" s="236">
        <f>IF($AH225&gt;$AH224,INDEX(Spectra!225:225,1,MATCH($AI$20,Spectra!$20:$20,0)),AI224)</f>
        <v>1</v>
      </c>
      <c r="AJ225" s="236">
        <f>((Physics!$C$9*Physics!$C$10)/(Physics!$C$11*Physics!$C$12*$AH225))^($AJ$17-$AJ$18)</f>
        <v>2.94074725418607e+18</v>
      </c>
      <c r="AK225" s="236">
        <f t="shared" si="90"/>
        <v>1</v>
      </c>
      <c r="AL225" s="236">
        <f ca="1">INDEX(Photobiology!$21:$421,1+$AH225-380,10)</f>
        <v>0.8275813</v>
      </c>
      <c r="AM225" s="236">
        <f ca="1" t="shared" si="91"/>
        <v>13.3319879209511</v>
      </c>
      <c r="AN225" s="236">
        <f ca="1">INDEX(Photobiology!$21:$421,1+$AH225-380,AN$14)</f>
        <v>2.07951472527807e-5</v>
      </c>
      <c r="AO225" s="236">
        <f ca="1">INDEX(Photobiology!$21:$421,1+$AH225-380,AO$14)</f>
        <v>0.662883180965082</v>
      </c>
      <c r="AP225" s="236">
        <f ca="1">INDEX(Photobiology!$21:$421,1+$AH225-380,AP$14)</f>
        <v>0.968714945147307</v>
      </c>
      <c r="AQ225" s="236">
        <f ca="1">INDEX(Photobiology!$21:$421,1+$AH225-380,AQ$14)</f>
        <v>0.126256283145853</v>
      </c>
      <c r="AR225" s="236">
        <f ca="1">INDEX(Photobiology!$21:$421,1+$AH225-380,AR$14)</f>
        <v>0.0193959028428913</v>
      </c>
      <c r="AS225" s="236">
        <f ca="1" t="shared" si="92"/>
        <v>3.92060068713789e+19</v>
      </c>
      <c r="AT225" s="236">
        <f ca="1">INDEX(Photobiology!$21:$421,1+$AH225-380,AT$14)</f>
        <v>1.56675766973005e-5</v>
      </c>
      <c r="AU225" s="236">
        <f ca="1">INDEX(Photobiology!$21:$421,1+$AH225-380,AU$14)</f>
        <v>0.61638124824181</v>
      </c>
      <c r="AV225" s="236">
        <f ca="1">INDEX(Photobiology!$21:$421,1+$AH225-380,AV$14)</f>
        <v>0.944291785617959</v>
      </c>
      <c r="AW225" s="236">
        <f ca="1">INDEX(Photobiology!$21:$421,1+$AH225-380,AW$14)</f>
        <v>0.110200576168771</v>
      </c>
      <c r="AX225" s="236">
        <f ca="1">INDEX(Photobiology!$21:$421,1+$AH225-380,AX$14)</f>
        <v>0.0162333485691421</v>
      </c>
      <c r="AY225" s="236">
        <f ca="1" t="shared" si="79"/>
        <v>13.3319879209511</v>
      </c>
      <c r="AZ225" s="236">
        <f ca="1" t="shared" si="93"/>
        <v>0.000277240651988473</v>
      </c>
      <c r="BA225" s="236">
        <f ca="1" t="shared" si="80"/>
        <v>8.83755056162814</v>
      </c>
      <c r="BB225" s="236">
        <f ca="1" t="shared" si="81"/>
        <v>12.9148959475487</v>
      </c>
      <c r="BC225" s="236">
        <f ca="1" t="shared" si="82"/>
        <v>1.6832472418447</v>
      </c>
      <c r="BD225" s="236">
        <f ca="1" t="shared" si="83"/>
        <v>0.258585942417369</v>
      </c>
    </row>
    <row r="226" s="234" customFormat="1" ht="0.2" customHeight="1" spans="7:56">
      <c r="G226" s="236"/>
      <c r="H226" s="236">
        <f t="shared" si="84"/>
        <v>585</v>
      </c>
      <c r="I226" s="236">
        <f>IF($H226&gt;$H225,INDEX(Spectra!226:226,1,MATCH($I$20,Spectra!$20:$20,0)),I225)</f>
        <v>12.8278673423353</v>
      </c>
      <c r="J226" s="236">
        <f>((Physics!$C$9*Physics!$C$10)/(Physics!$C$11*Physics!$C$12*$H226))^($J$17-$J$18)</f>
        <v>2.94578278030625e+18</v>
      </c>
      <c r="K226" s="236">
        <f t="shared" si="85"/>
        <v>1</v>
      </c>
      <c r="L226" s="236">
        <f ca="1">INDEX(Photobiology!$21:$421,1+$H226-380,10)</f>
        <v>0.8163</v>
      </c>
      <c r="M226" s="236">
        <f ca="1" t="shared" si="86"/>
        <v>12.8278673423353</v>
      </c>
      <c r="N226" s="236">
        <f ca="1">INDEX(Photobiology!$21:$421,1+$H226-380,N$14)</f>
        <v>1.91650960431154e-5</v>
      </c>
      <c r="O226" s="236">
        <f ca="1">INDEX(Photobiology!$21:$421,1+$H226-380,O$14)</f>
        <v>0.647331886240647</v>
      </c>
      <c r="P226" s="236">
        <f ca="1">INDEX(Photobiology!$21:$421,1+$H226-380,P$14)</f>
        <v>0.963580494257606</v>
      </c>
      <c r="Q226" s="236">
        <f ca="1">INDEX(Photobiology!$21:$421,1+$H226-380,Q$14)</f>
        <v>0.118247781093904</v>
      </c>
      <c r="R226" s="236">
        <f ca="1">INDEX(Photobiology!$21:$421,1+$H226-380,R$14)</f>
        <v>0.0178624489249707</v>
      </c>
      <c r="S226" s="236">
        <f ca="1" t="shared" si="87"/>
        <v>3.77881107251042e+19</v>
      </c>
      <c r="T226" s="236">
        <f ca="1">INDEX(Photobiology!$21:$421,1+$H226-380,T$14)</f>
        <v>1.44147730922577e-5</v>
      </c>
      <c r="U226" s="236">
        <f ca="1">INDEX(Photobiology!$21:$421,1+$H226-380,U$14)</f>
        <v>0.600891968135372</v>
      </c>
      <c r="V226" s="236">
        <f ca="1">INDEX(Photobiology!$21:$421,1+$H226-380,V$14)</f>
        <v>0.937681165636919</v>
      </c>
      <c r="W226" s="236">
        <f ca="1">INDEX(Photobiology!$21:$421,1+$H226-380,W$14)</f>
        <v>0.103034067806667</v>
      </c>
      <c r="X226" s="236">
        <f ca="1">INDEX(Photobiology!$21:$421,1+$H226-380,X$14)</f>
        <v>0.0149243730153712</v>
      </c>
      <c r="Y226" s="236">
        <f ca="1" t="shared" si="74"/>
        <v>12.8278673423353</v>
      </c>
      <c r="Z226" s="236">
        <f ca="1" t="shared" si="88"/>
        <v>0.000245847309644199</v>
      </c>
      <c r="AA226" s="236">
        <f ca="1" t="shared" si="75"/>
        <v>8.3038875631587</v>
      </c>
      <c r="AB226" s="236">
        <f ca="1" t="shared" si="76"/>
        <v>12.3606827539985</v>
      </c>
      <c r="AC226" s="236">
        <f ca="1" t="shared" si="77"/>
        <v>1.5168668493981</v>
      </c>
      <c r="AD226" s="236">
        <f ca="1" t="shared" si="78"/>
        <v>0.229137125218764</v>
      </c>
      <c r="AE226" s="236"/>
      <c r="AF226" s="236"/>
      <c r="AG226" s="236"/>
      <c r="AH226" s="236">
        <f t="shared" si="89"/>
        <v>585</v>
      </c>
      <c r="AI226" s="236">
        <f>IF($AH226&gt;$AH225,INDEX(Spectra!226:226,1,MATCH($AI$20,Spectra!$20:$20,0)),AI225)</f>
        <v>1</v>
      </c>
      <c r="AJ226" s="236">
        <f>((Physics!$C$9*Physics!$C$10)/(Physics!$C$11*Physics!$C$12*$AH226))^($AJ$17-$AJ$18)</f>
        <v>2.94578278030625e+18</v>
      </c>
      <c r="AK226" s="236">
        <f t="shared" si="90"/>
        <v>1</v>
      </c>
      <c r="AL226" s="236">
        <f ca="1">INDEX(Photobiology!$21:$421,1+$AH226-380,10)</f>
        <v>0.8163</v>
      </c>
      <c r="AM226" s="236">
        <f ca="1" t="shared" si="91"/>
        <v>13.3319879209511</v>
      </c>
      <c r="AN226" s="236">
        <f ca="1">INDEX(Photobiology!$21:$421,1+$AH226-380,AN$14)</f>
        <v>1.91650960431154e-5</v>
      </c>
      <c r="AO226" s="236">
        <f ca="1">INDEX(Photobiology!$21:$421,1+$AH226-380,AO$14)</f>
        <v>0.647331886240647</v>
      </c>
      <c r="AP226" s="236">
        <f ca="1">INDEX(Photobiology!$21:$421,1+$AH226-380,AP$14)</f>
        <v>0.963580494257606</v>
      </c>
      <c r="AQ226" s="236">
        <f ca="1">INDEX(Photobiology!$21:$421,1+$AH226-380,AQ$14)</f>
        <v>0.118247781093904</v>
      </c>
      <c r="AR226" s="236">
        <f ca="1">INDEX(Photobiology!$21:$421,1+$AH226-380,AR$14)</f>
        <v>0.0178624489249707</v>
      </c>
      <c r="AS226" s="236">
        <f ca="1" t="shared" si="92"/>
        <v>3.92731404447888e+19</v>
      </c>
      <c r="AT226" s="236">
        <f ca="1">INDEX(Photobiology!$21:$421,1+$AH226-380,AT$14)</f>
        <v>1.44147730922577e-5</v>
      </c>
      <c r="AU226" s="236">
        <f ca="1">INDEX(Photobiology!$21:$421,1+$AH226-380,AU$14)</f>
        <v>0.600891968135372</v>
      </c>
      <c r="AV226" s="236">
        <f ca="1">INDEX(Photobiology!$21:$421,1+$AH226-380,AV$14)</f>
        <v>0.937681165636919</v>
      </c>
      <c r="AW226" s="236">
        <f ca="1">INDEX(Photobiology!$21:$421,1+$AH226-380,AW$14)</f>
        <v>0.103034067806667</v>
      </c>
      <c r="AX226" s="236">
        <f ca="1">INDEX(Photobiology!$21:$421,1+$AH226-380,AX$14)</f>
        <v>0.0149243730153712</v>
      </c>
      <c r="AY226" s="236">
        <f ca="1" t="shared" si="79"/>
        <v>13.3319879209511</v>
      </c>
      <c r="AZ226" s="236">
        <f ca="1" t="shared" si="93"/>
        <v>0.000255508828950683</v>
      </c>
      <c r="BA226" s="236">
        <f ca="1" t="shared" si="80"/>
        <v>8.63022088820682</v>
      </c>
      <c r="BB226" s="236">
        <f ca="1" t="shared" si="81"/>
        <v>12.8464435103065</v>
      </c>
      <c r="BC226" s="236">
        <f ca="1" t="shared" si="82"/>
        <v>1.5764779892232</v>
      </c>
      <c r="BD226" s="236">
        <f ca="1" t="shared" si="83"/>
        <v>0.238141953306316</v>
      </c>
    </row>
    <row r="227" s="234" customFormat="1" ht="0.2" customHeight="1" spans="7:56">
      <c r="G227" s="236"/>
      <c r="H227" s="236">
        <f t="shared" si="84"/>
        <v>586</v>
      </c>
      <c r="I227" s="236">
        <f>IF($H227&gt;$H226,INDEX(Spectra!227:227,1,MATCH($I$20,Spectra!$20:$20,0)),I226)</f>
        <v>12.8738888610031</v>
      </c>
      <c r="J227" s="236">
        <f>((Physics!$C$9*Physics!$C$10)/(Physics!$C$11*Physics!$C$12*$H227))^($J$17-$J$18)</f>
        <v>2.95081830642643e+18</v>
      </c>
      <c r="K227" s="236">
        <f t="shared" si="85"/>
        <v>1</v>
      </c>
      <c r="L227" s="236">
        <f ca="1">INDEX(Photobiology!$21:$421,1+$H227-380,10)</f>
        <v>0.8047947</v>
      </c>
      <c r="M227" s="236">
        <f ca="1" t="shared" si="86"/>
        <v>12.8738888610031</v>
      </c>
      <c r="N227" s="236">
        <f ca="1">INDEX(Photobiology!$21:$421,1+$H227-380,N$14)</f>
        <v>1.76679027462581e-5</v>
      </c>
      <c r="O227" s="236">
        <f ca="1">INDEX(Photobiology!$21:$421,1+$H227-380,O$14)</f>
        <v>0.631669634389223</v>
      </c>
      <c r="P227" s="236">
        <f ca="1">INDEX(Photobiology!$21:$421,1+$H227-380,P$14)</f>
        <v>0.958042995530776</v>
      </c>
      <c r="Q227" s="236">
        <f ca="1">INDEX(Photobiology!$21:$421,1+$H227-380,Q$14)</f>
        <v>0.110643778864368</v>
      </c>
      <c r="R227" s="236">
        <f ca="1">INDEX(Photobiology!$21:$421,1+$H227-380,R$14)</f>
        <v>0.0164456862290503</v>
      </c>
      <c r="S227" s="236">
        <f ca="1" t="shared" si="87"/>
        <v>3.79885069259472e+19</v>
      </c>
      <c r="T227" s="236">
        <f ca="1">INDEX(Photobiology!$21:$421,1+$H227-380,T$14)</f>
        <v>1.32660020620368e-5</v>
      </c>
      <c r="U227" s="236">
        <f ca="1">INDEX(Photobiology!$21:$421,1+$H227-380,U$14)</f>
        <v>0.585352731222591</v>
      </c>
      <c r="V227" s="236">
        <f ca="1">INDEX(Photobiology!$21:$421,1+$H227-380,V$14)</f>
        <v>0.93070156217841</v>
      </c>
      <c r="W227" s="236">
        <f ca="1">INDEX(Photobiology!$21:$421,1+$H227-380,W$14)</f>
        <v>0.0962438740883554</v>
      </c>
      <c r="X227" s="236">
        <f ca="1">INDEX(Photobiology!$21:$421,1+$H227-380,X$14)</f>
        <v>0.0137171960328587</v>
      </c>
      <c r="Y227" s="236">
        <f ca="1" t="shared" si="74"/>
        <v>12.8738888610031</v>
      </c>
      <c r="Z227" s="236">
        <f ca="1" t="shared" si="88"/>
        <v>0.000227454616362338</v>
      </c>
      <c r="AA227" s="236">
        <f ca="1" t="shared" si="75"/>
        <v>8.13204466999732</v>
      </c>
      <c r="AB227" s="236">
        <f ca="1" t="shared" si="76"/>
        <v>12.3337390485257</v>
      </c>
      <c r="AC227" s="236">
        <f ca="1" t="shared" si="77"/>
        <v>1.42441571226128</v>
      </c>
      <c r="AD227" s="236">
        <f ca="1" t="shared" si="78"/>
        <v>0.211719936755723</v>
      </c>
      <c r="AE227" s="236"/>
      <c r="AF227" s="236"/>
      <c r="AG227" s="236"/>
      <c r="AH227" s="236">
        <f t="shared" si="89"/>
        <v>586</v>
      </c>
      <c r="AI227" s="236">
        <f>IF($AH227&gt;$AH226,INDEX(Spectra!227:227,1,MATCH($AI$20,Spectra!$20:$20,0)),AI226)</f>
        <v>1</v>
      </c>
      <c r="AJ227" s="236">
        <f>((Physics!$C$9*Physics!$C$10)/(Physics!$C$11*Physics!$C$12*$AH227))^($AJ$17-$AJ$18)</f>
        <v>2.95081830642643e+18</v>
      </c>
      <c r="AK227" s="236">
        <f t="shared" si="90"/>
        <v>1</v>
      </c>
      <c r="AL227" s="236">
        <f ca="1">INDEX(Photobiology!$21:$421,1+$AH227-380,10)</f>
        <v>0.8047947</v>
      </c>
      <c r="AM227" s="236">
        <f ca="1" t="shared" si="91"/>
        <v>13.3319879209511</v>
      </c>
      <c r="AN227" s="236">
        <f ca="1">INDEX(Photobiology!$21:$421,1+$AH227-380,AN$14)</f>
        <v>1.76679027462581e-5</v>
      </c>
      <c r="AO227" s="236">
        <f ca="1">INDEX(Photobiology!$21:$421,1+$AH227-380,AO$14)</f>
        <v>0.631669634389223</v>
      </c>
      <c r="AP227" s="236">
        <f ca="1">INDEX(Photobiology!$21:$421,1+$AH227-380,AP$14)</f>
        <v>0.958042995530776</v>
      </c>
      <c r="AQ227" s="236">
        <f ca="1">INDEX(Photobiology!$21:$421,1+$AH227-380,AQ$14)</f>
        <v>0.110643778864368</v>
      </c>
      <c r="AR227" s="236">
        <f ca="1">INDEX(Photobiology!$21:$421,1+$AH227-380,AR$14)</f>
        <v>0.0164456862290503</v>
      </c>
      <c r="AS227" s="236">
        <f ca="1" t="shared" si="92"/>
        <v>3.93402740181987e+19</v>
      </c>
      <c r="AT227" s="236">
        <f ca="1">INDEX(Photobiology!$21:$421,1+$AH227-380,AT$14)</f>
        <v>1.32660020620368e-5</v>
      </c>
      <c r="AU227" s="236">
        <f ca="1">INDEX(Photobiology!$21:$421,1+$AH227-380,AU$14)</f>
        <v>0.585352731222591</v>
      </c>
      <c r="AV227" s="236">
        <f ca="1">INDEX(Photobiology!$21:$421,1+$AH227-380,AV$14)</f>
        <v>0.93070156217841</v>
      </c>
      <c r="AW227" s="236">
        <f ca="1">INDEX(Photobiology!$21:$421,1+$AH227-380,AW$14)</f>
        <v>0.0962438740883554</v>
      </c>
      <c r="AX227" s="236">
        <f ca="1">INDEX(Photobiology!$21:$421,1+$AH227-380,AX$14)</f>
        <v>0.0137171960328587</v>
      </c>
      <c r="AY227" s="236">
        <f ca="1" t="shared" si="79"/>
        <v>13.3319879209511</v>
      </c>
      <c r="AZ227" s="236">
        <f ca="1" t="shared" si="93"/>
        <v>0.000235548266001652</v>
      </c>
      <c r="BA227" s="236">
        <f ca="1" t="shared" si="80"/>
        <v>8.42141193570874</v>
      </c>
      <c r="BB227" s="236">
        <f ca="1" t="shared" si="81"/>
        <v>12.7726176441682</v>
      </c>
      <c r="BC227" s="236">
        <f ca="1" t="shared" si="82"/>
        <v>1.47510152334814</v>
      </c>
      <c r="BD227" s="236">
        <f ca="1" t="shared" si="83"/>
        <v>0.219253690157451</v>
      </c>
    </row>
    <row r="228" s="234" customFormat="1" ht="0.2" customHeight="1" spans="7:56">
      <c r="G228" s="236"/>
      <c r="H228" s="236">
        <f t="shared" si="84"/>
        <v>587</v>
      </c>
      <c r="I228" s="236">
        <f>IF($H228&gt;$H227,INDEX(Spectra!228:228,1,MATCH($I$20,Spectra!$20:$20,0)),I227)</f>
        <v>12.9762569102574</v>
      </c>
      <c r="J228" s="236">
        <f>((Physics!$C$9*Physics!$C$10)/(Physics!$C$11*Physics!$C$12*$H228))^($J$17-$J$18)</f>
        <v>2.95585383254661e+18</v>
      </c>
      <c r="K228" s="236">
        <f t="shared" si="85"/>
        <v>1</v>
      </c>
      <c r="L228" s="236">
        <f ca="1">INDEX(Photobiology!$21:$421,1+$H228-380,10)</f>
        <v>0.793082</v>
      </c>
      <c r="M228" s="236">
        <f ca="1" t="shared" si="86"/>
        <v>12.9762569102574</v>
      </c>
      <c r="N228" s="236">
        <f ca="1">INDEX(Photobiology!$21:$421,1+$H228-380,N$14)</f>
        <v>1.62922475393654e-5</v>
      </c>
      <c r="O228" s="236">
        <f ca="1">INDEX(Photobiology!$21:$421,1+$H228-380,O$14)</f>
        <v>0.615918146942325</v>
      </c>
      <c r="P228" s="236">
        <f ca="1">INDEX(Photobiology!$21:$421,1+$H228-380,P$14)</f>
        <v>0.95210095330311</v>
      </c>
      <c r="Q228" s="236">
        <f ca="1">INDEX(Photobiology!$21:$421,1+$H228-380,Q$14)</f>
        <v>0.103434876442004</v>
      </c>
      <c r="R228" s="236">
        <f ca="1">INDEX(Photobiology!$21:$421,1+$H228-380,R$14)</f>
        <v>0.0151374945572945</v>
      </c>
      <c r="S228" s="236">
        <f ca="1" t="shared" si="87"/>
        <v>3.83559187202938e+19</v>
      </c>
      <c r="T228" s="236">
        <f ca="1">INDEX(Photobiology!$21:$421,1+$H228-380,T$14)</f>
        <v>1.22122468778889e-5</v>
      </c>
      <c r="U228" s="236">
        <f ca="1">INDEX(Photobiology!$21:$421,1+$H228-380,U$14)</f>
        <v>0.56978388733795</v>
      </c>
      <c r="V228" s="236">
        <f ca="1">INDEX(Photobiology!$21:$421,1+$H228-380,V$14)</f>
        <v>0.923353410514357</v>
      </c>
      <c r="W228" s="236">
        <f ca="1">INDEX(Photobiology!$21:$421,1+$H228-380,W$14)</f>
        <v>0.0898199090640741</v>
      </c>
      <c r="X228" s="236">
        <f ca="1">INDEX(Photobiology!$21:$421,1+$H228-380,X$14)</f>
        <v>0.0126045359121039</v>
      </c>
      <c r="Y228" s="236">
        <f ca="1" t="shared" si="74"/>
        <v>12.9762569102574</v>
      </c>
      <c r="Z228" s="236">
        <f ca="1" t="shared" si="88"/>
        <v>0.000211412389716314</v>
      </c>
      <c r="AA228" s="236">
        <f ca="1" t="shared" si="75"/>
        <v>7.99231211041328</v>
      </c>
      <c r="AB228" s="236">
        <f ca="1" t="shared" si="76"/>
        <v>12.3547065745621</v>
      </c>
      <c r="AC228" s="236">
        <f ca="1" t="shared" si="77"/>
        <v>1.34219753019217</v>
      </c>
      <c r="AD228" s="236">
        <f ca="1" t="shared" si="78"/>
        <v>0.196428018353077</v>
      </c>
      <c r="AE228" s="236"/>
      <c r="AF228" s="236"/>
      <c r="AG228" s="236"/>
      <c r="AH228" s="236">
        <f t="shared" si="89"/>
        <v>587</v>
      </c>
      <c r="AI228" s="236">
        <f>IF($AH228&gt;$AH227,INDEX(Spectra!228:228,1,MATCH($AI$20,Spectra!$20:$20,0)),AI227)</f>
        <v>1</v>
      </c>
      <c r="AJ228" s="236">
        <f>((Physics!$C$9*Physics!$C$10)/(Physics!$C$11*Physics!$C$12*$AH228))^($AJ$17-$AJ$18)</f>
        <v>2.95585383254661e+18</v>
      </c>
      <c r="AK228" s="236">
        <f t="shared" si="90"/>
        <v>1</v>
      </c>
      <c r="AL228" s="236">
        <f ca="1">INDEX(Photobiology!$21:$421,1+$AH228-380,10)</f>
        <v>0.793082</v>
      </c>
      <c r="AM228" s="236">
        <f ca="1" t="shared" si="91"/>
        <v>13.3319879209511</v>
      </c>
      <c r="AN228" s="236">
        <f ca="1">INDEX(Photobiology!$21:$421,1+$AH228-380,AN$14)</f>
        <v>1.62922475393654e-5</v>
      </c>
      <c r="AO228" s="236">
        <f ca="1">INDEX(Photobiology!$21:$421,1+$AH228-380,AO$14)</f>
        <v>0.615918146942325</v>
      </c>
      <c r="AP228" s="236">
        <f ca="1">INDEX(Photobiology!$21:$421,1+$AH228-380,AP$14)</f>
        <v>0.95210095330311</v>
      </c>
      <c r="AQ228" s="236">
        <f ca="1">INDEX(Photobiology!$21:$421,1+$AH228-380,AQ$14)</f>
        <v>0.103434876442004</v>
      </c>
      <c r="AR228" s="236">
        <f ca="1">INDEX(Photobiology!$21:$421,1+$AH228-380,AR$14)</f>
        <v>0.0151374945572945</v>
      </c>
      <c r="AS228" s="236">
        <f ca="1" t="shared" si="92"/>
        <v>3.94074075916086e+19</v>
      </c>
      <c r="AT228" s="236">
        <f ca="1">INDEX(Photobiology!$21:$421,1+$AH228-380,AT$14)</f>
        <v>1.22122468778889e-5</v>
      </c>
      <c r="AU228" s="236">
        <f ca="1">INDEX(Photobiology!$21:$421,1+$AH228-380,AU$14)</f>
        <v>0.56978388733795</v>
      </c>
      <c r="AV228" s="236">
        <f ca="1">INDEX(Photobiology!$21:$421,1+$AH228-380,AV$14)</f>
        <v>0.923353410514357</v>
      </c>
      <c r="AW228" s="236">
        <f ca="1">INDEX(Photobiology!$21:$421,1+$AH228-380,AW$14)</f>
        <v>0.0898199090640741</v>
      </c>
      <c r="AX228" s="236">
        <f ca="1">INDEX(Photobiology!$21:$421,1+$AH228-380,AX$14)</f>
        <v>0.0126045359121039</v>
      </c>
      <c r="AY228" s="236">
        <f ca="1" t="shared" si="79"/>
        <v>13.3319879209511</v>
      </c>
      <c r="AZ228" s="236">
        <f ca="1" t="shared" si="93"/>
        <v>0.000217208047399965</v>
      </c>
      <c r="BA228" s="236">
        <f ca="1" t="shared" si="80"/>
        <v>8.21141329532969</v>
      </c>
      <c r="BB228" s="236">
        <f ca="1" t="shared" si="81"/>
        <v>12.6933984089631</v>
      </c>
      <c r="BC228" s="236">
        <f ca="1" t="shared" si="82"/>
        <v>1.37899252332987</v>
      </c>
      <c r="BD228" s="236">
        <f ca="1" t="shared" si="83"/>
        <v>0.201812894591314</v>
      </c>
    </row>
    <row r="229" s="234" customFormat="1" ht="0.2" customHeight="1" spans="7:56">
      <c r="G229" s="236"/>
      <c r="H229" s="236">
        <f t="shared" si="84"/>
        <v>588</v>
      </c>
      <c r="I229" s="236">
        <f>IF($H229&gt;$H228,INDEX(Spectra!229:229,1,MATCH($I$20,Spectra!$20:$20,0)),I228)</f>
        <v>13.1058586908268</v>
      </c>
      <c r="J229" s="236">
        <f>((Physics!$C$9*Physics!$C$10)/(Physics!$C$11*Physics!$C$12*$H229))^($J$17-$J$18)</f>
        <v>2.96088935866679e+18</v>
      </c>
      <c r="K229" s="236">
        <f t="shared" si="85"/>
        <v>1</v>
      </c>
      <c r="L229" s="236">
        <f ca="1">INDEX(Photobiology!$21:$421,1+$H229-380,10)</f>
        <v>0.781192</v>
      </c>
      <c r="M229" s="236">
        <f ca="1" t="shared" si="86"/>
        <v>13.1058586908268</v>
      </c>
      <c r="N229" s="236">
        <f ca="1">INDEX(Photobiology!$21:$421,1+$H229-380,N$14)</f>
        <v>1.50279935502552e-5</v>
      </c>
      <c r="O229" s="236">
        <f ca="1">INDEX(Photobiology!$21:$421,1+$H229-380,O$14)</f>
        <v>0.600096370394667</v>
      </c>
      <c r="P229" s="236">
        <f ca="1">INDEX(Photobiology!$21:$421,1+$H229-380,P$14)</f>
        <v>0.945755770919408</v>
      </c>
      <c r="Q229" s="236">
        <f ca="1">INDEX(Photobiology!$21:$421,1+$H229-380,Q$14)</f>
        <v>0.0966106490949265</v>
      </c>
      <c r="R229" s="236">
        <f ca="1">INDEX(Photobiology!$21:$421,1+$H229-380,R$14)</f>
        <v>0.013930252868078</v>
      </c>
      <c r="S229" s="236">
        <f ca="1" t="shared" si="87"/>
        <v>3.88049975338597e+19</v>
      </c>
      <c r="T229" s="236">
        <f ca="1">INDEX(Photobiology!$21:$421,1+$H229-380,T$14)</f>
        <v>1.12454373505311e-5</v>
      </c>
      <c r="U229" s="236">
        <f ca="1">INDEX(Photobiology!$21:$421,1+$H229-380,U$14)</f>
        <v>0.554203085070059</v>
      </c>
      <c r="V229" s="236">
        <f ca="1">INDEX(Photobiology!$21:$421,1+$H229-380,V$14)</f>
        <v>0.91563994965066</v>
      </c>
      <c r="W229" s="236">
        <f ca="1">INDEX(Photobiology!$21:$421,1+$H229-380,W$14)</f>
        <v>0.0837512670744582</v>
      </c>
      <c r="X229" s="236">
        <f ca="1">INDEX(Photobiology!$21:$421,1+$H229-380,X$14)</f>
        <v>0.0115795754045335</v>
      </c>
      <c r="Y229" s="236">
        <f ca="1" t="shared" si="74"/>
        <v>13.1058586908268</v>
      </c>
      <c r="Z229" s="236">
        <f ca="1" t="shared" si="88"/>
        <v>0.000196954759876301</v>
      </c>
      <c r="AA229" s="236">
        <f ca="1" t="shared" si="75"/>
        <v>7.86477823127056</v>
      </c>
      <c r="AB229" s="236">
        <f ca="1" t="shared" si="76"/>
        <v>12.3949414897037</v>
      </c>
      <c r="AC229" s="236">
        <f ca="1" t="shared" si="77"/>
        <v>1.26616551506716</v>
      </c>
      <c r="AD229" s="236">
        <f ca="1" t="shared" si="78"/>
        <v>0.182567925616515</v>
      </c>
      <c r="AE229" s="236"/>
      <c r="AF229" s="236"/>
      <c r="AG229" s="236"/>
      <c r="AH229" s="236">
        <f t="shared" si="89"/>
        <v>588</v>
      </c>
      <c r="AI229" s="236">
        <f>IF($AH229&gt;$AH228,INDEX(Spectra!229:229,1,MATCH($AI$20,Spectra!$20:$20,0)),AI228)</f>
        <v>1</v>
      </c>
      <c r="AJ229" s="236">
        <f>((Physics!$C$9*Physics!$C$10)/(Physics!$C$11*Physics!$C$12*$AH229))^($AJ$17-$AJ$18)</f>
        <v>2.96088935866679e+18</v>
      </c>
      <c r="AK229" s="236">
        <f t="shared" si="90"/>
        <v>1</v>
      </c>
      <c r="AL229" s="236">
        <f ca="1">INDEX(Photobiology!$21:$421,1+$AH229-380,10)</f>
        <v>0.781192</v>
      </c>
      <c r="AM229" s="236">
        <f ca="1" t="shared" si="91"/>
        <v>13.3319879209511</v>
      </c>
      <c r="AN229" s="236">
        <f ca="1">INDEX(Photobiology!$21:$421,1+$AH229-380,AN$14)</f>
        <v>1.50279935502552e-5</v>
      </c>
      <c r="AO229" s="236">
        <f ca="1">INDEX(Photobiology!$21:$421,1+$AH229-380,AO$14)</f>
        <v>0.600096370394667</v>
      </c>
      <c r="AP229" s="236">
        <f ca="1">INDEX(Photobiology!$21:$421,1+$AH229-380,AP$14)</f>
        <v>0.945755770919408</v>
      </c>
      <c r="AQ229" s="236">
        <f ca="1">INDEX(Photobiology!$21:$421,1+$AH229-380,AQ$14)</f>
        <v>0.0966106490949265</v>
      </c>
      <c r="AR229" s="236">
        <f ca="1">INDEX(Photobiology!$21:$421,1+$AH229-380,AR$14)</f>
        <v>0.013930252868078</v>
      </c>
      <c r="AS229" s="236">
        <f ca="1" t="shared" si="92"/>
        <v>3.94745411650185e+19</v>
      </c>
      <c r="AT229" s="236">
        <f ca="1">INDEX(Photobiology!$21:$421,1+$AH229-380,AT$14)</f>
        <v>1.12454373505311e-5</v>
      </c>
      <c r="AU229" s="236">
        <f ca="1">INDEX(Photobiology!$21:$421,1+$AH229-380,AU$14)</f>
        <v>0.554203085070059</v>
      </c>
      <c r="AV229" s="236">
        <f ca="1">INDEX(Photobiology!$21:$421,1+$AH229-380,AV$14)</f>
        <v>0.91563994965066</v>
      </c>
      <c r="AW229" s="236">
        <f ca="1">INDEX(Photobiology!$21:$421,1+$AH229-380,AW$14)</f>
        <v>0.0837512670744582</v>
      </c>
      <c r="AX229" s="236">
        <f ca="1">INDEX(Photobiology!$21:$421,1+$AH229-380,AX$14)</f>
        <v>0.0115795754045335</v>
      </c>
      <c r="AY229" s="236">
        <f ca="1" t="shared" si="79"/>
        <v>13.3319879209511</v>
      </c>
      <c r="AZ229" s="236">
        <f ca="1" t="shared" si="93"/>
        <v>0.000200353028488134</v>
      </c>
      <c r="BA229" s="236">
        <f ca="1" t="shared" si="80"/>
        <v>8.00047756150832</v>
      </c>
      <c r="BB229" s="236">
        <f ca="1" t="shared" si="81"/>
        <v>12.6088045140674</v>
      </c>
      <c r="BC229" s="236">
        <f ca="1" t="shared" si="82"/>
        <v>1.28801200676881</v>
      </c>
      <c r="BD229" s="236">
        <f ca="1" t="shared" si="83"/>
        <v>0.185717962973011</v>
      </c>
    </row>
    <row r="230" s="234" customFormat="1" ht="0.2" customHeight="1" spans="7:56">
      <c r="G230" s="236"/>
      <c r="H230" s="236">
        <f t="shared" si="84"/>
        <v>589</v>
      </c>
      <c r="I230" s="236">
        <f>IF($H230&gt;$H229,INDEX(Spectra!230:230,1,MATCH($I$20,Spectra!$20:$20,0)),I229)</f>
        <v>13.2176263588791</v>
      </c>
      <c r="J230" s="236">
        <f>((Physics!$C$9*Physics!$C$10)/(Physics!$C$11*Physics!$C$12*$H230))^($J$17-$J$18)</f>
        <v>2.96592488478698e+18</v>
      </c>
      <c r="K230" s="236">
        <f t="shared" si="85"/>
        <v>1</v>
      </c>
      <c r="L230" s="236">
        <f ca="1">INDEX(Photobiology!$21:$421,1+$H230-380,10)</f>
        <v>0.7691547</v>
      </c>
      <c r="M230" s="236">
        <f ca="1" t="shared" si="86"/>
        <v>13.2176263588791</v>
      </c>
      <c r="N230" s="236">
        <f ca="1">INDEX(Photobiology!$21:$421,1+$H230-380,N$14)</f>
        <v>1.38657064008679e-5</v>
      </c>
      <c r="O230" s="236">
        <f ca="1">INDEX(Photobiology!$21:$421,1+$H230-380,O$14)</f>
        <v>0.584226160598403</v>
      </c>
      <c r="P230" s="236">
        <f ca="1">INDEX(Photobiology!$21:$421,1+$H230-380,P$14)</f>
        <v>0.93900520584185</v>
      </c>
      <c r="Q230" s="236">
        <f ca="1">INDEX(Photobiology!$21:$421,1+$H230-380,Q$14)</f>
        <v>0.0901598125285276</v>
      </c>
      <c r="R230" s="236">
        <f ca="1">INDEX(Photobiology!$21:$421,1+$H230-380,R$14)</f>
        <v>0.0128167230508719</v>
      </c>
      <c r="S230" s="236">
        <f ca="1" t="shared" si="87"/>
        <v>3.92024869356158e+19</v>
      </c>
      <c r="T230" s="236">
        <f ca="1">INDEX(Photobiology!$21:$421,1+$H230-380,T$14)</f>
        <v>1.03580828801051e-5</v>
      </c>
      <c r="U230" s="236">
        <f ca="1">INDEX(Photobiology!$21:$421,1+$H230-380,U$14)</f>
        <v>0.538630535451094</v>
      </c>
      <c r="V230" s="236">
        <f ca="1">INDEX(Photobiology!$21:$421,1+$H230-380,V$14)</f>
        <v>0.907560872803105</v>
      </c>
      <c r="W230" s="236">
        <f ca="1">INDEX(Photobiology!$21:$421,1+$H230-380,W$14)</f>
        <v>0.0780263726370223</v>
      </c>
      <c r="X230" s="236">
        <f ca="1">INDEX(Photobiology!$21:$421,1+$H230-380,X$14)</f>
        <v>0.0106358613311717</v>
      </c>
      <c r="Y230" s="236">
        <f ca="1" t="shared" si="74"/>
        <v>13.2176263588791</v>
      </c>
      <c r="Z230" s="236">
        <f ca="1" t="shared" si="88"/>
        <v>0.00018327172640859</v>
      </c>
      <c r="AA230" s="236">
        <f ca="1" t="shared" si="75"/>
        <v>7.72208309987219</v>
      </c>
      <c r="AB230" s="236">
        <f ca="1" t="shared" si="76"/>
        <v>12.4114199598599</v>
      </c>
      <c r="AC230" s="236">
        <f ca="1" t="shared" si="77"/>
        <v>1.19169871458866</v>
      </c>
      <c r="AD230" s="236">
        <f ca="1" t="shared" si="78"/>
        <v>0.169406656431658</v>
      </c>
      <c r="AE230" s="236"/>
      <c r="AF230" s="236"/>
      <c r="AG230" s="236"/>
      <c r="AH230" s="236">
        <f t="shared" si="89"/>
        <v>589</v>
      </c>
      <c r="AI230" s="236">
        <f>IF($AH230&gt;$AH229,INDEX(Spectra!230:230,1,MATCH($AI$20,Spectra!$20:$20,0)),AI229)</f>
        <v>1</v>
      </c>
      <c r="AJ230" s="236">
        <f>((Physics!$C$9*Physics!$C$10)/(Physics!$C$11*Physics!$C$12*$AH230))^($AJ$17-$AJ$18)</f>
        <v>2.96592488478698e+18</v>
      </c>
      <c r="AK230" s="236">
        <f t="shared" si="90"/>
        <v>1</v>
      </c>
      <c r="AL230" s="236">
        <f ca="1">INDEX(Photobiology!$21:$421,1+$AH230-380,10)</f>
        <v>0.7691547</v>
      </c>
      <c r="AM230" s="236">
        <f ca="1" t="shared" si="91"/>
        <v>13.3319879209511</v>
      </c>
      <c r="AN230" s="236">
        <f ca="1">INDEX(Photobiology!$21:$421,1+$AH230-380,AN$14)</f>
        <v>1.38657064008679e-5</v>
      </c>
      <c r="AO230" s="236">
        <f ca="1">INDEX(Photobiology!$21:$421,1+$AH230-380,AO$14)</f>
        <v>0.584226160598403</v>
      </c>
      <c r="AP230" s="236">
        <f ca="1">INDEX(Photobiology!$21:$421,1+$AH230-380,AP$14)</f>
        <v>0.93900520584185</v>
      </c>
      <c r="AQ230" s="236">
        <f ca="1">INDEX(Photobiology!$21:$421,1+$AH230-380,AQ$14)</f>
        <v>0.0901598125285276</v>
      </c>
      <c r="AR230" s="236">
        <f ca="1">INDEX(Photobiology!$21:$421,1+$AH230-380,AR$14)</f>
        <v>0.0128167230508719</v>
      </c>
      <c r="AS230" s="236">
        <f ca="1" t="shared" si="92"/>
        <v>3.95416747384284e+19</v>
      </c>
      <c r="AT230" s="236">
        <f ca="1">INDEX(Photobiology!$21:$421,1+$AH230-380,AT$14)</f>
        <v>1.03580828801051e-5</v>
      </c>
      <c r="AU230" s="236">
        <f ca="1">INDEX(Photobiology!$21:$421,1+$AH230-380,AU$14)</f>
        <v>0.538630535451094</v>
      </c>
      <c r="AV230" s="236">
        <f ca="1">INDEX(Photobiology!$21:$421,1+$AH230-380,AV$14)</f>
        <v>0.907560872803105</v>
      </c>
      <c r="AW230" s="236">
        <f ca="1">INDEX(Photobiology!$21:$421,1+$AH230-380,AW$14)</f>
        <v>0.0780263726370223</v>
      </c>
      <c r="AX230" s="236">
        <f ca="1">INDEX(Photobiology!$21:$421,1+$AH230-380,AX$14)</f>
        <v>0.0106358613311717</v>
      </c>
      <c r="AY230" s="236">
        <f ca="1" t="shared" si="79"/>
        <v>13.3319879209511</v>
      </c>
      <c r="AZ230" s="236">
        <f ca="1" t="shared" si="93"/>
        <v>0.000184857430251826</v>
      </c>
      <c r="BA230" s="236">
        <f ca="1" t="shared" si="80"/>
        <v>7.78889611620157</v>
      </c>
      <c r="BB230" s="236">
        <f ca="1" t="shared" si="81"/>
        <v>12.5188060619938</v>
      </c>
      <c r="BC230" s="236">
        <f ca="1" t="shared" si="82"/>
        <v>1.20200953158555</v>
      </c>
      <c r="BD230" s="236">
        <f ca="1" t="shared" si="83"/>
        <v>0.1708723969004</v>
      </c>
    </row>
    <row r="231" s="234" customFormat="1" ht="0.2" customHeight="1" spans="7:56">
      <c r="G231" s="236"/>
      <c r="H231" s="236">
        <f t="shared" si="84"/>
        <v>590</v>
      </c>
      <c r="I231" s="236">
        <f>IF($H231&gt;$H230,INDEX(Spectra!231:231,1,MATCH($I$20,Spectra!$20:$20,0)),I230)</f>
        <v>13.3117347826341</v>
      </c>
      <c r="J231" s="236">
        <f>((Physics!$C$9*Physics!$C$10)/(Physics!$C$11*Physics!$C$12*$H231))^($J$17-$J$18)</f>
        <v>2.97096041090716e+18</v>
      </c>
      <c r="K231" s="236">
        <f t="shared" si="85"/>
        <v>1</v>
      </c>
      <c r="L231" s="236">
        <f ca="1">INDEX(Photobiology!$21:$421,1+$H231-380,10)</f>
        <v>0.757</v>
      </c>
      <c r="M231" s="236">
        <f ca="1" t="shared" si="86"/>
        <v>13.3117347826341</v>
      </c>
      <c r="N231" s="236">
        <f ca="1">INDEX(Photobiology!$21:$421,1+$H231-380,N$14)</f>
        <v>1.27969065940616e-5</v>
      </c>
      <c r="O231" s="236">
        <f ca="1">INDEX(Photobiology!$21:$421,1+$H231-380,O$14)</f>
        <v>0.568325313272596</v>
      </c>
      <c r="P231" s="236">
        <f ca="1">INDEX(Photobiology!$21:$421,1+$H231-380,P$14)</f>
        <v>0.931856416526961</v>
      </c>
      <c r="Q231" s="236">
        <f ca="1">INDEX(Photobiology!$21:$421,1+$H231-380,Q$14)</f>
        <v>0.0840709587181752</v>
      </c>
      <c r="R231" s="236">
        <f ca="1">INDEX(Photobiology!$21:$421,1+$H231-380,R$14)</f>
        <v>0.0117901410294115</v>
      </c>
      <c r="S231" s="236">
        <f ca="1" t="shared" si="87"/>
        <v>3.95486370397017e+19</v>
      </c>
      <c r="T231" s="236">
        <f ca="1">INDEX(Photobiology!$21:$421,1+$H231-380,T$14)</f>
        <v>9.54345576506289e-6</v>
      </c>
      <c r="U231" s="236">
        <f ca="1">INDEX(Photobiology!$21:$421,1+$H231-380,U$14)</f>
        <v>0.523082575571669</v>
      </c>
      <c r="V231" s="236">
        <f ca="1">INDEX(Photobiology!$21:$421,1+$H231-380,V$14)</f>
        <v>0.899124946051649</v>
      </c>
      <c r="W231" s="236">
        <f ca="1">INDEX(Photobiology!$21:$421,1+$H231-380,W$14)</f>
        <v>0.0726336218498127</v>
      </c>
      <c r="X231" s="236">
        <f ca="1">INDEX(Photobiology!$21:$421,1+$H231-380,X$14)</f>
        <v>0.00976737697044599</v>
      </c>
      <c r="Y231" s="236">
        <f ca="1" t="shared" si="74"/>
        <v>13.3117347826341</v>
      </c>
      <c r="Z231" s="236">
        <f ca="1" t="shared" si="88"/>
        <v>0.000170349026618289</v>
      </c>
      <c r="AA231" s="236">
        <f ca="1" t="shared" si="75"/>
        <v>7.56539584054224</v>
      </c>
      <c r="AB231" s="236">
        <f ca="1" t="shared" si="76"/>
        <v>12.4046254723027</v>
      </c>
      <c r="AC231" s="236">
        <f ca="1" t="shared" si="77"/>
        <v>1.11913030537813</v>
      </c>
      <c r="AD231" s="236">
        <f ca="1" t="shared" si="78"/>
        <v>0.156947230433378</v>
      </c>
      <c r="AE231" s="236"/>
      <c r="AF231" s="236"/>
      <c r="AG231" s="236"/>
      <c r="AH231" s="236">
        <f t="shared" si="89"/>
        <v>590</v>
      </c>
      <c r="AI231" s="236">
        <f>IF($AH231&gt;$AH230,INDEX(Spectra!231:231,1,MATCH($AI$20,Spectra!$20:$20,0)),AI230)</f>
        <v>1</v>
      </c>
      <c r="AJ231" s="236">
        <f>((Physics!$C$9*Physics!$C$10)/(Physics!$C$11*Physics!$C$12*$AH231))^($AJ$17-$AJ$18)</f>
        <v>2.97096041090716e+18</v>
      </c>
      <c r="AK231" s="236">
        <f t="shared" si="90"/>
        <v>1</v>
      </c>
      <c r="AL231" s="236">
        <f ca="1">INDEX(Photobiology!$21:$421,1+$AH231-380,10)</f>
        <v>0.757</v>
      </c>
      <c r="AM231" s="236">
        <f ca="1" t="shared" si="91"/>
        <v>13.3319879209511</v>
      </c>
      <c r="AN231" s="236">
        <f ca="1">INDEX(Photobiology!$21:$421,1+$AH231-380,AN$14)</f>
        <v>1.27969065940616e-5</v>
      </c>
      <c r="AO231" s="236">
        <f ca="1">INDEX(Photobiology!$21:$421,1+$AH231-380,AO$14)</f>
        <v>0.568325313272596</v>
      </c>
      <c r="AP231" s="236">
        <f ca="1">INDEX(Photobiology!$21:$421,1+$AH231-380,AP$14)</f>
        <v>0.931856416526961</v>
      </c>
      <c r="AQ231" s="236">
        <f ca="1">INDEX(Photobiology!$21:$421,1+$AH231-380,AQ$14)</f>
        <v>0.0840709587181752</v>
      </c>
      <c r="AR231" s="236">
        <f ca="1">INDEX(Photobiology!$21:$421,1+$AH231-380,AR$14)</f>
        <v>0.0117901410294115</v>
      </c>
      <c r="AS231" s="236">
        <f ca="1" t="shared" si="92"/>
        <v>3.96088083118383e+19</v>
      </c>
      <c r="AT231" s="236">
        <f ca="1">INDEX(Photobiology!$21:$421,1+$AH231-380,AT$14)</f>
        <v>9.54345576506289e-6</v>
      </c>
      <c r="AU231" s="236">
        <f ca="1">INDEX(Photobiology!$21:$421,1+$AH231-380,AU$14)</f>
        <v>0.523082575571669</v>
      </c>
      <c r="AV231" s="236">
        <f ca="1">INDEX(Photobiology!$21:$421,1+$AH231-380,AV$14)</f>
        <v>0.899124946051649</v>
      </c>
      <c r="AW231" s="236">
        <f ca="1">INDEX(Photobiology!$21:$421,1+$AH231-380,AW$14)</f>
        <v>0.0726336218498127</v>
      </c>
      <c r="AX231" s="236">
        <f ca="1">INDEX(Photobiology!$21:$421,1+$AH231-380,AX$14)</f>
        <v>0.00976737697044599</v>
      </c>
      <c r="AY231" s="236">
        <f ca="1" t="shared" si="79"/>
        <v>13.3319879209511</v>
      </c>
      <c r="AZ231" s="236">
        <f ca="1" t="shared" si="93"/>
        <v>0.000170608204137569</v>
      </c>
      <c r="BA231" s="236">
        <f ca="1" t="shared" si="80"/>
        <v>7.57690621172102</v>
      </c>
      <c r="BB231" s="236">
        <f ca="1" t="shared" si="81"/>
        <v>12.4234984891983</v>
      </c>
      <c r="BC231" s="236">
        <f ca="1" t="shared" si="82"/>
        <v>1.12083300613349</v>
      </c>
      <c r="BD231" s="236">
        <f ca="1" t="shared" si="83"/>
        <v>0.157186017790425</v>
      </c>
    </row>
    <row r="232" s="234" customFormat="1" ht="0.2" customHeight="1" spans="7:56">
      <c r="G232" s="236"/>
      <c r="H232" s="236">
        <f t="shared" si="84"/>
        <v>591</v>
      </c>
      <c r="I232" s="236">
        <f>IF($H232&gt;$H231,INDEX(Spectra!232:232,1,MATCH($I$20,Spectra!$20:$20,0)),I231)</f>
        <v>13.436440951791</v>
      </c>
      <c r="J232" s="236">
        <f>((Physics!$C$9*Physics!$C$10)/(Physics!$C$11*Physics!$C$12*$H232))^($J$17-$J$18)</f>
        <v>2.97599593702734e+18</v>
      </c>
      <c r="K232" s="236">
        <f t="shared" si="85"/>
        <v>1</v>
      </c>
      <c r="L232" s="236">
        <f ca="1">INDEX(Photobiology!$21:$421,1+$H232-380,10)</f>
        <v>0.7447541</v>
      </c>
      <c r="M232" s="236">
        <f ca="1" t="shared" si="86"/>
        <v>13.436440951791</v>
      </c>
      <c r="N232" s="236">
        <f ca="1">INDEX(Photobiology!$21:$421,1+$H232-380,N$14)</f>
        <v>1.18083440950229e-5</v>
      </c>
      <c r="O232" s="236">
        <f ca="1">INDEX(Photobiology!$21:$421,1+$H232-380,O$14)</f>
        <v>0.552162616604763</v>
      </c>
      <c r="P232" s="236">
        <f ca="1">INDEX(Photobiology!$21:$421,1+$H232-380,P$14)</f>
        <v>0.923880923942058</v>
      </c>
      <c r="Q232" s="236">
        <f ca="1">INDEX(Photobiology!$21:$421,1+$H232-380,Q$14)</f>
        <v>0.0782953554341728</v>
      </c>
      <c r="R232" s="236">
        <f ca="1">INDEX(Photobiology!$21:$421,1+$H232-380,R$14)</f>
        <v>0.0108391443492327</v>
      </c>
      <c r="S232" s="236">
        <f ca="1" t="shared" si="87"/>
        <v>3.99867936806378e+19</v>
      </c>
      <c r="T232" s="236">
        <f ca="1">INDEX(Photobiology!$21:$421,1+$H232-380,T$14)</f>
        <v>8.79132216888338e-6</v>
      </c>
      <c r="U232" s="236">
        <f ca="1">INDEX(Photobiology!$21:$421,1+$H232-380,U$14)</f>
        <v>0.507346634980621</v>
      </c>
      <c r="V232" s="236">
        <f ca="1">INDEX(Photobiology!$21:$421,1+$H232-380,V$14)</f>
        <v>0.88992125165778</v>
      </c>
      <c r="W232" s="236">
        <f ca="1">INDEX(Photobiology!$21:$421,1+$H232-380,W$14)</f>
        <v>0.0675292974343274</v>
      </c>
      <c r="X232" s="236">
        <f ca="1">INDEX(Photobiology!$21:$421,1+$H232-380,X$14)</f>
        <v>0.00896434330696218</v>
      </c>
      <c r="Y232" s="236">
        <f ca="1" t="shared" si="74"/>
        <v>13.436440951791</v>
      </c>
      <c r="Z232" s="236">
        <f ca="1" t="shared" si="88"/>
        <v>0.000158662118171205</v>
      </c>
      <c r="AA232" s="236">
        <f ca="1" t="shared" si="75"/>
        <v>7.41910039379631</v>
      </c>
      <c r="AB232" s="236">
        <f ca="1" t="shared" si="76"/>
        <v>12.4136714810336</v>
      </c>
      <c r="AC232" s="236">
        <f ca="1" t="shared" si="77"/>
        <v>1.05201092009075</v>
      </c>
      <c r="AD232" s="236">
        <f ca="1" t="shared" si="78"/>
        <v>0.145639523016404</v>
      </c>
      <c r="AE232" s="236"/>
      <c r="AF232" s="236"/>
      <c r="AG232" s="236"/>
      <c r="AH232" s="236">
        <f t="shared" si="89"/>
        <v>591</v>
      </c>
      <c r="AI232" s="236">
        <f>IF($AH232&gt;$AH231,INDEX(Spectra!232:232,1,MATCH($AI$20,Spectra!$20:$20,0)),AI231)</f>
        <v>1</v>
      </c>
      <c r="AJ232" s="236">
        <f>((Physics!$C$9*Physics!$C$10)/(Physics!$C$11*Physics!$C$12*$AH232))^($AJ$17-$AJ$18)</f>
        <v>2.97599593702734e+18</v>
      </c>
      <c r="AK232" s="236">
        <f t="shared" si="90"/>
        <v>1</v>
      </c>
      <c r="AL232" s="236">
        <f ca="1">INDEX(Photobiology!$21:$421,1+$AH232-380,10)</f>
        <v>0.7447541</v>
      </c>
      <c r="AM232" s="236">
        <f ca="1" t="shared" si="91"/>
        <v>13.3319879209511</v>
      </c>
      <c r="AN232" s="236">
        <f ca="1">INDEX(Photobiology!$21:$421,1+$AH232-380,AN$14)</f>
        <v>1.18083440950229e-5</v>
      </c>
      <c r="AO232" s="236">
        <f ca="1">INDEX(Photobiology!$21:$421,1+$AH232-380,AO$14)</f>
        <v>0.552162616604763</v>
      </c>
      <c r="AP232" s="236">
        <f ca="1">INDEX(Photobiology!$21:$421,1+$AH232-380,AP$14)</f>
        <v>0.923880923942058</v>
      </c>
      <c r="AQ232" s="236">
        <f ca="1">INDEX(Photobiology!$21:$421,1+$AH232-380,AQ$14)</f>
        <v>0.0782953554341728</v>
      </c>
      <c r="AR232" s="236">
        <f ca="1">INDEX(Photobiology!$21:$421,1+$AH232-380,AR$14)</f>
        <v>0.0108391443492327</v>
      </c>
      <c r="AS232" s="236">
        <f ca="1" t="shared" si="92"/>
        <v>3.96759418852482e+19</v>
      </c>
      <c r="AT232" s="236">
        <f ca="1">INDEX(Photobiology!$21:$421,1+$AH232-380,AT$14)</f>
        <v>8.79132216888338e-6</v>
      </c>
      <c r="AU232" s="236">
        <f ca="1">INDEX(Photobiology!$21:$421,1+$AH232-380,AU$14)</f>
        <v>0.507346634980621</v>
      </c>
      <c r="AV232" s="236">
        <f ca="1">INDEX(Photobiology!$21:$421,1+$AH232-380,AV$14)</f>
        <v>0.88992125165778</v>
      </c>
      <c r="AW232" s="236">
        <f ca="1">INDEX(Photobiology!$21:$421,1+$AH232-380,AW$14)</f>
        <v>0.0675292974343274</v>
      </c>
      <c r="AX232" s="236">
        <f ca="1">INDEX(Photobiology!$21:$421,1+$AH232-380,AX$14)</f>
        <v>0.00896434330696218</v>
      </c>
      <c r="AY232" s="236">
        <f ca="1" t="shared" si="79"/>
        <v>13.3319879209511</v>
      </c>
      <c r="AZ232" s="236">
        <f ca="1" t="shared" si="93"/>
        <v>0.00015742870084128</v>
      </c>
      <c r="BA232" s="236">
        <f ca="1" t="shared" si="80"/>
        <v>7.36142533497548</v>
      </c>
      <c r="BB232" s="236">
        <f ca="1" t="shared" si="81"/>
        <v>12.3171693183927</v>
      </c>
      <c r="BC232" s="236">
        <f ca="1" t="shared" si="82"/>
        <v>1.04383273291497</v>
      </c>
      <c r="BD232" s="236">
        <f ca="1" t="shared" si="83"/>
        <v>0.144507341537416</v>
      </c>
    </row>
    <row r="233" s="234" customFormat="1" ht="0.2" customHeight="1" spans="7:56">
      <c r="G233" s="236"/>
      <c r="H233" s="236">
        <f t="shared" si="84"/>
        <v>592</v>
      </c>
      <c r="I233" s="236">
        <f>IF($H233&gt;$H232,INDEX(Spectra!233:233,1,MATCH($I$20,Spectra!$20:$20,0)),I232)</f>
        <v>13.5463427675484</v>
      </c>
      <c r="J233" s="236">
        <f>((Physics!$C$9*Physics!$C$10)/(Physics!$C$11*Physics!$C$12*$H233))^($J$17-$J$18)</f>
        <v>2.98103146314752e+18</v>
      </c>
      <c r="K233" s="236">
        <f t="shared" si="85"/>
        <v>1</v>
      </c>
      <c r="L233" s="236">
        <f ca="1">INDEX(Photobiology!$21:$421,1+$H233-380,10)</f>
        <v>0.7324224</v>
      </c>
      <c r="M233" s="236">
        <f ca="1" t="shared" si="86"/>
        <v>13.5463427675484</v>
      </c>
      <c r="N233" s="236">
        <f ca="1">INDEX(Photobiology!$21:$421,1+$H233-380,N$14)</f>
        <v>1.08991843914335e-5</v>
      </c>
      <c r="O233" s="236">
        <f ca="1">INDEX(Photobiology!$21:$421,1+$H233-380,O$14)</f>
        <v>0.536026178095208</v>
      </c>
      <c r="P233" s="236">
        <f ca="1">INDEX(Photobiology!$21:$421,1+$H233-380,P$14)</f>
        <v>0.915518237397413</v>
      </c>
      <c r="Q233" s="236">
        <f ca="1">INDEX(Photobiology!$21:$421,1+$H233-380,Q$14)</f>
        <v>0.072861314141457</v>
      </c>
      <c r="R233" s="236">
        <f ca="1">INDEX(Photobiology!$21:$421,1+$H233-380,R$14)</f>
        <v>0.00996354760119383</v>
      </c>
      <c r="S233" s="236">
        <f ca="1" t="shared" si="87"/>
        <v>4.03820740006426e+19</v>
      </c>
      <c r="T233" s="236">
        <f ca="1">INDEX(Photobiology!$21:$421,1+$H233-380,T$14)</f>
        <v>8.10074515579517e-6</v>
      </c>
      <c r="U233" s="236">
        <f ca="1">INDEX(Photobiology!$21:$421,1+$H233-380,U$14)</f>
        <v>0.491687942525074</v>
      </c>
      <c r="V233" s="236">
        <f ca="1">INDEX(Photobiology!$21:$421,1+$H233-380,V$14)</f>
        <v>0.880376319201001</v>
      </c>
      <c r="W233" s="236">
        <f ca="1">INDEX(Photobiology!$21:$421,1+$H233-380,W$14)</f>
        <v>0.0627363150000199</v>
      </c>
      <c r="X233" s="236">
        <f ca="1">INDEX(Photobiology!$21:$421,1+$H233-380,X$14)</f>
        <v>0.0082262755842043</v>
      </c>
      <c r="Y233" s="236">
        <f ca="1" t="shared" si="74"/>
        <v>13.5463427675484</v>
      </c>
      <c r="Z233" s="236">
        <f ca="1" t="shared" si="88"/>
        <v>0.000147644087653072</v>
      </c>
      <c r="AA233" s="236">
        <f ca="1" t="shared" si="75"/>
        <v>7.26119434085663</v>
      </c>
      <c r="AB233" s="236">
        <f ca="1" t="shared" si="76"/>
        <v>12.4019238537271</v>
      </c>
      <c r="AC233" s="236">
        <f ca="1" t="shared" si="77"/>
        <v>0.987004335854198</v>
      </c>
      <c r="AD233" s="236">
        <f ca="1" t="shared" si="78"/>
        <v>0.134969630986556</v>
      </c>
      <c r="AE233" s="236"/>
      <c r="AF233" s="236"/>
      <c r="AG233" s="236"/>
      <c r="AH233" s="236">
        <f t="shared" si="89"/>
        <v>592</v>
      </c>
      <c r="AI233" s="236">
        <f>IF($AH233&gt;$AH232,INDEX(Spectra!233:233,1,MATCH($AI$20,Spectra!$20:$20,0)),AI232)</f>
        <v>1</v>
      </c>
      <c r="AJ233" s="236">
        <f>((Physics!$C$9*Physics!$C$10)/(Physics!$C$11*Physics!$C$12*$AH233))^($AJ$17-$AJ$18)</f>
        <v>2.98103146314752e+18</v>
      </c>
      <c r="AK233" s="236">
        <f t="shared" si="90"/>
        <v>1</v>
      </c>
      <c r="AL233" s="236">
        <f ca="1">INDEX(Photobiology!$21:$421,1+$AH233-380,10)</f>
        <v>0.7324224</v>
      </c>
      <c r="AM233" s="236">
        <f ca="1" t="shared" si="91"/>
        <v>13.3319879209511</v>
      </c>
      <c r="AN233" s="236">
        <f ca="1">INDEX(Photobiology!$21:$421,1+$AH233-380,AN$14)</f>
        <v>1.08991843914335e-5</v>
      </c>
      <c r="AO233" s="236">
        <f ca="1">INDEX(Photobiology!$21:$421,1+$AH233-380,AO$14)</f>
        <v>0.536026178095208</v>
      </c>
      <c r="AP233" s="236">
        <f ca="1">INDEX(Photobiology!$21:$421,1+$AH233-380,AP$14)</f>
        <v>0.915518237397413</v>
      </c>
      <c r="AQ233" s="236">
        <f ca="1">INDEX(Photobiology!$21:$421,1+$AH233-380,AQ$14)</f>
        <v>0.072861314141457</v>
      </c>
      <c r="AR233" s="236">
        <f ca="1">INDEX(Photobiology!$21:$421,1+$AH233-380,AR$14)</f>
        <v>0.00996354760119383</v>
      </c>
      <c r="AS233" s="236">
        <f ca="1" t="shared" si="92"/>
        <v>3.97430754586581e+19</v>
      </c>
      <c r="AT233" s="236">
        <f ca="1">INDEX(Photobiology!$21:$421,1+$AH233-380,AT$14)</f>
        <v>8.10074515579517e-6</v>
      </c>
      <c r="AU233" s="236">
        <f ca="1">INDEX(Photobiology!$21:$421,1+$AH233-380,AU$14)</f>
        <v>0.491687942525074</v>
      </c>
      <c r="AV233" s="236">
        <f ca="1">INDEX(Photobiology!$21:$421,1+$AH233-380,AV$14)</f>
        <v>0.880376319201001</v>
      </c>
      <c r="AW233" s="236">
        <f ca="1">INDEX(Photobiology!$21:$421,1+$AH233-380,AW$14)</f>
        <v>0.0627363150000199</v>
      </c>
      <c r="AX233" s="236">
        <f ca="1">INDEX(Photobiology!$21:$421,1+$AH233-380,AX$14)</f>
        <v>0.0082262755842043</v>
      </c>
      <c r="AY233" s="236">
        <f ca="1" t="shared" si="79"/>
        <v>13.3319879209511</v>
      </c>
      <c r="AZ233" s="236">
        <f ca="1" t="shared" si="93"/>
        <v>0.000145307794654811</v>
      </c>
      <c r="BA233" s="236">
        <f ca="1" t="shared" si="80"/>
        <v>7.14629453167892</v>
      </c>
      <c r="BB233" s="236">
        <f ca="1" t="shared" si="81"/>
        <v>12.2056780823928</v>
      </c>
      <c r="BC233" s="236">
        <f ca="1" t="shared" si="82"/>
        <v>0.971386160038531</v>
      </c>
      <c r="BD233" s="236">
        <f ca="1" t="shared" si="83"/>
        <v>0.132833896268938</v>
      </c>
    </row>
    <row r="234" s="234" customFormat="1" ht="0.2" customHeight="1" spans="7:56">
      <c r="G234" s="236"/>
      <c r="H234" s="236">
        <f t="shared" si="84"/>
        <v>593</v>
      </c>
      <c r="I234" s="236">
        <f>IF($H234&gt;$H233,INDEX(Spectra!234:234,1,MATCH($I$20,Spectra!$20:$20,0)),I233)</f>
        <v>13.6922462505665</v>
      </c>
      <c r="J234" s="236">
        <f>((Physics!$C$9*Physics!$C$10)/(Physics!$C$11*Physics!$C$12*$H234))^($J$17-$J$18)</f>
        <v>2.9860669892677e+18</v>
      </c>
      <c r="K234" s="236">
        <f t="shared" si="85"/>
        <v>1</v>
      </c>
      <c r="L234" s="236">
        <f ca="1">INDEX(Photobiology!$21:$421,1+$H234-380,10)</f>
        <v>0.7200036</v>
      </c>
      <c r="M234" s="236">
        <f ca="1" t="shared" si="86"/>
        <v>13.6922462505665</v>
      </c>
      <c r="N234" s="236">
        <f ca="1">INDEX(Photobiology!$21:$421,1+$H234-380,N$14)</f>
        <v>1.00627805115143e-5</v>
      </c>
      <c r="O234" s="236">
        <f ca="1">INDEX(Photobiology!$21:$421,1+$H234-380,O$14)</f>
        <v>0.519934936032278</v>
      </c>
      <c r="P234" s="236">
        <f ca="1">INDEX(Photobiology!$21:$421,1+$H234-380,P$14)</f>
        <v>0.90677387665749</v>
      </c>
      <c r="Q234" s="236">
        <f ca="1">INDEX(Photobiology!$21:$421,1+$H234-380,Q$14)</f>
        <v>0.0677554134918828</v>
      </c>
      <c r="R234" s="236">
        <f ca="1">INDEX(Photobiology!$21:$421,1+$H234-380,R$14)</f>
        <v>0.00915769130748038</v>
      </c>
      <c r="S234" s="236">
        <f ca="1" t="shared" si="87"/>
        <v>4.08859645377411e+19</v>
      </c>
      <c r="T234" s="236">
        <f ca="1">INDEX(Photobiology!$21:$421,1+$H234-380,T$14)</f>
        <v>7.46648132388919e-6</v>
      </c>
      <c r="U234" s="236">
        <f ca="1">INDEX(Photobiology!$21:$421,1+$H234-380,U$14)</f>
        <v>0.476123449888774</v>
      </c>
      <c r="V234" s="236">
        <f ca="1">INDEX(Photobiology!$21:$421,1+$H234-380,V$14)</f>
        <v>0.87049717395105</v>
      </c>
      <c r="W234" s="236">
        <f ca="1">INDEX(Photobiology!$21:$421,1+$H234-380,W$14)</f>
        <v>0.058241562666374</v>
      </c>
      <c r="X234" s="236">
        <f ca="1">INDEX(Photobiology!$21:$421,1+$H234-380,X$14)</f>
        <v>0.00754818034233717</v>
      </c>
      <c r="Y234" s="236">
        <f ca="1" t="shared" si="74"/>
        <v>13.6922462505665</v>
      </c>
      <c r="Z234" s="236">
        <f ca="1" t="shared" si="88"/>
        <v>0.000137782068729055</v>
      </c>
      <c r="AA234" s="236">
        <f ca="1" t="shared" si="75"/>
        <v>7.11907717842649</v>
      </c>
      <c r="AB234" s="236">
        <f ca="1" t="shared" si="76"/>
        <v>12.4157712127752</v>
      </c>
      <c r="AC234" s="236">
        <f ca="1" t="shared" si="77"/>
        <v>0.927723806339815</v>
      </c>
      <c r="AD234" s="236">
        <f ca="1" t="shared" si="78"/>
        <v>0.125389364468694</v>
      </c>
      <c r="AE234" s="236"/>
      <c r="AF234" s="236"/>
      <c r="AG234" s="236"/>
      <c r="AH234" s="236">
        <f t="shared" si="89"/>
        <v>593</v>
      </c>
      <c r="AI234" s="236">
        <f>IF($AH234&gt;$AH233,INDEX(Spectra!234:234,1,MATCH($AI$20,Spectra!$20:$20,0)),AI233)</f>
        <v>1</v>
      </c>
      <c r="AJ234" s="236">
        <f>((Physics!$C$9*Physics!$C$10)/(Physics!$C$11*Physics!$C$12*$AH234))^($AJ$17-$AJ$18)</f>
        <v>2.9860669892677e+18</v>
      </c>
      <c r="AK234" s="236">
        <f t="shared" si="90"/>
        <v>1</v>
      </c>
      <c r="AL234" s="236">
        <f ca="1">INDEX(Photobiology!$21:$421,1+$AH234-380,10)</f>
        <v>0.7200036</v>
      </c>
      <c r="AM234" s="236">
        <f ca="1" t="shared" si="91"/>
        <v>13.3319879209511</v>
      </c>
      <c r="AN234" s="236">
        <f ca="1">INDEX(Photobiology!$21:$421,1+$AH234-380,AN$14)</f>
        <v>1.00627805115143e-5</v>
      </c>
      <c r="AO234" s="236">
        <f ca="1">INDEX(Photobiology!$21:$421,1+$AH234-380,AO$14)</f>
        <v>0.519934936032278</v>
      </c>
      <c r="AP234" s="236">
        <f ca="1">INDEX(Photobiology!$21:$421,1+$AH234-380,AP$14)</f>
        <v>0.90677387665749</v>
      </c>
      <c r="AQ234" s="236">
        <f ca="1">INDEX(Photobiology!$21:$421,1+$AH234-380,AQ$14)</f>
        <v>0.0677554134918828</v>
      </c>
      <c r="AR234" s="236">
        <f ca="1">INDEX(Photobiology!$21:$421,1+$AH234-380,AR$14)</f>
        <v>0.00915769130748038</v>
      </c>
      <c r="AS234" s="236">
        <f ca="1" t="shared" si="92"/>
        <v>3.98102090320679e+19</v>
      </c>
      <c r="AT234" s="236">
        <f ca="1">INDEX(Photobiology!$21:$421,1+$AH234-380,AT$14)</f>
        <v>7.46648132388919e-6</v>
      </c>
      <c r="AU234" s="236">
        <f ca="1">INDEX(Photobiology!$21:$421,1+$AH234-380,AU$14)</f>
        <v>0.476123449888774</v>
      </c>
      <c r="AV234" s="236">
        <f ca="1">INDEX(Photobiology!$21:$421,1+$AH234-380,AV$14)</f>
        <v>0.87049717395105</v>
      </c>
      <c r="AW234" s="236">
        <f ca="1">INDEX(Photobiology!$21:$421,1+$AH234-380,AW$14)</f>
        <v>0.058241562666374</v>
      </c>
      <c r="AX234" s="236">
        <f ca="1">INDEX(Photobiology!$21:$421,1+$AH234-380,AX$14)</f>
        <v>0.00754818034233717</v>
      </c>
      <c r="AY234" s="236">
        <f ca="1" t="shared" si="79"/>
        <v>13.3319879209511</v>
      </c>
      <c r="AZ234" s="236">
        <f ca="1" t="shared" si="93"/>
        <v>0.000134156868230691</v>
      </c>
      <c r="BA234" s="236">
        <f ca="1" t="shared" si="80"/>
        <v>6.93176628686283</v>
      </c>
      <c r="BB234" s="236">
        <f ca="1" t="shared" si="81"/>
        <v>12.0890983706317</v>
      </c>
      <c r="BC234" s="236">
        <f ca="1" t="shared" si="82"/>
        <v>0.903314354252831</v>
      </c>
      <c r="BD234" s="236">
        <f ca="1" t="shared" si="83"/>
        <v>0.122090229895128</v>
      </c>
    </row>
    <row r="235" s="234" customFormat="1" ht="0.2" customHeight="1" spans="7:56">
      <c r="G235" s="236"/>
      <c r="H235" s="236">
        <f t="shared" si="84"/>
        <v>594</v>
      </c>
      <c r="I235" s="236">
        <f>IF($H235&gt;$H234,INDEX(Spectra!235:235,1,MATCH($I$20,Spectra!$20:$20,0)),I234)</f>
        <v>13.8196072576718</v>
      </c>
      <c r="J235" s="236">
        <f>((Physics!$C$9*Physics!$C$10)/(Physics!$C$11*Physics!$C$12*$H235))^($J$17-$J$18)</f>
        <v>2.99110251538788e+18</v>
      </c>
      <c r="K235" s="236">
        <f t="shared" si="85"/>
        <v>1</v>
      </c>
      <c r="L235" s="236">
        <f ca="1">INDEX(Photobiology!$21:$421,1+$H235-380,10)</f>
        <v>0.7074965</v>
      </c>
      <c r="M235" s="236">
        <f ca="1" t="shared" si="86"/>
        <v>13.8196072576718</v>
      </c>
      <c r="N235" s="236">
        <f ca="1">INDEX(Photobiology!$21:$421,1+$H235-380,N$14)</f>
        <v>9.29312973330527e-6</v>
      </c>
      <c r="O235" s="236">
        <f ca="1">INDEX(Photobiology!$21:$421,1+$H235-380,O$14)</f>
        <v>0.503910026763022</v>
      </c>
      <c r="P235" s="236">
        <f ca="1">INDEX(Photobiology!$21:$421,1+$H235-380,P$14)</f>
        <v>0.897649927200165</v>
      </c>
      <c r="Q235" s="236">
        <f ca="1">INDEX(Photobiology!$21:$421,1+$H235-380,Q$14)</f>
        <v>0.0629636650615054</v>
      </c>
      <c r="R235" s="236">
        <f ca="1">INDEX(Photobiology!$21:$421,1+$H235-380,R$14)</f>
        <v>0.00841623784006864</v>
      </c>
      <c r="S235" s="236">
        <f ca="1" t="shared" si="87"/>
        <v>4.13358620300947e+19</v>
      </c>
      <c r="T235" s="236">
        <f ca="1">INDEX(Photobiology!$21:$421,1+$H235-380,T$14)</f>
        <v>6.88379980244835e-6</v>
      </c>
      <c r="U235" s="236">
        <f ca="1">INDEX(Photobiology!$21:$421,1+$H235-380,U$14)</f>
        <v>0.460672004056889</v>
      </c>
      <c r="V235" s="236">
        <f ca="1">INDEX(Photobiology!$21:$421,1+$H235-380,V$14)</f>
        <v>0.860287502526424</v>
      </c>
      <c r="W235" s="236">
        <f ca="1">INDEX(Photobiology!$21:$421,1+$H235-380,W$14)</f>
        <v>0.0540315302189225</v>
      </c>
      <c r="X235" s="236">
        <f ca="1">INDEX(Photobiology!$21:$421,1+$H235-380,X$14)</f>
        <v>0.00692536258396143</v>
      </c>
      <c r="Y235" s="236">
        <f ca="1" t="shared" si="74"/>
        <v>13.8196072576718</v>
      </c>
      <c r="Z235" s="236">
        <f ca="1" t="shared" si="88"/>
        <v>0.000128427403108871</v>
      </c>
      <c r="AA235" s="236">
        <f ca="1" t="shared" si="75"/>
        <v>6.96383866306785</v>
      </c>
      <c r="AB235" s="236">
        <f ca="1" t="shared" si="76"/>
        <v>12.405169448784</v>
      </c>
      <c r="AC235" s="236">
        <f ca="1" t="shared" si="77"/>
        <v>0.870133122653596</v>
      </c>
      <c r="AD235" s="236">
        <f ca="1" t="shared" si="78"/>
        <v>0.116309101536905</v>
      </c>
      <c r="AE235" s="236"/>
      <c r="AF235" s="236"/>
      <c r="AG235" s="236"/>
      <c r="AH235" s="236">
        <f t="shared" si="89"/>
        <v>594</v>
      </c>
      <c r="AI235" s="236">
        <f>IF($AH235&gt;$AH234,INDEX(Spectra!235:235,1,MATCH($AI$20,Spectra!$20:$20,0)),AI234)</f>
        <v>1</v>
      </c>
      <c r="AJ235" s="236">
        <f>((Physics!$C$9*Physics!$C$10)/(Physics!$C$11*Physics!$C$12*$AH235))^($AJ$17-$AJ$18)</f>
        <v>2.99110251538788e+18</v>
      </c>
      <c r="AK235" s="236">
        <f t="shared" si="90"/>
        <v>1</v>
      </c>
      <c r="AL235" s="236">
        <f ca="1">INDEX(Photobiology!$21:$421,1+$AH235-380,10)</f>
        <v>0.7074965</v>
      </c>
      <c r="AM235" s="236">
        <f ca="1" t="shared" si="91"/>
        <v>13.3319879209511</v>
      </c>
      <c r="AN235" s="236">
        <f ca="1">INDEX(Photobiology!$21:$421,1+$AH235-380,AN$14)</f>
        <v>9.29312973330527e-6</v>
      </c>
      <c r="AO235" s="236">
        <f ca="1">INDEX(Photobiology!$21:$421,1+$AH235-380,AO$14)</f>
        <v>0.503910026763022</v>
      </c>
      <c r="AP235" s="236">
        <f ca="1">INDEX(Photobiology!$21:$421,1+$AH235-380,AP$14)</f>
        <v>0.897649927200165</v>
      </c>
      <c r="AQ235" s="236">
        <f ca="1">INDEX(Photobiology!$21:$421,1+$AH235-380,AQ$14)</f>
        <v>0.0629636650615054</v>
      </c>
      <c r="AR235" s="236">
        <f ca="1">INDEX(Photobiology!$21:$421,1+$AH235-380,AR$14)</f>
        <v>0.00841623784006864</v>
      </c>
      <c r="AS235" s="236">
        <f ca="1" t="shared" si="92"/>
        <v>3.98773426054778e+19</v>
      </c>
      <c r="AT235" s="236">
        <f ca="1">INDEX(Photobiology!$21:$421,1+$AH235-380,AT$14)</f>
        <v>6.88379980244835e-6</v>
      </c>
      <c r="AU235" s="236">
        <f ca="1">INDEX(Photobiology!$21:$421,1+$AH235-380,AU$14)</f>
        <v>0.460672004056889</v>
      </c>
      <c r="AV235" s="236">
        <f ca="1">INDEX(Photobiology!$21:$421,1+$AH235-380,AV$14)</f>
        <v>0.860287502526424</v>
      </c>
      <c r="AW235" s="236">
        <f ca="1">INDEX(Photobiology!$21:$421,1+$AH235-380,AW$14)</f>
        <v>0.0540315302189225</v>
      </c>
      <c r="AX235" s="236">
        <f ca="1">INDEX(Photobiology!$21:$421,1+$AH235-380,AX$14)</f>
        <v>0.00692536258396143</v>
      </c>
      <c r="AY235" s="236">
        <f ca="1" t="shared" si="79"/>
        <v>13.3319879209511</v>
      </c>
      <c r="AZ235" s="236">
        <f ca="1" t="shared" si="93"/>
        <v>0.000123895893352258</v>
      </c>
      <c r="BA235" s="236">
        <f ca="1" t="shared" si="80"/>
        <v>6.71812239005077</v>
      </c>
      <c r="BB235" s="236">
        <f ca="1" t="shared" si="81"/>
        <v>11.9674579866753</v>
      </c>
      <c r="BC235" s="236">
        <f ca="1" t="shared" si="82"/>
        <v>0.839430822058803</v>
      </c>
      <c r="BD235" s="236">
        <f ca="1" t="shared" si="83"/>
        <v>0.112205181223647</v>
      </c>
    </row>
    <row r="236" s="234" customFormat="1" ht="0.2" customHeight="1" spans="7:56">
      <c r="G236" s="236"/>
      <c r="H236" s="236">
        <f t="shared" si="84"/>
        <v>595</v>
      </c>
      <c r="I236" s="236">
        <f>IF($H236&gt;$H235,INDEX(Spectra!236:236,1,MATCH($I$20,Spectra!$20:$20,0)),I235)</f>
        <v>13.9557416639113</v>
      </c>
      <c r="J236" s="236">
        <f>((Physics!$C$9*Physics!$C$10)/(Physics!$C$11*Physics!$C$12*$H236))^($J$17-$J$18)</f>
        <v>2.99613804150807e+18</v>
      </c>
      <c r="K236" s="236">
        <f t="shared" si="85"/>
        <v>1</v>
      </c>
      <c r="L236" s="236">
        <f ca="1">INDEX(Photobiology!$21:$421,1+$H236-380,10)</f>
        <v>0.6949</v>
      </c>
      <c r="M236" s="236">
        <f ca="1" t="shared" si="86"/>
        <v>13.9557416639113</v>
      </c>
      <c r="N236" s="236">
        <f ca="1">INDEX(Photobiology!$21:$421,1+$H236-380,N$14)</f>
        <v>8.58467780259437e-6</v>
      </c>
      <c r="O236" s="236">
        <f ca="1">INDEX(Photobiology!$21:$421,1+$H236-380,O$14)</f>
        <v>0.487968738487352</v>
      </c>
      <c r="P236" s="236">
        <f ca="1">INDEX(Photobiology!$21:$421,1+$H236-380,P$14)</f>
        <v>0.888155480445092</v>
      </c>
      <c r="Q236" s="236">
        <f ca="1">INDEX(Photobiology!$21:$421,1+$H236-380,Q$14)</f>
        <v>0.058472276157344</v>
      </c>
      <c r="R236" s="236">
        <f ca="1">INDEX(Photobiology!$21:$421,1+$H236-380,R$14)</f>
        <v>0.00773429975799807</v>
      </c>
      <c r="S236" s="236">
        <f ca="1" t="shared" si="87"/>
        <v>4.18133284967038e+19</v>
      </c>
      <c r="T236" s="236">
        <f ca="1">INDEX(Photobiology!$21:$421,1+$H236-380,T$14)</f>
        <v>6.34833316494374e-6</v>
      </c>
      <c r="U236" s="236">
        <f ca="1">INDEX(Photobiology!$21:$421,1+$H236-380,U$14)</f>
        <v>0.445348813268003</v>
      </c>
      <c r="V236" s="236">
        <f ca="1">INDEX(Photobiology!$21:$421,1+$H236-380,V$14)</f>
        <v>0.849757669814066</v>
      </c>
      <c r="W236" s="236">
        <f ca="1">INDEX(Photobiology!$21:$421,1+$H236-380,W$14)</f>
        <v>0.0500929659501065</v>
      </c>
      <c r="X236" s="236">
        <f ca="1">INDEX(Photobiology!$21:$421,1+$H236-380,X$14)</f>
        <v>0.00635352869180041</v>
      </c>
      <c r="Y236" s="236">
        <f ca="1" t="shared" si="74"/>
        <v>13.9557416639113</v>
      </c>
      <c r="Z236" s="236">
        <f ca="1" t="shared" si="88"/>
        <v>0.000119805545680921</v>
      </c>
      <c r="AA236" s="236">
        <f ca="1" t="shared" si="75"/>
        <v>6.80996565439418</v>
      </c>
      <c r="AB236" s="236">
        <f ca="1" t="shared" si="76"/>
        <v>12.3948684424787</v>
      </c>
      <c r="AC236" s="236">
        <f ca="1" t="shared" si="77"/>
        <v>0.816023980552773</v>
      </c>
      <c r="AD236" s="236">
        <f ca="1" t="shared" si="78"/>
        <v>0.107937889373873</v>
      </c>
      <c r="AE236" s="236"/>
      <c r="AF236" s="236"/>
      <c r="AG236" s="236"/>
      <c r="AH236" s="236">
        <f t="shared" si="89"/>
        <v>595</v>
      </c>
      <c r="AI236" s="236">
        <f>IF($AH236&gt;$AH235,INDEX(Spectra!236:236,1,MATCH($AI$20,Spectra!$20:$20,0)),AI235)</f>
        <v>1</v>
      </c>
      <c r="AJ236" s="236">
        <f>((Physics!$C$9*Physics!$C$10)/(Physics!$C$11*Physics!$C$12*$AH236))^($AJ$17-$AJ$18)</f>
        <v>2.99613804150807e+18</v>
      </c>
      <c r="AK236" s="236">
        <f t="shared" si="90"/>
        <v>1</v>
      </c>
      <c r="AL236" s="236">
        <f ca="1">INDEX(Photobiology!$21:$421,1+$AH236-380,10)</f>
        <v>0.6949</v>
      </c>
      <c r="AM236" s="236">
        <f ca="1" t="shared" si="91"/>
        <v>13.3319879209511</v>
      </c>
      <c r="AN236" s="236">
        <f ca="1">INDEX(Photobiology!$21:$421,1+$AH236-380,AN$14)</f>
        <v>8.58467780259437e-6</v>
      </c>
      <c r="AO236" s="236">
        <f ca="1">INDEX(Photobiology!$21:$421,1+$AH236-380,AO$14)</f>
        <v>0.487968738487352</v>
      </c>
      <c r="AP236" s="236">
        <f ca="1">INDEX(Photobiology!$21:$421,1+$AH236-380,AP$14)</f>
        <v>0.888155480445092</v>
      </c>
      <c r="AQ236" s="236">
        <f ca="1">INDEX(Photobiology!$21:$421,1+$AH236-380,AQ$14)</f>
        <v>0.058472276157344</v>
      </c>
      <c r="AR236" s="236">
        <f ca="1">INDEX(Photobiology!$21:$421,1+$AH236-380,AR$14)</f>
        <v>0.00773429975799807</v>
      </c>
      <c r="AS236" s="236">
        <f ca="1" t="shared" si="92"/>
        <v>3.99444761788877e+19</v>
      </c>
      <c r="AT236" s="236">
        <f ca="1">INDEX(Photobiology!$21:$421,1+$AH236-380,AT$14)</f>
        <v>6.34833316494374e-6</v>
      </c>
      <c r="AU236" s="236">
        <f ca="1">INDEX(Photobiology!$21:$421,1+$AH236-380,AU$14)</f>
        <v>0.445348813268003</v>
      </c>
      <c r="AV236" s="236">
        <f ca="1">INDEX(Photobiology!$21:$421,1+$AH236-380,AV$14)</f>
        <v>0.849757669814066</v>
      </c>
      <c r="AW236" s="236">
        <f ca="1">INDEX(Photobiology!$21:$421,1+$AH236-380,AW$14)</f>
        <v>0.0500929659501065</v>
      </c>
      <c r="AX236" s="236">
        <f ca="1">INDEX(Photobiology!$21:$421,1+$AH236-380,AX$14)</f>
        <v>0.00635352869180041</v>
      </c>
      <c r="AY236" s="236">
        <f ca="1" t="shared" si="79"/>
        <v>13.3319879209511</v>
      </c>
      <c r="AZ236" s="236">
        <f ca="1" t="shared" si="93"/>
        <v>0.000114450820769446</v>
      </c>
      <c r="BA236" s="236">
        <f ca="1" t="shared" si="80"/>
        <v>6.50559332731514</v>
      </c>
      <c r="BB236" s="236">
        <f ca="1" t="shared" si="81"/>
        <v>11.8408781372205</v>
      </c>
      <c r="BC236" s="236">
        <f ca="1" t="shared" si="82"/>
        <v>0.77955167944023</v>
      </c>
      <c r="BD236" s="236">
        <f ca="1" t="shared" si="83"/>
        <v>0.103113590950646</v>
      </c>
    </row>
    <row r="237" s="234" customFormat="1" ht="0.2" customHeight="1" spans="7:56">
      <c r="G237" s="236"/>
      <c r="H237" s="236">
        <f t="shared" si="84"/>
        <v>596</v>
      </c>
      <c r="I237" s="236">
        <f>IF($H237&gt;$H236,INDEX(Spectra!237:237,1,MATCH($I$20,Spectra!$20:$20,0)),I236)</f>
        <v>14.1088265501196</v>
      </c>
      <c r="J237" s="236">
        <f>((Physics!$C$9*Physics!$C$10)/(Physics!$C$11*Physics!$C$12*$H237))^($J$17-$J$18)</f>
        <v>3.00117356762825e+18</v>
      </c>
      <c r="K237" s="236">
        <f t="shared" si="85"/>
        <v>1</v>
      </c>
      <c r="L237" s="236">
        <f ca="1">INDEX(Photobiology!$21:$421,1+$H237-380,10)</f>
        <v>0.6822192</v>
      </c>
      <c r="M237" s="236">
        <f ca="1" t="shared" si="86"/>
        <v>14.1088265501196</v>
      </c>
      <c r="N237" s="236">
        <f ca="1">INDEX(Photobiology!$21:$421,1+$H237-380,N$14)</f>
        <v>7.93240719893208e-6</v>
      </c>
      <c r="O237" s="236">
        <f ca="1">INDEX(Photobiology!$21:$421,1+$H237-380,O$14)</f>
        <v>0.472130437924209</v>
      </c>
      <c r="P237" s="236">
        <f ca="1">INDEX(Photobiology!$21:$421,1+$H237-380,P$14)</f>
        <v>0.87829619240474</v>
      </c>
      <c r="Q237" s="236">
        <f ca="1">INDEX(Photobiology!$21:$421,1+$H237-380,Q$14)</f>
        <v>0.054267273215719</v>
      </c>
      <c r="R237" s="236">
        <f ca="1">INDEX(Photobiology!$21:$421,1+$H237-380,R$14)</f>
        <v>0.00710722394409093</v>
      </c>
      <c r="S237" s="236">
        <f ca="1" t="shared" si="87"/>
        <v>4.23430373124706e+19</v>
      </c>
      <c r="T237" s="236">
        <f ca="1">INDEX(Photobiology!$21:$421,1+$H237-380,T$14)</f>
        <v>5.85613954283576e-6</v>
      </c>
      <c r="U237" s="236">
        <f ca="1">INDEX(Photobiology!$21:$421,1+$H237-380,U$14)</f>
        <v>0.430170877487176</v>
      </c>
      <c r="V237" s="236">
        <f ca="1">INDEX(Photobiology!$21:$421,1+$H237-380,V$14)</f>
        <v>0.838914689769315</v>
      </c>
      <c r="W237" s="236">
        <f ca="1">INDEX(Photobiology!$21:$421,1+$H237-380,W$14)</f>
        <v>0.04641255239878</v>
      </c>
      <c r="X237" s="236">
        <f ca="1">INDEX(Photobiology!$21:$421,1+$H237-380,X$14)</f>
        <v>0.0058286060328012</v>
      </c>
      <c r="Y237" s="236">
        <f ca="1" t="shared" si="74"/>
        <v>14.1088265501196</v>
      </c>
      <c r="Z237" s="236">
        <f ca="1" t="shared" si="88"/>
        <v>0.000111916957294653</v>
      </c>
      <c r="AA237" s="236">
        <f ca="1" t="shared" si="75"/>
        <v>6.66120645770467</v>
      </c>
      <c r="AB237" s="236">
        <f ca="1" t="shared" si="76"/>
        <v>12.3917286382689</v>
      </c>
      <c r="AC237" s="236">
        <f ca="1" t="shared" si="77"/>
        <v>0.765647545148531</v>
      </c>
      <c r="AD237" s="236">
        <f ca="1" t="shared" si="78"/>
        <v>0.100274589880036</v>
      </c>
      <c r="AE237" s="236"/>
      <c r="AF237" s="236"/>
      <c r="AG237" s="236"/>
      <c r="AH237" s="236">
        <f t="shared" si="89"/>
        <v>596</v>
      </c>
      <c r="AI237" s="236">
        <f>IF($AH237&gt;$AH236,INDEX(Spectra!237:237,1,MATCH($AI$20,Spectra!$20:$20,0)),AI236)</f>
        <v>1</v>
      </c>
      <c r="AJ237" s="236">
        <f>((Physics!$C$9*Physics!$C$10)/(Physics!$C$11*Physics!$C$12*$AH237))^($AJ$17-$AJ$18)</f>
        <v>3.00117356762825e+18</v>
      </c>
      <c r="AK237" s="236">
        <f t="shared" si="90"/>
        <v>1</v>
      </c>
      <c r="AL237" s="236">
        <f ca="1">INDEX(Photobiology!$21:$421,1+$AH237-380,10)</f>
        <v>0.6822192</v>
      </c>
      <c r="AM237" s="236">
        <f ca="1" t="shared" si="91"/>
        <v>13.3319879209511</v>
      </c>
      <c r="AN237" s="236">
        <f ca="1">INDEX(Photobiology!$21:$421,1+$AH237-380,AN$14)</f>
        <v>7.93240719893208e-6</v>
      </c>
      <c r="AO237" s="236">
        <f ca="1">INDEX(Photobiology!$21:$421,1+$AH237-380,AO$14)</f>
        <v>0.472130437924209</v>
      </c>
      <c r="AP237" s="236">
        <f ca="1">INDEX(Photobiology!$21:$421,1+$AH237-380,AP$14)</f>
        <v>0.87829619240474</v>
      </c>
      <c r="AQ237" s="236">
        <f ca="1">INDEX(Photobiology!$21:$421,1+$AH237-380,AQ$14)</f>
        <v>0.054267273215719</v>
      </c>
      <c r="AR237" s="236">
        <f ca="1">INDEX(Photobiology!$21:$421,1+$AH237-380,AR$14)</f>
        <v>0.00710722394409093</v>
      </c>
      <c r="AS237" s="236">
        <f ca="1" t="shared" si="92"/>
        <v>4.00116097522976e+19</v>
      </c>
      <c r="AT237" s="236">
        <f ca="1">INDEX(Photobiology!$21:$421,1+$AH237-380,AT$14)</f>
        <v>5.85613954283576e-6</v>
      </c>
      <c r="AU237" s="236">
        <f ca="1">INDEX(Photobiology!$21:$421,1+$AH237-380,AU$14)</f>
        <v>0.430170877487176</v>
      </c>
      <c r="AV237" s="236">
        <f ca="1">INDEX(Photobiology!$21:$421,1+$AH237-380,AV$14)</f>
        <v>0.838914689769315</v>
      </c>
      <c r="AW237" s="236">
        <f ca="1">INDEX(Photobiology!$21:$421,1+$AH237-380,AW$14)</f>
        <v>0.04641255239878</v>
      </c>
      <c r="AX237" s="236">
        <f ca="1">INDEX(Photobiology!$21:$421,1+$AH237-380,AX$14)</f>
        <v>0.0058286060328012</v>
      </c>
      <c r="AY237" s="236">
        <f ca="1" t="shared" si="79"/>
        <v>13.3319879209511</v>
      </c>
      <c r="AZ237" s="236">
        <f ca="1" t="shared" si="93"/>
        <v>0.000105754756960228</v>
      </c>
      <c r="BA237" s="236">
        <f ca="1" t="shared" si="80"/>
        <v>6.29443729551893</v>
      </c>
      <c r="BB237" s="236">
        <f ca="1" t="shared" si="81"/>
        <v>11.7094342281574</v>
      </c>
      <c r="BC237" s="236">
        <f ca="1" t="shared" si="82"/>
        <v>0.723490631014921</v>
      </c>
      <c r="BD237" s="236">
        <f ca="1" t="shared" si="83"/>
        <v>0.094753423774115</v>
      </c>
    </row>
    <row r="238" s="234" customFormat="1" ht="0.2" customHeight="1" spans="7:56">
      <c r="G238" s="236"/>
      <c r="H238" s="236">
        <f t="shared" si="84"/>
        <v>597</v>
      </c>
      <c r="I238" s="236">
        <f>IF($H238&gt;$H237,INDEX(Spectra!238:238,1,MATCH($I$20,Spectra!$20:$20,0)),I237)</f>
        <v>14.3049762191587</v>
      </c>
      <c r="J238" s="236">
        <f>((Physics!$C$9*Physics!$C$10)/(Physics!$C$11*Physics!$C$12*$H238))^($J$17-$J$18)</f>
        <v>3.00620909374843e+18</v>
      </c>
      <c r="K238" s="236">
        <f t="shared" si="85"/>
        <v>1</v>
      </c>
      <c r="L238" s="236">
        <f ca="1">INDEX(Photobiology!$21:$421,1+$H238-380,10)</f>
        <v>0.6694716</v>
      </c>
      <c r="M238" s="236">
        <f ca="1" t="shared" si="86"/>
        <v>14.3049762191587</v>
      </c>
      <c r="N238" s="236">
        <f ca="1">INDEX(Photobiology!$21:$421,1+$H238-380,N$14)</f>
        <v>7.33168841730695e-6</v>
      </c>
      <c r="O238" s="236">
        <f ca="1">INDEX(Photobiology!$21:$421,1+$H238-380,O$14)</f>
        <v>0.456415095641635</v>
      </c>
      <c r="P238" s="236">
        <f ca="1">INDEX(Photobiology!$21:$421,1+$H238-380,P$14)</f>
        <v>0.868080498761263</v>
      </c>
      <c r="Q238" s="236">
        <f ca="1">INDEX(Photobiology!$21:$421,1+$H238-380,Q$14)</f>
        <v>0.0503347597446824</v>
      </c>
      <c r="R238" s="236">
        <f ca="1">INDEX(Photobiology!$21:$421,1+$H238-380,R$14)</f>
        <v>0.00653077918664798</v>
      </c>
      <c r="S238" s="236">
        <f ca="1" t="shared" si="87"/>
        <v>4.30037495958899e+19</v>
      </c>
      <c r="T238" s="236">
        <f ca="1">INDEX(Photobiology!$21:$421,1+$H238-380,T$14)</f>
        <v>5.40358945329155e-6</v>
      </c>
      <c r="U238" s="236">
        <f ca="1">INDEX(Photobiology!$21:$421,1+$H238-380,U$14)</f>
        <v>0.41515563203861</v>
      </c>
      <c r="V238" s="236">
        <f ca="1">INDEX(Photobiology!$21:$421,1+$H238-380,V$14)</f>
        <v>0.82776817993895</v>
      </c>
      <c r="W238" s="236">
        <f ca="1">INDEX(Photobiology!$21:$421,1+$H238-380,W$14)</f>
        <v>0.0429771271388665</v>
      </c>
      <c r="X238" s="236">
        <f ca="1">INDEX(Photobiology!$21:$421,1+$H238-380,X$14)</f>
        <v>0.00534689468466655</v>
      </c>
      <c r="Y238" s="236">
        <f ca="1" t="shared" si="74"/>
        <v>14.3049762191587</v>
      </c>
      <c r="Z238" s="236">
        <f ca="1" t="shared" si="88"/>
        <v>0.000104879628455857</v>
      </c>
      <c r="AA238" s="236">
        <f ca="1" t="shared" si="75"/>
        <v>6.52900708921863</v>
      </c>
      <c r="AB238" s="236">
        <f ca="1" t="shared" si="76"/>
        <v>12.4178708910953</v>
      </c>
      <c r="AC238" s="236">
        <f ca="1" t="shared" si="77"/>
        <v>0.720037541144748</v>
      </c>
      <c r="AD238" s="236">
        <f ca="1" t="shared" si="78"/>
        <v>0.0934226409575759</v>
      </c>
      <c r="AE238" s="236"/>
      <c r="AF238" s="236"/>
      <c r="AG238" s="236"/>
      <c r="AH238" s="236">
        <f t="shared" si="89"/>
        <v>597</v>
      </c>
      <c r="AI238" s="236">
        <f>IF($AH238&gt;$AH237,INDEX(Spectra!238:238,1,MATCH($AI$20,Spectra!$20:$20,0)),AI237)</f>
        <v>1</v>
      </c>
      <c r="AJ238" s="236">
        <f>((Physics!$C$9*Physics!$C$10)/(Physics!$C$11*Physics!$C$12*$AH238))^($AJ$17-$AJ$18)</f>
        <v>3.00620909374843e+18</v>
      </c>
      <c r="AK238" s="236">
        <f t="shared" si="90"/>
        <v>1</v>
      </c>
      <c r="AL238" s="236">
        <f ca="1">INDEX(Photobiology!$21:$421,1+$AH238-380,10)</f>
        <v>0.6694716</v>
      </c>
      <c r="AM238" s="236">
        <f ca="1" t="shared" si="91"/>
        <v>13.3319879209511</v>
      </c>
      <c r="AN238" s="236">
        <f ca="1">INDEX(Photobiology!$21:$421,1+$AH238-380,AN$14)</f>
        <v>7.33168841730695e-6</v>
      </c>
      <c r="AO238" s="236">
        <f ca="1">INDEX(Photobiology!$21:$421,1+$AH238-380,AO$14)</f>
        <v>0.456415095641635</v>
      </c>
      <c r="AP238" s="236">
        <f ca="1">INDEX(Photobiology!$21:$421,1+$AH238-380,AP$14)</f>
        <v>0.868080498761263</v>
      </c>
      <c r="AQ238" s="236">
        <f ca="1">INDEX(Photobiology!$21:$421,1+$AH238-380,AQ$14)</f>
        <v>0.0503347597446824</v>
      </c>
      <c r="AR238" s="236">
        <f ca="1">INDEX(Photobiology!$21:$421,1+$AH238-380,AR$14)</f>
        <v>0.00653077918664798</v>
      </c>
      <c r="AS238" s="236">
        <f ca="1" t="shared" si="92"/>
        <v>4.00787433257075e+19</v>
      </c>
      <c r="AT238" s="236">
        <f ca="1">INDEX(Photobiology!$21:$421,1+$AH238-380,AT$14)</f>
        <v>5.40358945329155e-6</v>
      </c>
      <c r="AU238" s="236">
        <f ca="1">INDEX(Photobiology!$21:$421,1+$AH238-380,AU$14)</f>
        <v>0.41515563203861</v>
      </c>
      <c r="AV238" s="236">
        <f ca="1">INDEX(Photobiology!$21:$421,1+$AH238-380,AV$14)</f>
        <v>0.82776817993895</v>
      </c>
      <c r="AW238" s="236">
        <f ca="1">INDEX(Photobiology!$21:$421,1+$AH238-380,AW$14)</f>
        <v>0.0429771271388665</v>
      </c>
      <c r="AX238" s="236">
        <f ca="1">INDEX(Photobiology!$21:$421,1+$AH238-380,AX$14)</f>
        <v>0.00534689468466655</v>
      </c>
      <c r="AY238" s="236">
        <f ca="1" t="shared" si="79"/>
        <v>13.3319879209511</v>
      </c>
      <c r="AZ238" s="236">
        <f ca="1" t="shared" si="93"/>
        <v>9.77459814197136e-5</v>
      </c>
      <c r="BA238" s="236">
        <f ca="1" t="shared" si="80"/>
        <v>6.08492054203404</v>
      </c>
      <c r="BB238" s="236">
        <f ca="1" t="shared" si="81"/>
        <v>11.5732387238984</v>
      </c>
      <c r="BC238" s="236">
        <f ca="1" t="shared" si="82"/>
        <v>0.671062408920084</v>
      </c>
      <c r="BD238" s="236">
        <f ca="1" t="shared" si="83"/>
        <v>0.08706826923079</v>
      </c>
    </row>
    <row r="239" s="234" customFormat="1" ht="0.2" customHeight="1" spans="7:56">
      <c r="G239" s="236"/>
      <c r="H239" s="236">
        <f t="shared" si="84"/>
        <v>598</v>
      </c>
      <c r="I239" s="236">
        <f>IF($H239&gt;$H238,INDEX(Spectra!239:239,1,MATCH($I$20,Spectra!$20:$20,0)),I238)</f>
        <v>14.4463090689415</v>
      </c>
      <c r="J239" s="236">
        <f>((Physics!$C$9*Physics!$C$10)/(Physics!$C$11*Physics!$C$12*$H239))^($J$17-$J$18)</f>
        <v>3.01124461986861e+18</v>
      </c>
      <c r="K239" s="236">
        <f t="shared" si="85"/>
        <v>1</v>
      </c>
      <c r="L239" s="236">
        <f ca="1">INDEX(Photobiology!$21:$421,1+$H239-380,10)</f>
        <v>0.6566744</v>
      </c>
      <c r="M239" s="236">
        <f ca="1" t="shared" si="86"/>
        <v>14.4463090689415</v>
      </c>
      <c r="N239" s="236">
        <f ca="1">INDEX(Photobiology!$21:$421,1+$H239-380,N$14)</f>
        <v>6.77828772749177e-6</v>
      </c>
      <c r="O239" s="236">
        <f ca="1">INDEX(Photobiology!$21:$421,1+$H239-380,O$14)</f>
        <v>0.440837976237751</v>
      </c>
      <c r="P239" s="236">
        <f ca="1">INDEX(Photobiology!$21:$421,1+$H239-380,P$14)</f>
        <v>0.857517516236251</v>
      </c>
      <c r="Q239" s="236">
        <f ca="1">INDEX(Photobiology!$21:$421,1+$H239-380,Q$14)</f>
        <v>0.0466609954876979</v>
      </c>
      <c r="R239" s="236">
        <f ca="1">INDEX(Photobiology!$21:$421,1+$H239-380,R$14)</f>
        <v>0.00600097752169215</v>
      </c>
      <c r="S239" s="236">
        <f ca="1" t="shared" si="87"/>
        <v>4.35013704608092e+19</v>
      </c>
      <c r="T239" s="236">
        <f ca="1">INDEX(Photobiology!$21:$421,1+$H239-380,T$14)</f>
        <v>4.98736889648224e-6</v>
      </c>
      <c r="U239" s="236">
        <f ca="1">INDEX(Photobiology!$21:$421,1+$H239-380,U$14)</f>
        <v>0.400316122225387</v>
      </c>
      <c r="V239" s="236">
        <f ca="1">INDEX(Photobiology!$21:$421,1+$H239-380,V$14)</f>
        <v>0.81632834186537</v>
      </c>
      <c r="W239" s="236">
        <f ca="1">INDEX(Photobiology!$21:$421,1+$H239-380,W$14)</f>
        <v>0.0397737489620587</v>
      </c>
      <c r="X239" s="236">
        <f ca="1">INDEX(Photobiology!$21:$421,1+$H239-380,X$14)</f>
        <v>0.00490491829305202</v>
      </c>
      <c r="Y239" s="236">
        <f ca="1" t="shared" si="74"/>
        <v>14.4463090689415</v>
      </c>
      <c r="Z239" s="236">
        <f ca="1" t="shared" si="88"/>
        <v>9.79212394695592e-5</v>
      </c>
      <c r="AA239" s="236">
        <f ca="1" t="shared" si="75"/>
        <v>6.36848165405724</v>
      </c>
      <c r="AB239" s="236">
        <f ca="1" t="shared" si="76"/>
        <v>12.3879630715799</v>
      </c>
      <c r="AC239" s="236">
        <f ca="1" t="shared" si="77"/>
        <v>0.674079162279769</v>
      </c>
      <c r="AD239" s="236">
        <f ca="1" t="shared" si="78"/>
        <v>0.0866919759941354</v>
      </c>
      <c r="AE239" s="236"/>
      <c r="AF239" s="236"/>
      <c r="AG239" s="236"/>
      <c r="AH239" s="236">
        <f t="shared" si="89"/>
        <v>598</v>
      </c>
      <c r="AI239" s="236">
        <f>IF($AH239&gt;$AH238,INDEX(Spectra!239:239,1,MATCH($AI$20,Spectra!$20:$20,0)),AI238)</f>
        <v>1</v>
      </c>
      <c r="AJ239" s="236">
        <f>((Physics!$C$9*Physics!$C$10)/(Physics!$C$11*Physics!$C$12*$AH239))^($AJ$17-$AJ$18)</f>
        <v>3.01124461986861e+18</v>
      </c>
      <c r="AK239" s="236">
        <f t="shared" si="90"/>
        <v>1</v>
      </c>
      <c r="AL239" s="236">
        <f ca="1">INDEX(Photobiology!$21:$421,1+$AH239-380,10)</f>
        <v>0.6566744</v>
      </c>
      <c r="AM239" s="236">
        <f ca="1" t="shared" si="91"/>
        <v>13.3319879209511</v>
      </c>
      <c r="AN239" s="236">
        <f ca="1">INDEX(Photobiology!$21:$421,1+$AH239-380,AN$14)</f>
        <v>6.77828772749177e-6</v>
      </c>
      <c r="AO239" s="236">
        <f ca="1">INDEX(Photobiology!$21:$421,1+$AH239-380,AO$14)</f>
        <v>0.440837976237751</v>
      </c>
      <c r="AP239" s="236">
        <f ca="1">INDEX(Photobiology!$21:$421,1+$AH239-380,AP$14)</f>
        <v>0.857517516236251</v>
      </c>
      <c r="AQ239" s="236">
        <f ca="1">INDEX(Photobiology!$21:$421,1+$AH239-380,AQ$14)</f>
        <v>0.0466609954876979</v>
      </c>
      <c r="AR239" s="236">
        <f ca="1">INDEX(Photobiology!$21:$421,1+$AH239-380,AR$14)</f>
        <v>0.00600097752169215</v>
      </c>
      <c r="AS239" s="236">
        <f ca="1" t="shared" si="92"/>
        <v>4.01458768991174e+19</v>
      </c>
      <c r="AT239" s="236">
        <f ca="1">INDEX(Photobiology!$21:$421,1+$AH239-380,AT$14)</f>
        <v>4.98736889648224e-6</v>
      </c>
      <c r="AU239" s="236">
        <f ca="1">INDEX(Photobiology!$21:$421,1+$AH239-380,AU$14)</f>
        <v>0.400316122225387</v>
      </c>
      <c r="AV239" s="236">
        <f ca="1">INDEX(Photobiology!$21:$421,1+$AH239-380,AV$14)</f>
        <v>0.81632834186537</v>
      </c>
      <c r="AW239" s="236">
        <f ca="1">INDEX(Photobiology!$21:$421,1+$AH239-380,AW$14)</f>
        <v>0.0397737489620587</v>
      </c>
      <c r="AX239" s="236">
        <f ca="1">INDEX(Photobiology!$21:$421,1+$AH239-380,AX$14)</f>
        <v>0.00490491829305202</v>
      </c>
      <c r="AY239" s="236">
        <f ca="1" t="shared" si="79"/>
        <v>13.3319879209511</v>
      </c>
      <c r="AZ239" s="236">
        <f ca="1" t="shared" si="93"/>
        <v>9.03680501076516e-5</v>
      </c>
      <c r="BA239" s="236">
        <f ca="1" t="shared" si="80"/>
        <v>5.87724657429824</v>
      </c>
      <c r="BB239" s="236">
        <f ca="1" t="shared" si="81"/>
        <v>11.4324131684657</v>
      </c>
      <c r="BC239" s="236">
        <f ca="1" t="shared" si="82"/>
        <v>0.622083828221544</v>
      </c>
      <c r="BD239" s="236">
        <f ca="1" t="shared" si="83"/>
        <v>0.080004959833099</v>
      </c>
    </row>
    <row r="240" s="234" customFormat="1" ht="0.2" customHeight="1" spans="7:56">
      <c r="G240" s="236"/>
      <c r="H240" s="236">
        <f t="shared" si="84"/>
        <v>599</v>
      </c>
      <c r="I240" s="236">
        <f>IF($H240&gt;$H239,INDEX(Spectra!240:240,1,MATCH($I$20,Spectra!$20:$20,0)),I239)</f>
        <v>14.6149567205183</v>
      </c>
      <c r="J240" s="236">
        <f>((Physics!$C$9*Physics!$C$10)/(Physics!$C$11*Physics!$C$12*$H240))^($J$17-$J$18)</f>
        <v>3.01628014598879e+18</v>
      </c>
      <c r="K240" s="236">
        <f t="shared" si="85"/>
        <v>1</v>
      </c>
      <c r="L240" s="236">
        <f ca="1">INDEX(Photobiology!$21:$421,1+$H240-380,10)</f>
        <v>0.6438448</v>
      </c>
      <c r="M240" s="236">
        <f ca="1" t="shared" si="86"/>
        <v>14.6149567205183</v>
      </c>
      <c r="N240" s="236">
        <f ca="1">INDEX(Photobiology!$21:$421,1+$H240-380,N$14)</f>
        <v>6.26833213480428e-6</v>
      </c>
      <c r="O240" s="236">
        <f ca="1">INDEX(Photobiology!$21:$421,1+$H240-380,O$14)</f>
        <v>0.425420094766109</v>
      </c>
      <c r="P240" s="236">
        <f ca="1">INDEX(Photobiology!$21:$421,1+$H240-380,P$14)</f>
        <v>0.846615080180334</v>
      </c>
      <c r="Q240" s="236">
        <f ca="1">INDEX(Photobiology!$21:$421,1+$H240-380,Q$14)</f>
        <v>0.0432325646904698</v>
      </c>
      <c r="R240" s="236">
        <f ca="1">INDEX(Photobiology!$21:$421,1+$H240-380,R$14)</f>
        <v>0.00551414268752177</v>
      </c>
      <c r="S240" s="236">
        <f ca="1" t="shared" si="87"/>
        <v>4.40828037905848e+19</v>
      </c>
      <c r="T240" s="236">
        <f ca="1">INDEX(Photobiology!$21:$421,1+$H240-380,T$14)</f>
        <v>4.60445098382952e-6</v>
      </c>
      <c r="U240" s="236">
        <f ca="1">INDEX(Photobiology!$21:$421,1+$H240-380,U$14)</f>
        <v>0.385670519392275</v>
      </c>
      <c r="V240" s="236">
        <f ca="1">INDEX(Photobiology!$21:$421,1+$H240-380,V$14)</f>
        <v>0.804604091180772</v>
      </c>
      <c r="W240" s="236">
        <f ca="1">INDEX(Photobiology!$21:$421,1+$H240-380,W$14)</f>
        <v>0.0367898392221525</v>
      </c>
      <c r="X240" s="236">
        <f ca="1">INDEX(Photobiology!$21:$421,1+$H240-380,X$14)</f>
        <v>0.00449947806353056</v>
      </c>
      <c r="Y240" s="236">
        <f ca="1" t="shared" si="74"/>
        <v>14.6149567205183</v>
      </c>
      <c r="Z240" s="236">
        <f ca="1" t="shared" si="88"/>
        <v>9.16114028599986e-5</v>
      </c>
      <c r="AA240" s="236">
        <f ca="1" t="shared" si="75"/>
        <v>6.21749627304548</v>
      </c>
      <c r="AB240" s="236">
        <f ca="1" t="shared" si="76"/>
        <v>12.3732427557737</v>
      </c>
      <c r="AC240" s="236">
        <f ca="1" t="shared" si="77"/>
        <v>0.631842061868224</v>
      </c>
      <c r="AD240" s="236">
        <f ca="1" t="shared" si="78"/>
        <v>0.0805889567288931</v>
      </c>
      <c r="AE240" s="236"/>
      <c r="AF240" s="236"/>
      <c r="AG240" s="236"/>
      <c r="AH240" s="236">
        <f t="shared" si="89"/>
        <v>599</v>
      </c>
      <c r="AI240" s="236">
        <f>IF($AH240&gt;$AH239,INDEX(Spectra!240:240,1,MATCH($AI$20,Spectra!$20:$20,0)),AI239)</f>
        <v>1</v>
      </c>
      <c r="AJ240" s="236">
        <f>((Physics!$C$9*Physics!$C$10)/(Physics!$C$11*Physics!$C$12*$AH240))^($AJ$17-$AJ$18)</f>
        <v>3.01628014598879e+18</v>
      </c>
      <c r="AK240" s="236">
        <f t="shared" si="90"/>
        <v>1</v>
      </c>
      <c r="AL240" s="236">
        <f ca="1">INDEX(Photobiology!$21:$421,1+$AH240-380,10)</f>
        <v>0.6438448</v>
      </c>
      <c r="AM240" s="236">
        <f ca="1" t="shared" si="91"/>
        <v>13.3319879209511</v>
      </c>
      <c r="AN240" s="236">
        <f ca="1">INDEX(Photobiology!$21:$421,1+$AH240-380,AN$14)</f>
        <v>6.26833213480428e-6</v>
      </c>
      <c r="AO240" s="236">
        <f ca="1">INDEX(Photobiology!$21:$421,1+$AH240-380,AO$14)</f>
        <v>0.425420094766109</v>
      </c>
      <c r="AP240" s="236">
        <f ca="1">INDEX(Photobiology!$21:$421,1+$AH240-380,AP$14)</f>
        <v>0.846615080180334</v>
      </c>
      <c r="AQ240" s="236">
        <f ca="1">INDEX(Photobiology!$21:$421,1+$AH240-380,AQ$14)</f>
        <v>0.0432325646904698</v>
      </c>
      <c r="AR240" s="236">
        <f ca="1">INDEX(Photobiology!$21:$421,1+$AH240-380,AR$14)</f>
        <v>0.00551414268752177</v>
      </c>
      <c r="AS240" s="236">
        <f ca="1" t="shared" si="92"/>
        <v>4.02130104725273e+19</v>
      </c>
      <c r="AT240" s="236">
        <f ca="1">INDEX(Photobiology!$21:$421,1+$AH240-380,AT$14)</f>
        <v>4.60445098382952e-6</v>
      </c>
      <c r="AU240" s="236">
        <f ca="1">INDEX(Photobiology!$21:$421,1+$AH240-380,AU$14)</f>
        <v>0.385670519392275</v>
      </c>
      <c r="AV240" s="236">
        <f ca="1">INDEX(Photobiology!$21:$421,1+$AH240-380,AV$14)</f>
        <v>0.804604091180772</v>
      </c>
      <c r="AW240" s="236">
        <f ca="1">INDEX(Photobiology!$21:$421,1+$AH240-380,AW$14)</f>
        <v>0.0367898392221525</v>
      </c>
      <c r="AX240" s="236">
        <f ca="1">INDEX(Photobiology!$21:$421,1+$AH240-380,AX$14)</f>
        <v>0.00449947806353056</v>
      </c>
      <c r="AY240" s="236">
        <f ca="1" t="shared" si="79"/>
        <v>13.3319879209511</v>
      </c>
      <c r="AZ240" s="236">
        <f ca="1" t="shared" si="93"/>
        <v>8.35693283057205e-5</v>
      </c>
      <c r="BA240" s="236">
        <f ca="1" t="shared" si="80"/>
        <v>5.67169556475165</v>
      </c>
      <c r="BB240" s="236">
        <f ca="1" t="shared" si="81"/>
        <v>11.2870620226593</v>
      </c>
      <c r="BC240" s="236">
        <f ca="1" t="shared" si="82"/>
        <v>0.576376030245082</v>
      </c>
      <c r="BD240" s="236">
        <f ca="1" t="shared" si="83"/>
        <v>0.0735144837044413</v>
      </c>
    </row>
    <row r="241" s="234" customFormat="1" ht="0.2" customHeight="1" spans="7:56">
      <c r="G241" s="236"/>
      <c r="H241" s="236">
        <f t="shared" si="84"/>
        <v>600</v>
      </c>
      <c r="I241" s="236">
        <f>IF($H241&gt;$H240,INDEX(Spectra!241:241,1,MATCH($I$20,Spectra!$20:$20,0)),I240)</f>
        <v>14.8710724625532</v>
      </c>
      <c r="J241" s="236">
        <f>((Physics!$C$9*Physics!$C$10)/(Physics!$C$11*Physics!$C$12*$H241))^($J$17-$J$18)</f>
        <v>3.02131567210897e+18</v>
      </c>
      <c r="K241" s="236">
        <f t="shared" si="85"/>
        <v>1</v>
      </c>
      <c r="L241" s="236">
        <f ca="1">INDEX(Photobiology!$21:$421,1+$H241-380,10)</f>
        <v>0.631</v>
      </c>
      <c r="M241" s="236">
        <f ca="1" t="shared" si="86"/>
        <v>14.8710724625532</v>
      </c>
      <c r="N241" s="236">
        <f ca="1">INDEX(Photobiology!$21:$421,1+$H241-380,N$14)</f>
        <v>5.79829089865607e-6</v>
      </c>
      <c r="O241" s="236">
        <f ca="1">INDEX(Photobiology!$21:$421,1+$H241-380,O$14)</f>
        <v>0.410175768069693</v>
      </c>
      <c r="P241" s="236">
        <f ca="1">INDEX(Photobiology!$21:$421,1+$H241-380,P$14)</f>
        <v>0.835385629196892</v>
      </c>
      <c r="Q241" s="236">
        <f ca="1">INDEX(Photobiology!$21:$421,1+$H241-380,Q$14)</f>
        <v>0.0400360294463539</v>
      </c>
      <c r="R241" s="236">
        <f ca="1">INDEX(Photobiology!$21:$421,1+$H241-380,R$14)</f>
        <v>0.00506686111217927</v>
      </c>
      <c r="S241" s="236">
        <f ca="1" t="shared" si="87"/>
        <v>4.49302042921801e+19</v>
      </c>
      <c r="T241" s="236">
        <f ca="1">INDEX(Photobiology!$21:$421,1+$H241-380,T$14)</f>
        <v>4.25207999234778e-6</v>
      </c>
      <c r="U241" s="236">
        <f ca="1">INDEX(Photobiology!$21:$421,1+$H241-380,U$14)</f>
        <v>0.371230811506139</v>
      </c>
      <c r="V241" s="236">
        <f ca="1">INDEX(Photobiology!$21:$421,1+$H241-380,V$14)</f>
        <v>0.792608651617174</v>
      </c>
      <c r="W241" s="236">
        <f ca="1">INDEX(Photobiology!$21:$421,1+$H241-380,W$14)</f>
        <v>0.0340128843109054</v>
      </c>
      <c r="X241" s="236">
        <f ca="1">INDEX(Photobiology!$21:$421,1+$H241-380,X$14)</f>
        <v>0.00412761052157814</v>
      </c>
      <c r="Y241" s="236">
        <f ca="1" t="shared" si="74"/>
        <v>14.8710724625532</v>
      </c>
      <c r="Z241" s="236">
        <f ca="1" t="shared" si="88"/>
        <v>8.62268041128771e-5</v>
      </c>
      <c r="AA241" s="236">
        <f ca="1" t="shared" si="75"/>
        <v>6.09975356934782</v>
      </c>
      <c r="AB241" s="236">
        <f ca="1" t="shared" si="76"/>
        <v>12.4230802259626</v>
      </c>
      <c r="AC241" s="236">
        <f ca="1" t="shared" si="77"/>
        <v>0.595378695009642</v>
      </c>
      <c r="AD241" s="236">
        <f ca="1" t="shared" si="78"/>
        <v>0.0753496587569108</v>
      </c>
      <c r="AE241" s="236"/>
      <c r="AF241" s="236"/>
      <c r="AG241" s="236"/>
      <c r="AH241" s="236">
        <f t="shared" si="89"/>
        <v>600</v>
      </c>
      <c r="AI241" s="236">
        <f>IF($AH241&gt;$AH240,INDEX(Spectra!241:241,1,MATCH($AI$20,Spectra!$20:$20,0)),AI240)</f>
        <v>1</v>
      </c>
      <c r="AJ241" s="236">
        <f>((Physics!$C$9*Physics!$C$10)/(Physics!$C$11*Physics!$C$12*$AH241))^($AJ$17-$AJ$18)</f>
        <v>3.02131567210897e+18</v>
      </c>
      <c r="AK241" s="236">
        <f t="shared" si="90"/>
        <v>1</v>
      </c>
      <c r="AL241" s="236">
        <f ca="1">INDEX(Photobiology!$21:$421,1+$AH241-380,10)</f>
        <v>0.631</v>
      </c>
      <c r="AM241" s="236">
        <f ca="1" t="shared" si="91"/>
        <v>13.3319879209511</v>
      </c>
      <c r="AN241" s="236">
        <f ca="1">INDEX(Photobiology!$21:$421,1+$AH241-380,AN$14)</f>
        <v>5.79829089865607e-6</v>
      </c>
      <c r="AO241" s="236">
        <f ca="1">INDEX(Photobiology!$21:$421,1+$AH241-380,AO$14)</f>
        <v>0.410175768069693</v>
      </c>
      <c r="AP241" s="236">
        <f ca="1">INDEX(Photobiology!$21:$421,1+$AH241-380,AP$14)</f>
        <v>0.835385629196892</v>
      </c>
      <c r="AQ241" s="236">
        <f ca="1">INDEX(Photobiology!$21:$421,1+$AH241-380,AQ$14)</f>
        <v>0.0400360294463539</v>
      </c>
      <c r="AR241" s="236">
        <f ca="1">INDEX(Photobiology!$21:$421,1+$AH241-380,AR$14)</f>
        <v>0.00506686111217927</v>
      </c>
      <c r="AS241" s="236">
        <f ca="1" t="shared" si="92"/>
        <v>4.02801440459372e+19</v>
      </c>
      <c r="AT241" s="236">
        <f ca="1">INDEX(Photobiology!$21:$421,1+$AH241-380,AT$14)</f>
        <v>4.25207999234778e-6</v>
      </c>
      <c r="AU241" s="236">
        <f ca="1">INDEX(Photobiology!$21:$421,1+$AH241-380,AU$14)</f>
        <v>0.371230811506139</v>
      </c>
      <c r="AV241" s="236">
        <f ca="1">INDEX(Photobiology!$21:$421,1+$AH241-380,AV$14)</f>
        <v>0.792608651617174</v>
      </c>
      <c r="AW241" s="236">
        <f ca="1">INDEX(Photobiology!$21:$421,1+$AH241-380,AW$14)</f>
        <v>0.0340128843109054</v>
      </c>
      <c r="AX241" s="236">
        <f ca="1">INDEX(Photobiology!$21:$421,1+$AH241-380,AX$14)</f>
        <v>0.00412761052157814</v>
      </c>
      <c r="AY241" s="236">
        <f ca="1" t="shared" si="79"/>
        <v>13.3319879209511</v>
      </c>
      <c r="AZ241" s="236">
        <f ca="1" t="shared" si="93"/>
        <v>7.73027442230437e-5</v>
      </c>
      <c r="BA241" s="236">
        <f ca="1" t="shared" si="80"/>
        <v>5.468458385372</v>
      </c>
      <c r="BB241" s="236">
        <f ca="1" t="shared" si="81"/>
        <v>11.1373511177891</v>
      </c>
      <c r="BC241" s="236">
        <f ca="1" t="shared" si="82"/>
        <v>0.533759860981634</v>
      </c>
      <c r="BD241" s="236">
        <f ca="1" t="shared" si="83"/>
        <v>0.0675513311447111</v>
      </c>
    </row>
    <row r="242" s="234" customFormat="1" ht="0.2" customHeight="1" spans="7:56">
      <c r="G242" s="236"/>
      <c r="H242" s="236">
        <f t="shared" si="84"/>
        <v>601</v>
      </c>
      <c r="I242" s="236">
        <f>IF($H242&gt;$H241,INDEX(Spectra!242:242,1,MATCH($I$20,Spectra!$20:$20,0)),I241)</f>
        <v>15.0844901182691</v>
      </c>
      <c r="J242" s="236">
        <f>((Physics!$C$9*Physics!$C$10)/(Physics!$C$11*Physics!$C$12*$H242))^($J$17-$J$18)</f>
        <v>3.02635119822915e+18</v>
      </c>
      <c r="K242" s="236">
        <f t="shared" si="85"/>
        <v>1</v>
      </c>
      <c r="L242" s="236">
        <f ca="1">INDEX(Photobiology!$21:$421,1+$H242-380,10)</f>
        <v>0.6181555</v>
      </c>
      <c r="M242" s="236">
        <f ca="1" t="shared" si="86"/>
        <v>15.0844901182691</v>
      </c>
      <c r="N242" s="236">
        <f ca="1">INDEX(Photobiology!$21:$421,1+$H242-380,N$14)</f>
        <v>5.36369408294139e-6</v>
      </c>
      <c r="O242" s="236">
        <f ca="1">INDEX(Photobiology!$21:$421,1+$H242-380,O$14)</f>
        <v>0.395031747540389</v>
      </c>
      <c r="P242" s="236">
        <f ca="1">INDEX(Photobiology!$21:$421,1+$H242-380,P$14)</f>
        <v>0.823648667190131</v>
      </c>
      <c r="Q242" s="236">
        <f ca="1">INDEX(Photobiology!$21:$421,1+$H242-380,Q$14)</f>
        <v>0.0370500671980513</v>
      </c>
      <c r="R242" s="236">
        <f ca="1">INDEX(Photobiology!$21:$421,1+$H242-380,R$14)</f>
        <v>0.00465491762539643</v>
      </c>
      <c r="S242" s="236">
        <f ca="1" t="shared" si="87"/>
        <v>4.56509647440995e+19</v>
      </c>
      <c r="T242" s="236">
        <f ca="1">INDEX(Photobiology!$21:$421,1+$H242-380,T$14)</f>
        <v>3.92683094258604e-6</v>
      </c>
      <c r="U242" s="236">
        <f ca="1">INDEX(Photobiology!$21:$421,1+$H242-380,U$14)</f>
        <v>0.356929787238233</v>
      </c>
      <c r="V242" s="236">
        <f ca="1">INDEX(Photobiology!$21:$421,1+$H242-380,V$14)</f>
        <v>0.780172408245568</v>
      </c>
      <c r="W242" s="236">
        <f ca="1">INDEX(Photobiology!$21:$421,1+$H242-380,W$14)</f>
        <v>0.0314237665916244</v>
      </c>
      <c r="X242" s="236">
        <f ca="1">INDEX(Photobiology!$21:$421,1+$H242-380,X$14)</f>
        <v>0.00378571999782946</v>
      </c>
      <c r="Y242" s="236">
        <f ca="1" t="shared" si="74"/>
        <v>15.0844901182691</v>
      </c>
      <c r="Z242" s="236">
        <f ca="1" t="shared" si="88"/>
        <v>8.09085903915478e-5</v>
      </c>
      <c r="AA242" s="236">
        <f ca="1" t="shared" si="75"/>
        <v>5.95885249217557</v>
      </c>
      <c r="AB242" s="236">
        <f ca="1" t="shared" si="76"/>
        <v>12.424320181155</v>
      </c>
      <c r="AC242" s="236">
        <f ca="1" t="shared" si="77"/>
        <v>0.558881372530211</v>
      </c>
      <c r="AD242" s="236">
        <f ca="1" t="shared" si="78"/>
        <v>0.0702170589216491</v>
      </c>
      <c r="AE242" s="236"/>
      <c r="AF242" s="236"/>
      <c r="AG242" s="236"/>
      <c r="AH242" s="236">
        <f t="shared" si="89"/>
        <v>601</v>
      </c>
      <c r="AI242" s="236">
        <f>IF($AH242&gt;$AH241,INDEX(Spectra!242:242,1,MATCH($AI$20,Spectra!$20:$20,0)),AI241)</f>
        <v>1</v>
      </c>
      <c r="AJ242" s="236">
        <f>((Physics!$C$9*Physics!$C$10)/(Physics!$C$11*Physics!$C$12*$AH242))^($AJ$17-$AJ$18)</f>
        <v>3.02635119822915e+18</v>
      </c>
      <c r="AK242" s="236">
        <f t="shared" si="90"/>
        <v>1</v>
      </c>
      <c r="AL242" s="236">
        <f ca="1">INDEX(Photobiology!$21:$421,1+$AH242-380,10)</f>
        <v>0.6181555</v>
      </c>
      <c r="AM242" s="236">
        <f ca="1" t="shared" si="91"/>
        <v>13.3319879209511</v>
      </c>
      <c r="AN242" s="236">
        <f ca="1">INDEX(Photobiology!$21:$421,1+$AH242-380,AN$14)</f>
        <v>5.36369408294139e-6</v>
      </c>
      <c r="AO242" s="236">
        <f ca="1">INDEX(Photobiology!$21:$421,1+$AH242-380,AO$14)</f>
        <v>0.395031747540389</v>
      </c>
      <c r="AP242" s="236">
        <f ca="1">INDEX(Photobiology!$21:$421,1+$AH242-380,AP$14)</f>
        <v>0.823648667190131</v>
      </c>
      <c r="AQ242" s="236">
        <f ca="1">INDEX(Photobiology!$21:$421,1+$AH242-380,AQ$14)</f>
        <v>0.0370500671980513</v>
      </c>
      <c r="AR242" s="236">
        <f ca="1">INDEX(Photobiology!$21:$421,1+$AH242-380,AR$14)</f>
        <v>0.00465491762539643</v>
      </c>
      <c r="AS242" s="236">
        <f ca="1" t="shared" si="92"/>
        <v>4.03472776193471e+19</v>
      </c>
      <c r="AT242" s="236">
        <f ca="1">INDEX(Photobiology!$21:$421,1+$AH242-380,AT$14)</f>
        <v>3.92683094258604e-6</v>
      </c>
      <c r="AU242" s="236">
        <f ca="1">INDEX(Photobiology!$21:$421,1+$AH242-380,AU$14)</f>
        <v>0.356929787238233</v>
      </c>
      <c r="AV242" s="236">
        <f ca="1">INDEX(Photobiology!$21:$421,1+$AH242-380,AV$14)</f>
        <v>0.780172408245568</v>
      </c>
      <c r="AW242" s="236">
        <f ca="1">INDEX(Photobiology!$21:$421,1+$AH242-380,AW$14)</f>
        <v>0.0314237665916244</v>
      </c>
      <c r="AX242" s="236">
        <f ca="1">INDEX(Photobiology!$21:$421,1+$AH242-380,AX$14)</f>
        <v>0.00378571999782946</v>
      </c>
      <c r="AY242" s="236">
        <f ca="1" t="shared" si="79"/>
        <v>13.3319879209511</v>
      </c>
      <c r="AZ242" s="236">
        <f ca="1" t="shared" si="93"/>
        <v>7.15087047254517e-5</v>
      </c>
      <c r="BA242" s="236">
        <f ca="1" t="shared" si="80"/>
        <v>5.26655848660069</v>
      </c>
      <c r="BB242" s="236">
        <f ca="1" t="shared" si="81"/>
        <v>10.9808740820863</v>
      </c>
      <c r="BC242" s="236">
        <f ca="1" t="shared" si="82"/>
        <v>0.493951048354848</v>
      </c>
      <c r="BD242" s="236">
        <f ca="1" t="shared" si="83"/>
        <v>0.0620593055548078</v>
      </c>
    </row>
    <row r="243" s="234" customFormat="1" ht="0.2" customHeight="1" spans="7:56">
      <c r="G243" s="236"/>
      <c r="H243" s="236">
        <f t="shared" si="84"/>
        <v>602</v>
      </c>
      <c r="I243" s="236">
        <f>IF($H243&gt;$H242,INDEX(Spectra!243:243,1,MATCH($I$20,Spectra!$20:$20,0)),I242)</f>
        <v>15.3006815565815</v>
      </c>
      <c r="J243" s="236">
        <f>((Physics!$C$9*Physics!$C$10)/(Physics!$C$11*Physics!$C$12*$H243))^($J$17-$J$18)</f>
        <v>3.03138672434934e+18</v>
      </c>
      <c r="K243" s="236">
        <f t="shared" si="85"/>
        <v>1</v>
      </c>
      <c r="L243" s="236">
        <f ca="1">INDEX(Photobiology!$21:$421,1+$H243-380,10)</f>
        <v>0.6053144</v>
      </c>
      <c r="M243" s="236">
        <f ca="1" t="shared" si="86"/>
        <v>15.3006815565815</v>
      </c>
      <c r="N243" s="236">
        <f ca="1">INDEX(Photobiology!$21:$421,1+$H243-380,N$14)</f>
        <v>4.96298542741091e-6</v>
      </c>
      <c r="O243" s="236">
        <f ca="1">INDEX(Photobiology!$21:$421,1+$H243-380,O$14)</f>
        <v>0.380100989338887</v>
      </c>
      <c r="P243" s="236">
        <f ca="1">INDEX(Photobiology!$21:$421,1+$H243-380,P$14)</f>
        <v>0.811611141056065</v>
      </c>
      <c r="Q243" s="236">
        <f ca="1">INDEX(Photobiology!$21:$421,1+$H243-380,Q$14)</f>
        <v>0.0342718067277021</v>
      </c>
      <c r="R243" s="236">
        <f ca="1">INDEX(Photobiology!$21:$421,1+$H243-380,R$14)</f>
        <v>0.00427664301669861</v>
      </c>
      <c r="S243" s="236">
        <f ca="1" t="shared" si="87"/>
        <v>4.6382282944118e+19</v>
      </c>
      <c r="T243" s="236">
        <f ca="1">INDEX(Photobiology!$21:$421,1+$H243-380,T$14)</f>
        <v>3.62743120940332e-6</v>
      </c>
      <c r="U243" s="236">
        <f ca="1">INDEX(Photobiology!$21:$421,1+$H243-380,U$14)</f>
        <v>0.342868647147945</v>
      </c>
      <c r="V243" s="236">
        <f ca="1">INDEX(Photobiology!$21:$421,1+$H243-380,V$14)</f>
        <v>0.767493255355858</v>
      </c>
      <c r="W243" s="236">
        <f ca="1">INDEX(Photobiology!$21:$421,1+$H243-380,W$14)</f>
        <v>0.0290191188395421</v>
      </c>
      <c r="X243" s="236">
        <f ca="1">INDEX(Photobiology!$21:$421,1+$H243-380,X$14)</f>
        <v>0.00347230183594227</v>
      </c>
      <c r="Y243" s="236">
        <f ca="1" t="shared" si="74"/>
        <v>15.3006815565815</v>
      </c>
      <c r="Z243" s="236">
        <f ca="1" t="shared" si="88"/>
        <v>7.59370595947689e-5</v>
      </c>
      <c r="AA243" s="236">
        <f ca="1" t="shared" si="75"/>
        <v>5.81580419721589</v>
      </c>
      <c r="AB243" s="236">
        <f ca="1" t="shared" si="76"/>
        <v>12.4182036170726</v>
      </c>
      <c r="AC243" s="236">
        <f ca="1" t="shared" si="77"/>
        <v>0.524382001109277</v>
      </c>
      <c r="AD243" s="236">
        <f ca="1" t="shared" si="78"/>
        <v>0.0654355529296835</v>
      </c>
      <c r="AE243" s="236"/>
      <c r="AF243" s="236"/>
      <c r="AG243" s="236"/>
      <c r="AH243" s="236">
        <f t="shared" si="89"/>
        <v>602</v>
      </c>
      <c r="AI243" s="236">
        <f>IF($AH243&gt;$AH242,INDEX(Spectra!243:243,1,MATCH($AI$20,Spectra!$20:$20,0)),AI242)</f>
        <v>1</v>
      </c>
      <c r="AJ243" s="236">
        <f>((Physics!$C$9*Physics!$C$10)/(Physics!$C$11*Physics!$C$12*$AH243))^($AJ$17-$AJ$18)</f>
        <v>3.03138672434934e+18</v>
      </c>
      <c r="AK243" s="236">
        <f t="shared" si="90"/>
        <v>1</v>
      </c>
      <c r="AL243" s="236">
        <f ca="1">INDEX(Photobiology!$21:$421,1+$AH243-380,10)</f>
        <v>0.6053144</v>
      </c>
      <c r="AM243" s="236">
        <f ca="1" t="shared" si="91"/>
        <v>13.3319879209511</v>
      </c>
      <c r="AN243" s="236">
        <f ca="1">INDEX(Photobiology!$21:$421,1+$AH243-380,AN$14)</f>
        <v>4.96298542741091e-6</v>
      </c>
      <c r="AO243" s="236">
        <f ca="1">INDEX(Photobiology!$21:$421,1+$AH243-380,AO$14)</f>
        <v>0.380100989338887</v>
      </c>
      <c r="AP243" s="236">
        <f ca="1">INDEX(Photobiology!$21:$421,1+$AH243-380,AP$14)</f>
        <v>0.811611141056065</v>
      </c>
      <c r="AQ243" s="236">
        <f ca="1">INDEX(Photobiology!$21:$421,1+$AH243-380,AQ$14)</f>
        <v>0.0342718067277021</v>
      </c>
      <c r="AR243" s="236">
        <f ca="1">INDEX(Photobiology!$21:$421,1+$AH243-380,AR$14)</f>
        <v>0.00427664301669861</v>
      </c>
      <c r="AS243" s="236">
        <f ca="1" t="shared" si="92"/>
        <v>4.0414411192757e+19</v>
      </c>
      <c r="AT243" s="236">
        <f ca="1">INDEX(Photobiology!$21:$421,1+$AH243-380,AT$14)</f>
        <v>3.62743120940332e-6</v>
      </c>
      <c r="AU243" s="236">
        <f ca="1">INDEX(Photobiology!$21:$421,1+$AH243-380,AU$14)</f>
        <v>0.342868647147945</v>
      </c>
      <c r="AV243" s="236">
        <f ca="1">INDEX(Photobiology!$21:$421,1+$AH243-380,AV$14)</f>
        <v>0.767493255355858</v>
      </c>
      <c r="AW243" s="236">
        <f ca="1">INDEX(Photobiology!$21:$421,1+$AH243-380,AW$14)</f>
        <v>0.0290191188395421</v>
      </c>
      <c r="AX243" s="236">
        <f ca="1">INDEX(Photobiology!$21:$421,1+$AH243-380,AX$14)</f>
        <v>0.00347230183594227</v>
      </c>
      <c r="AY243" s="236">
        <f ca="1" t="shared" si="79"/>
        <v>13.3319879209511</v>
      </c>
      <c r="AZ243" s="236">
        <f ca="1" t="shared" si="93"/>
        <v>6.61664617700988e-5</v>
      </c>
      <c r="BA243" s="236">
        <f ca="1" t="shared" si="80"/>
        <v>5.06750179860762</v>
      </c>
      <c r="BB243" s="236">
        <f ca="1" t="shared" si="81"/>
        <v>10.8203899290688</v>
      </c>
      <c r="BC243" s="236">
        <f ca="1" t="shared" si="82"/>
        <v>0.456911313322896</v>
      </c>
      <c r="BD243" s="236">
        <f ca="1" t="shared" si="83"/>
        <v>0.0570161530408459</v>
      </c>
    </row>
    <row r="244" s="234" customFormat="1" ht="0.2" customHeight="1" spans="7:56">
      <c r="G244" s="236"/>
      <c r="H244" s="236">
        <f t="shared" si="84"/>
        <v>603</v>
      </c>
      <c r="I244" s="236">
        <f>IF($H244&gt;$H243,INDEX(Spectra!244:244,1,MATCH($I$20,Spectra!$20:$20,0)),I243)</f>
        <v>15.5845159653638</v>
      </c>
      <c r="J244" s="236">
        <f>((Physics!$C$9*Physics!$C$10)/(Physics!$C$11*Physics!$C$12*$H244))^($J$17-$J$18)</f>
        <v>3.03642225046952e+18</v>
      </c>
      <c r="K244" s="236">
        <f t="shared" si="85"/>
        <v>1</v>
      </c>
      <c r="L244" s="236">
        <f ca="1">INDEX(Photobiology!$21:$421,1+$H244-380,10)</f>
        <v>0.5924756</v>
      </c>
      <c r="M244" s="236">
        <f ca="1" t="shared" si="86"/>
        <v>15.5845159653638</v>
      </c>
      <c r="N244" s="236">
        <f ca="1">INDEX(Photobiology!$21:$421,1+$H244-380,N$14)</f>
        <v>4.59341833934471e-6</v>
      </c>
      <c r="O244" s="236">
        <f ca="1">INDEX(Photobiology!$21:$421,1+$H244-380,O$14)</f>
        <v>0.365400384489923</v>
      </c>
      <c r="P244" s="236">
        <f ca="1">INDEX(Photobiology!$21:$421,1+$H244-380,P$14)</f>
        <v>0.799285620699985</v>
      </c>
      <c r="Q244" s="236">
        <f ca="1">INDEX(Photobiology!$21:$421,1+$H244-380,Q$14)</f>
        <v>0.0316891069320667</v>
      </c>
      <c r="R244" s="236">
        <f ca="1">INDEX(Photobiology!$21:$421,1+$H244-380,R$14)</f>
        <v>0.00392930734449627</v>
      </c>
      <c r="S244" s="236">
        <f ca="1" t="shared" si="87"/>
        <v>4.73211710400281e+19</v>
      </c>
      <c r="T244" s="236">
        <f ca="1">INDEX(Photobiology!$21:$421,1+$H244-380,T$14)</f>
        <v>3.35174804197624e-6</v>
      </c>
      <c r="U244" s="236">
        <f ca="1">INDEX(Photobiology!$21:$421,1+$H244-380,U$14)</f>
        <v>0.329061408998267</v>
      </c>
      <c r="V244" s="236">
        <f ca="1">INDEX(Photobiology!$21:$421,1+$H244-380,V$14)</f>
        <v>0.754584268365939</v>
      </c>
      <c r="W244" s="236">
        <f ca="1">INDEX(Photobiology!$21:$421,1+$H244-380,W$14)</f>
        <v>0.0267877600520333</v>
      </c>
      <c r="X244" s="236">
        <f ca="1">INDEX(Photobiology!$21:$421,1+$H244-380,X$14)</f>
        <v>0.00318500155770821</v>
      </c>
      <c r="Y244" s="236">
        <f ca="1" t="shared" si="74"/>
        <v>15.5845159653638</v>
      </c>
      <c r="Z244" s="236">
        <f ca="1" t="shared" si="88"/>
        <v>7.15862014451125e-5</v>
      </c>
      <c r="AA244" s="236">
        <f ca="1" t="shared" si="75"/>
        <v>5.69458812583328</v>
      </c>
      <c r="AB244" s="236">
        <f ca="1" t="shared" si="76"/>
        <v>12.4564795166846</v>
      </c>
      <c r="AC244" s="236">
        <f ca="1" t="shared" si="77"/>
        <v>0.493859392910914</v>
      </c>
      <c r="AD244" s="236">
        <f ca="1" t="shared" si="78"/>
        <v>0.0612363530431234</v>
      </c>
      <c r="AE244" s="236"/>
      <c r="AF244" s="236"/>
      <c r="AG244" s="236"/>
      <c r="AH244" s="236">
        <f t="shared" si="89"/>
        <v>603</v>
      </c>
      <c r="AI244" s="236">
        <f>IF($AH244&gt;$AH243,INDEX(Spectra!244:244,1,MATCH($AI$20,Spectra!$20:$20,0)),AI243)</f>
        <v>1</v>
      </c>
      <c r="AJ244" s="236">
        <f>((Physics!$C$9*Physics!$C$10)/(Physics!$C$11*Physics!$C$12*$AH244))^($AJ$17-$AJ$18)</f>
        <v>3.03642225046952e+18</v>
      </c>
      <c r="AK244" s="236">
        <f t="shared" si="90"/>
        <v>1</v>
      </c>
      <c r="AL244" s="236">
        <f ca="1">INDEX(Photobiology!$21:$421,1+$AH244-380,10)</f>
        <v>0.5924756</v>
      </c>
      <c r="AM244" s="236">
        <f ca="1" t="shared" si="91"/>
        <v>13.3319879209511</v>
      </c>
      <c r="AN244" s="236">
        <f ca="1">INDEX(Photobiology!$21:$421,1+$AH244-380,AN$14)</f>
        <v>4.59341833934471e-6</v>
      </c>
      <c r="AO244" s="236">
        <f ca="1">INDEX(Photobiology!$21:$421,1+$AH244-380,AO$14)</f>
        <v>0.365400384489923</v>
      </c>
      <c r="AP244" s="236">
        <f ca="1">INDEX(Photobiology!$21:$421,1+$AH244-380,AP$14)</f>
        <v>0.799285620699985</v>
      </c>
      <c r="AQ244" s="236">
        <f ca="1">INDEX(Photobiology!$21:$421,1+$AH244-380,AQ$14)</f>
        <v>0.0316891069320667</v>
      </c>
      <c r="AR244" s="236">
        <f ca="1">INDEX(Photobiology!$21:$421,1+$AH244-380,AR$14)</f>
        <v>0.00392930734449627</v>
      </c>
      <c r="AS244" s="236">
        <f ca="1" t="shared" si="92"/>
        <v>4.04815447661669e+19</v>
      </c>
      <c r="AT244" s="236">
        <f ca="1">INDEX(Photobiology!$21:$421,1+$AH244-380,AT$14)</f>
        <v>3.35174804197624e-6</v>
      </c>
      <c r="AU244" s="236">
        <f ca="1">INDEX(Photobiology!$21:$421,1+$AH244-380,AU$14)</f>
        <v>0.329061408998267</v>
      </c>
      <c r="AV244" s="236">
        <f ca="1">INDEX(Photobiology!$21:$421,1+$AH244-380,AV$14)</f>
        <v>0.754584268365939</v>
      </c>
      <c r="AW244" s="236">
        <f ca="1">INDEX(Photobiology!$21:$421,1+$AH244-380,AW$14)</f>
        <v>0.0267877600520333</v>
      </c>
      <c r="AX244" s="236">
        <f ca="1">INDEX(Photobiology!$21:$421,1+$AH244-380,AX$14)</f>
        <v>0.00318500155770821</v>
      </c>
      <c r="AY244" s="236">
        <f ca="1" t="shared" si="79"/>
        <v>13.3319879209511</v>
      </c>
      <c r="AZ244" s="236">
        <f ca="1" t="shared" si="93"/>
        <v>6.12393978160191e-5</v>
      </c>
      <c r="BA244" s="236">
        <f ca="1" t="shared" si="80"/>
        <v>4.87151351233056</v>
      </c>
      <c r="BB244" s="236">
        <f ca="1" t="shared" si="81"/>
        <v>10.6560662405621</v>
      </c>
      <c r="BC244" s="236">
        <f ca="1" t="shared" si="82"/>
        <v>0.422478790844042</v>
      </c>
      <c r="BD244" s="236">
        <f ca="1" t="shared" si="83"/>
        <v>0.0523854780545289</v>
      </c>
    </row>
    <row r="245" s="234" customFormat="1" ht="0.2" customHeight="1" spans="7:56">
      <c r="G245" s="236"/>
      <c r="H245" s="236">
        <f t="shared" si="84"/>
        <v>604</v>
      </c>
      <c r="I245" s="236">
        <f>IF($H245&gt;$H244,INDEX(Spectra!245:245,1,MATCH($I$20,Spectra!$20:$20,0)),I244)</f>
        <v>15.8618799356908</v>
      </c>
      <c r="J245" s="236">
        <f>((Physics!$C$9*Physics!$C$10)/(Physics!$C$11*Physics!$C$12*$H245))^($J$17-$J$18)</f>
        <v>3.0414577765897e+18</v>
      </c>
      <c r="K245" s="236">
        <f t="shared" si="85"/>
        <v>1</v>
      </c>
      <c r="L245" s="236">
        <f ca="1">INDEX(Photobiology!$21:$421,1+$H245-380,10)</f>
        <v>0.5796379</v>
      </c>
      <c r="M245" s="236">
        <f ca="1" t="shared" si="86"/>
        <v>15.8618799356908</v>
      </c>
      <c r="N245" s="236">
        <f ca="1">INDEX(Photobiology!$21:$421,1+$H245-380,N$14)</f>
        <v>4.25248705254853e-6</v>
      </c>
      <c r="O245" s="236">
        <f ca="1">INDEX(Photobiology!$21:$421,1+$H245-380,O$14)</f>
        <v>0.350943335930033</v>
      </c>
      <c r="P245" s="236">
        <f ca="1">INDEX(Photobiology!$21:$421,1+$H245-380,P$14)</f>
        <v>0.786687047977847</v>
      </c>
      <c r="Q245" s="236">
        <f ca="1">INDEX(Photobiology!$21:$421,1+$H245-380,Q$14)</f>
        <v>0.0292899074902117</v>
      </c>
      <c r="R245" s="236">
        <f ca="1">INDEX(Photobiology!$21:$421,1+$H245-380,R$14)</f>
        <v>0.00361042227533022</v>
      </c>
      <c r="S245" s="236">
        <f ca="1" t="shared" si="87"/>
        <v>4.82432380817389e+19</v>
      </c>
      <c r="T245" s="236">
        <f ca="1">INDEX(Photobiology!$21:$421,1+$H245-380,T$14)</f>
        <v>3.09783825020092e-6</v>
      </c>
      <c r="U245" s="236">
        <f ca="1">INDEX(Photobiology!$21:$421,1+$H245-380,U$14)</f>
        <v>0.315518861721271</v>
      </c>
      <c r="V245" s="236">
        <f ca="1">INDEX(Photobiology!$21:$421,1+$H245-380,V$14)</f>
        <v>0.741460671689546</v>
      </c>
      <c r="W245" s="236">
        <f ca="1">INDEX(Photobiology!$21:$421,1+$H245-380,W$14)</f>
        <v>0.0247186514475144</v>
      </c>
      <c r="X245" s="236">
        <f ca="1">INDEX(Photobiology!$21:$421,1+$H245-380,X$14)</f>
        <v>0.00292167579495914</v>
      </c>
      <c r="Y245" s="236">
        <f ca="1" t="shared" si="74"/>
        <v>15.8618799356908</v>
      </c>
      <c r="Z245" s="236">
        <f ca="1" t="shared" si="88"/>
        <v>6.74524390556044e-5</v>
      </c>
      <c r="AA245" s="236">
        <f ca="1" t="shared" si="75"/>
        <v>5.56662105875299</v>
      </c>
      <c r="AB245" s="236">
        <f ca="1" t="shared" si="76"/>
        <v>12.4783355019876</v>
      </c>
      <c r="AC245" s="236">
        <f ca="1" t="shared" si="77"/>
        <v>0.464592995937229</v>
      </c>
      <c r="AD245" s="236">
        <f ca="1" t="shared" si="78"/>
        <v>0.0572680846484315</v>
      </c>
      <c r="AE245" s="236"/>
      <c r="AF245" s="236"/>
      <c r="AG245" s="236"/>
      <c r="AH245" s="236">
        <f t="shared" si="89"/>
        <v>604</v>
      </c>
      <c r="AI245" s="236">
        <f>IF($AH245&gt;$AH244,INDEX(Spectra!245:245,1,MATCH($AI$20,Spectra!$20:$20,0)),AI244)</f>
        <v>1</v>
      </c>
      <c r="AJ245" s="236">
        <f>((Physics!$C$9*Physics!$C$10)/(Physics!$C$11*Physics!$C$12*$AH245))^($AJ$17-$AJ$18)</f>
        <v>3.0414577765897e+18</v>
      </c>
      <c r="AK245" s="236">
        <f t="shared" si="90"/>
        <v>1</v>
      </c>
      <c r="AL245" s="236">
        <f ca="1">INDEX(Photobiology!$21:$421,1+$AH245-380,10)</f>
        <v>0.5796379</v>
      </c>
      <c r="AM245" s="236">
        <f ca="1" t="shared" si="91"/>
        <v>13.3319879209511</v>
      </c>
      <c r="AN245" s="236">
        <f ca="1">INDEX(Photobiology!$21:$421,1+$AH245-380,AN$14)</f>
        <v>4.25248705254853e-6</v>
      </c>
      <c r="AO245" s="236">
        <f ca="1">INDEX(Photobiology!$21:$421,1+$AH245-380,AO$14)</f>
        <v>0.350943335930033</v>
      </c>
      <c r="AP245" s="236">
        <f ca="1">INDEX(Photobiology!$21:$421,1+$AH245-380,AP$14)</f>
        <v>0.786687047977847</v>
      </c>
      <c r="AQ245" s="236">
        <f ca="1">INDEX(Photobiology!$21:$421,1+$AH245-380,AQ$14)</f>
        <v>0.0292899074902117</v>
      </c>
      <c r="AR245" s="236">
        <f ca="1">INDEX(Photobiology!$21:$421,1+$AH245-380,AR$14)</f>
        <v>0.00361042227533022</v>
      </c>
      <c r="AS245" s="236">
        <f ca="1" t="shared" si="92"/>
        <v>4.05486783395768e+19</v>
      </c>
      <c r="AT245" s="236">
        <f ca="1">INDEX(Photobiology!$21:$421,1+$AH245-380,AT$14)</f>
        <v>3.09783825020092e-6</v>
      </c>
      <c r="AU245" s="236">
        <f ca="1">INDEX(Photobiology!$21:$421,1+$AH245-380,AU$14)</f>
        <v>0.315518861721271</v>
      </c>
      <c r="AV245" s="236">
        <f ca="1">INDEX(Photobiology!$21:$421,1+$AH245-380,AV$14)</f>
        <v>0.741460671689546</v>
      </c>
      <c r="AW245" s="236">
        <f ca="1">INDEX(Photobiology!$21:$421,1+$AH245-380,AW$14)</f>
        <v>0.0247186514475144</v>
      </c>
      <c r="AX245" s="236">
        <f ca="1">INDEX(Photobiology!$21:$421,1+$AH245-380,AX$14)</f>
        <v>0.00292167579495914</v>
      </c>
      <c r="AY245" s="236">
        <f ca="1" t="shared" si="79"/>
        <v>13.3319879209511</v>
      </c>
      <c r="AZ245" s="236">
        <f ca="1" t="shared" si="93"/>
        <v>5.66941060185781e-5</v>
      </c>
      <c r="BA245" s="236">
        <f ca="1" t="shared" si="80"/>
        <v>4.6787723155575</v>
      </c>
      <c r="BB245" s="236">
        <f ca="1" t="shared" si="81"/>
        <v>10.4881022212094</v>
      </c>
      <c r="BC245" s="236">
        <f ca="1" t="shared" si="82"/>
        <v>0.390492692865279</v>
      </c>
      <c r="BD245" s="236">
        <f ca="1" t="shared" si="83"/>
        <v>0.0481341061642354</v>
      </c>
    </row>
    <row r="246" s="234" customFormat="1" ht="0.2" customHeight="1" spans="7:56">
      <c r="G246" s="236"/>
      <c r="H246" s="236">
        <f t="shared" si="84"/>
        <v>605</v>
      </c>
      <c r="I246" s="236">
        <f>IF($H246&gt;$H245,INDEX(Spectra!246:246,1,MATCH($I$20,Spectra!$20:$20,0)),I245)</f>
        <v>16.2048742934763</v>
      </c>
      <c r="J246" s="236">
        <f>((Physics!$C$9*Physics!$C$10)/(Physics!$C$11*Physics!$C$12*$H246))^($J$17-$J$18)</f>
        <v>3.04649330270988e+18</v>
      </c>
      <c r="K246" s="236">
        <f t="shared" si="85"/>
        <v>1</v>
      </c>
      <c r="L246" s="236">
        <f ca="1">INDEX(Photobiology!$21:$421,1+$H246-380,10)</f>
        <v>0.5668</v>
      </c>
      <c r="M246" s="236">
        <f ca="1" t="shared" si="86"/>
        <v>16.2048742934763</v>
      </c>
      <c r="N246" s="236">
        <f ca="1">INDEX(Photobiology!$21:$421,1+$H246-380,N$14)</f>
        <v>3.93789380372832e-6</v>
      </c>
      <c r="O246" s="236">
        <f ca="1">INDEX(Photobiology!$21:$421,1+$H246-380,O$14)</f>
        <v>0.336744103637712</v>
      </c>
      <c r="P246" s="236">
        <f ca="1">INDEX(Photobiology!$21:$421,1+$H246-380,P$14)</f>
        <v>0.773827215876</v>
      </c>
      <c r="Q246" s="236">
        <f ca="1">INDEX(Photobiology!$21:$421,1+$H246-380,Q$14)</f>
        <v>0.0270630038921963</v>
      </c>
      <c r="R246" s="236">
        <f ca="1">INDEX(Photobiology!$21:$421,1+$H246-380,R$14)</f>
        <v>0.00331766094223171</v>
      </c>
      <c r="S246" s="236">
        <f ca="1" t="shared" si="87"/>
        <v>4.9368041006331e+19</v>
      </c>
      <c r="T246" s="236">
        <f ca="1">INDEX(Photobiology!$21:$421,1+$H246-380,T$14)</f>
        <v>2.86392276634787e-6</v>
      </c>
      <c r="U246" s="236">
        <f ca="1">INDEX(Photobiology!$21:$421,1+$H246-380,U$14)</f>
        <v>0.302252492175166</v>
      </c>
      <c r="V246" s="236">
        <f ca="1">INDEX(Photobiology!$21:$421,1+$H246-380,V$14)</f>
        <v>0.728134626146518</v>
      </c>
      <c r="W246" s="236">
        <f ca="1">INDEX(Photobiology!$21:$421,1+$H246-380,W$14)</f>
        <v>0.0228015482794379</v>
      </c>
      <c r="X246" s="236">
        <f ca="1">INDEX(Photobiology!$21:$421,1+$H246-380,X$14)</f>
        <v>0.00268032579872653</v>
      </c>
      <c r="Y246" s="236">
        <f ca="1" t="shared" si="74"/>
        <v>16.2048742934763</v>
      </c>
      <c r="Z246" s="236">
        <f ca="1" t="shared" si="88"/>
        <v>6.38130740704767e-5</v>
      </c>
      <c r="AA246" s="236">
        <f ca="1" t="shared" si="75"/>
        <v>5.45689586851848</v>
      </c>
      <c r="AB246" s="236">
        <f ca="1" t="shared" si="76"/>
        <v>12.5397727581413</v>
      </c>
      <c r="AC246" s="236">
        <f ca="1" t="shared" si="77"/>
        <v>0.438552576076901</v>
      </c>
      <c r="AD246" s="236">
        <f ca="1" t="shared" si="78"/>
        <v>0.053762278517241</v>
      </c>
      <c r="AE246" s="236"/>
      <c r="AF246" s="236"/>
      <c r="AG246" s="236"/>
      <c r="AH246" s="236">
        <f t="shared" si="89"/>
        <v>605</v>
      </c>
      <c r="AI246" s="236">
        <f>IF($AH246&gt;$AH245,INDEX(Spectra!246:246,1,MATCH($AI$20,Spectra!$20:$20,0)),AI245)</f>
        <v>1</v>
      </c>
      <c r="AJ246" s="236">
        <f>((Physics!$C$9*Physics!$C$10)/(Physics!$C$11*Physics!$C$12*$AH246))^($AJ$17-$AJ$18)</f>
        <v>3.04649330270988e+18</v>
      </c>
      <c r="AK246" s="236">
        <f t="shared" si="90"/>
        <v>1</v>
      </c>
      <c r="AL246" s="236">
        <f ca="1">INDEX(Photobiology!$21:$421,1+$AH246-380,10)</f>
        <v>0.5668</v>
      </c>
      <c r="AM246" s="236">
        <f ca="1" t="shared" si="91"/>
        <v>13.3319879209511</v>
      </c>
      <c r="AN246" s="236">
        <f ca="1">INDEX(Photobiology!$21:$421,1+$AH246-380,AN$14)</f>
        <v>3.93789380372832e-6</v>
      </c>
      <c r="AO246" s="236">
        <f ca="1">INDEX(Photobiology!$21:$421,1+$AH246-380,AO$14)</f>
        <v>0.336744103637712</v>
      </c>
      <c r="AP246" s="236">
        <f ca="1">INDEX(Photobiology!$21:$421,1+$AH246-380,AP$14)</f>
        <v>0.773827215876</v>
      </c>
      <c r="AQ246" s="236">
        <f ca="1">INDEX(Photobiology!$21:$421,1+$AH246-380,AQ$14)</f>
        <v>0.0270630038921963</v>
      </c>
      <c r="AR246" s="236">
        <f ca="1">INDEX(Photobiology!$21:$421,1+$AH246-380,AR$14)</f>
        <v>0.00331766094223171</v>
      </c>
      <c r="AS246" s="236">
        <f ca="1" t="shared" si="92"/>
        <v>4.06158119129867e+19</v>
      </c>
      <c r="AT246" s="236">
        <f ca="1">INDEX(Photobiology!$21:$421,1+$AH246-380,AT$14)</f>
        <v>2.86392276634787e-6</v>
      </c>
      <c r="AU246" s="236">
        <f ca="1">INDEX(Photobiology!$21:$421,1+$AH246-380,AU$14)</f>
        <v>0.302252492175166</v>
      </c>
      <c r="AV246" s="236">
        <f ca="1">INDEX(Photobiology!$21:$421,1+$AH246-380,AV$14)</f>
        <v>0.728134626146518</v>
      </c>
      <c r="AW246" s="236">
        <f ca="1">INDEX(Photobiology!$21:$421,1+$AH246-380,AW$14)</f>
        <v>0.0228015482794379</v>
      </c>
      <c r="AX246" s="236">
        <f ca="1">INDEX(Photobiology!$21:$421,1+$AH246-380,AX$14)</f>
        <v>0.00268032579872653</v>
      </c>
      <c r="AY246" s="236">
        <f ca="1" t="shared" si="79"/>
        <v>13.3319879209511</v>
      </c>
      <c r="AZ246" s="236">
        <f ca="1" t="shared" si="93"/>
        <v>5.24999526252943e-5</v>
      </c>
      <c r="BA246" s="236">
        <f ca="1" t="shared" si="80"/>
        <v>4.4894683221495</v>
      </c>
      <c r="BB246" s="236">
        <f ca="1" t="shared" si="81"/>
        <v>10.3166550949621</v>
      </c>
      <c r="BC246" s="236">
        <f ca="1" t="shared" si="82"/>
        <v>0.360803640995415</v>
      </c>
      <c r="BD246" s="236">
        <f ca="1" t="shared" si="83"/>
        <v>0.0442310156076445</v>
      </c>
    </row>
    <row r="247" s="234" customFormat="1" ht="0.2" customHeight="1" spans="7:56">
      <c r="G247" s="236"/>
      <c r="H247" s="236">
        <f t="shared" si="84"/>
        <v>606</v>
      </c>
      <c r="I247" s="236">
        <f>IF($H247&gt;$H246,INDEX(Spectra!247:247,1,MATCH($I$20,Spectra!$20:$20,0)),I246)</f>
        <v>16.5036195138469</v>
      </c>
      <c r="J247" s="236">
        <f>((Physics!$C$9*Physics!$C$10)/(Physics!$C$11*Physics!$C$12*$H247))^($J$17-$J$18)</f>
        <v>3.05152882883006e+18</v>
      </c>
      <c r="K247" s="236">
        <f t="shared" si="85"/>
        <v>1</v>
      </c>
      <c r="L247" s="236">
        <f ca="1">INDEX(Photobiology!$21:$421,1+$H247-380,10)</f>
        <v>0.5539611</v>
      </c>
      <c r="M247" s="236">
        <f ca="1" t="shared" si="86"/>
        <v>16.5036195138469</v>
      </c>
      <c r="N247" s="236">
        <f ca="1">INDEX(Photobiology!$21:$421,1+$H247-380,N$14)</f>
        <v>3.64751427303308e-6</v>
      </c>
      <c r="O247" s="236">
        <f ca="1">INDEX(Photobiology!$21:$421,1+$H247-380,O$14)</f>
        <v>0.322816704745423</v>
      </c>
      <c r="P247" s="236">
        <f ca="1">INDEX(Photobiology!$21:$421,1+$H247-380,P$14)</f>
        <v>0.760720290085854</v>
      </c>
      <c r="Q247" s="236">
        <f ca="1">INDEX(Photobiology!$21:$421,1+$H247-380,Q$14)</f>
        <v>0.0249974092268192</v>
      </c>
      <c r="R247" s="236">
        <f ca="1">INDEX(Photobiology!$21:$421,1+$H247-380,R$14)</f>
        <v>0.00304891277497236</v>
      </c>
      <c r="S247" s="236">
        <f ca="1" t="shared" si="87"/>
        <v>5.03612707265462e+19</v>
      </c>
      <c r="T247" s="236">
        <f ca="1">INDEX(Photobiology!$21:$421,1+$H247-380,T$14)</f>
        <v>2.64836019824184e-6</v>
      </c>
      <c r="U247" s="236">
        <f ca="1">INDEX(Photobiology!$21:$421,1+$H247-380,U$14)</f>
        <v>0.289273493784904</v>
      </c>
      <c r="V247" s="236">
        <f ca="1">INDEX(Photobiology!$21:$421,1+$H247-380,V$14)</f>
        <v>0.714620441205764</v>
      </c>
      <c r="W247" s="236">
        <f ca="1">INDEX(Photobiology!$21:$421,1+$H247-380,W$14)</f>
        <v>0.0210264564555305</v>
      </c>
      <c r="X247" s="236">
        <f ca="1">INDEX(Photobiology!$21:$421,1+$H247-380,X$14)</f>
        <v>0.00245914047006885</v>
      </c>
      <c r="Y247" s="236">
        <f ca="1" t="shared" si="74"/>
        <v>16.5036195138469</v>
      </c>
      <c r="Z247" s="236">
        <f ca="1" t="shared" si="88"/>
        <v>6.01971877334638e-5</v>
      </c>
      <c r="AA247" s="236">
        <f ca="1" t="shared" si="75"/>
        <v>5.32764406783232</v>
      </c>
      <c r="AB247" s="236">
        <f ca="1" t="shared" si="76"/>
        <v>12.5546382240402</v>
      </c>
      <c r="AC247" s="236">
        <f ca="1" t="shared" si="77"/>
        <v>0.41254773071135</v>
      </c>
      <c r="AD247" s="236">
        <f ca="1" t="shared" si="78"/>
        <v>0.0503180963690509</v>
      </c>
      <c r="AE247" s="236"/>
      <c r="AF247" s="236"/>
      <c r="AG247" s="236"/>
      <c r="AH247" s="236">
        <f t="shared" si="89"/>
        <v>606</v>
      </c>
      <c r="AI247" s="236">
        <f>IF($AH247&gt;$AH246,INDEX(Spectra!247:247,1,MATCH($AI$20,Spectra!$20:$20,0)),AI246)</f>
        <v>1</v>
      </c>
      <c r="AJ247" s="236">
        <f>((Physics!$C$9*Physics!$C$10)/(Physics!$C$11*Physics!$C$12*$AH247))^($AJ$17-$AJ$18)</f>
        <v>3.05152882883006e+18</v>
      </c>
      <c r="AK247" s="236">
        <f t="shared" si="90"/>
        <v>1</v>
      </c>
      <c r="AL247" s="236">
        <f ca="1">INDEX(Photobiology!$21:$421,1+$AH247-380,10)</f>
        <v>0.5539611</v>
      </c>
      <c r="AM247" s="236">
        <f ca="1" t="shared" si="91"/>
        <v>13.3319879209511</v>
      </c>
      <c r="AN247" s="236">
        <f ca="1">INDEX(Photobiology!$21:$421,1+$AH247-380,AN$14)</f>
        <v>3.64751427303308e-6</v>
      </c>
      <c r="AO247" s="236">
        <f ca="1">INDEX(Photobiology!$21:$421,1+$AH247-380,AO$14)</f>
        <v>0.322816704745423</v>
      </c>
      <c r="AP247" s="236">
        <f ca="1">INDEX(Photobiology!$21:$421,1+$AH247-380,AP$14)</f>
        <v>0.760720290085854</v>
      </c>
      <c r="AQ247" s="236">
        <f ca="1">INDEX(Photobiology!$21:$421,1+$AH247-380,AQ$14)</f>
        <v>0.0249974092268192</v>
      </c>
      <c r="AR247" s="236">
        <f ca="1">INDEX(Photobiology!$21:$421,1+$AH247-380,AR$14)</f>
        <v>0.00304891277497236</v>
      </c>
      <c r="AS247" s="236">
        <f ca="1" t="shared" si="92"/>
        <v>4.06829454863966e+19</v>
      </c>
      <c r="AT247" s="236">
        <f ca="1">INDEX(Photobiology!$21:$421,1+$AH247-380,AT$14)</f>
        <v>2.64836019824184e-6</v>
      </c>
      <c r="AU247" s="236">
        <f ca="1">INDEX(Photobiology!$21:$421,1+$AH247-380,AU$14)</f>
        <v>0.289273493784904</v>
      </c>
      <c r="AV247" s="236">
        <f ca="1">INDEX(Photobiology!$21:$421,1+$AH247-380,AV$14)</f>
        <v>0.714620441205764</v>
      </c>
      <c r="AW247" s="236">
        <f ca="1">INDEX(Photobiology!$21:$421,1+$AH247-380,AW$14)</f>
        <v>0.0210264564555305</v>
      </c>
      <c r="AX247" s="236">
        <f ca="1">INDEX(Photobiology!$21:$421,1+$AH247-380,AX$14)</f>
        <v>0.00245914047006885</v>
      </c>
      <c r="AY247" s="236">
        <f ca="1" t="shared" si="79"/>
        <v>13.3319879209511</v>
      </c>
      <c r="AZ247" s="236">
        <f ca="1" t="shared" si="93"/>
        <v>4.86286162295739e-5</v>
      </c>
      <c r="BA247" s="236">
        <f ca="1" t="shared" si="80"/>
        <v>4.30378840834723</v>
      </c>
      <c r="BB247" s="236">
        <f ca="1" t="shared" si="81"/>
        <v>10.1419137186471</v>
      </c>
      <c r="BC247" s="236">
        <f ca="1" t="shared" si="82"/>
        <v>0.333265157867026</v>
      </c>
      <c r="BD247" s="236">
        <f ca="1" t="shared" si="83"/>
        <v>0.0406480682879651</v>
      </c>
    </row>
    <row r="248" s="234" customFormat="1" ht="0.2" customHeight="1" spans="7:56">
      <c r="G248" s="236"/>
      <c r="H248" s="236">
        <f t="shared" si="84"/>
        <v>607</v>
      </c>
      <c r="I248" s="236">
        <f>IF($H248&gt;$H247,INDEX(Spectra!248:248,1,MATCH($I$20,Spectra!$20:$20,0)),I247)</f>
        <v>16.9201855876923</v>
      </c>
      <c r="J248" s="236">
        <f>((Physics!$C$9*Physics!$C$10)/(Physics!$C$11*Physics!$C$12*$H248))^($J$17-$J$18)</f>
        <v>3.05656435495024e+18</v>
      </c>
      <c r="K248" s="236">
        <f t="shared" si="85"/>
        <v>1</v>
      </c>
      <c r="L248" s="236">
        <f ca="1">INDEX(Photobiology!$21:$421,1+$H248-380,10)</f>
        <v>0.5411372</v>
      </c>
      <c r="M248" s="236">
        <f ca="1" t="shared" si="86"/>
        <v>16.9201855876923</v>
      </c>
      <c r="N248" s="236">
        <f ca="1">INDEX(Photobiology!$21:$421,1+$H248-380,N$14)</f>
        <v>3.37942645874359e-6</v>
      </c>
      <c r="O248" s="236">
        <f ca="1">INDEX(Photobiology!$21:$421,1+$H248-380,O$14)</f>
        <v>0.30917188938917</v>
      </c>
      <c r="P248" s="236">
        <f ca="1">INDEX(Photobiology!$21:$421,1+$H248-380,P$14)</f>
        <v>0.747380908838289</v>
      </c>
      <c r="Q248" s="236">
        <f ca="1">INDEX(Photobiology!$21:$421,1+$H248-380,Q$14)</f>
        <v>0.0230827208776823</v>
      </c>
      <c r="R248" s="236">
        <f ca="1">INDEX(Photobiology!$21:$421,1+$H248-380,R$14)</f>
        <v>0.00280219916935728</v>
      </c>
      <c r="S248" s="236">
        <f ca="1" t="shared" si="87"/>
        <v>5.17176361464831e+19</v>
      </c>
      <c r="T248" s="236">
        <f ca="1">INDEX(Photobiology!$21:$421,1+$H248-380,T$14)</f>
        <v>2.44966662577789e-6</v>
      </c>
      <c r="U248" s="236">
        <f ca="1">INDEX(Photobiology!$21:$421,1+$H248-380,U$14)</f>
        <v>0.276590063506451</v>
      </c>
      <c r="V248" s="236">
        <f ca="1">INDEX(Photobiology!$21:$421,1+$H248-380,V$14)</f>
        <v>0.700932775212008</v>
      </c>
      <c r="W248" s="236">
        <f ca="1">INDEX(Photobiology!$21:$421,1+$H248-380,W$14)</f>
        <v>0.0193839384096663</v>
      </c>
      <c r="X248" s="236">
        <f ca="1">INDEX(Photobiology!$21:$421,1+$H248-380,X$14)</f>
        <v>0.00225642690837637</v>
      </c>
      <c r="Y248" s="236">
        <f ca="1" t="shared" si="74"/>
        <v>16.9201855876923</v>
      </c>
      <c r="Z248" s="236">
        <f ca="1" t="shared" si="88"/>
        <v>5.71805228618993e-5</v>
      </c>
      <c r="AA248" s="236">
        <f ca="1" t="shared" si="75"/>
        <v>5.23124574696223</v>
      </c>
      <c r="AB248" s="236">
        <f ca="1" t="shared" si="76"/>
        <v>12.645823682242</v>
      </c>
      <c r="AC248" s="236">
        <f ca="1" t="shared" si="77"/>
        <v>0.390563921119284</v>
      </c>
      <c r="AD248" s="236">
        <f ca="1" t="shared" si="78"/>
        <v>0.0474137299992024</v>
      </c>
      <c r="AE248" s="236"/>
      <c r="AF248" s="236"/>
      <c r="AG248" s="236"/>
      <c r="AH248" s="236">
        <f t="shared" si="89"/>
        <v>607</v>
      </c>
      <c r="AI248" s="236">
        <f>IF($AH248&gt;$AH247,INDEX(Spectra!248:248,1,MATCH($AI$20,Spectra!$20:$20,0)),AI247)</f>
        <v>1</v>
      </c>
      <c r="AJ248" s="236">
        <f>((Physics!$C$9*Physics!$C$10)/(Physics!$C$11*Physics!$C$12*$AH248))^($AJ$17-$AJ$18)</f>
        <v>3.05656435495024e+18</v>
      </c>
      <c r="AK248" s="236">
        <f t="shared" si="90"/>
        <v>1</v>
      </c>
      <c r="AL248" s="236">
        <f ca="1">INDEX(Photobiology!$21:$421,1+$AH248-380,10)</f>
        <v>0.5411372</v>
      </c>
      <c r="AM248" s="236">
        <f ca="1" t="shared" si="91"/>
        <v>13.3319879209511</v>
      </c>
      <c r="AN248" s="236">
        <f ca="1">INDEX(Photobiology!$21:$421,1+$AH248-380,AN$14)</f>
        <v>3.37942645874359e-6</v>
      </c>
      <c r="AO248" s="236">
        <f ca="1">INDEX(Photobiology!$21:$421,1+$AH248-380,AO$14)</f>
        <v>0.30917188938917</v>
      </c>
      <c r="AP248" s="236">
        <f ca="1">INDEX(Photobiology!$21:$421,1+$AH248-380,AP$14)</f>
        <v>0.747380908838289</v>
      </c>
      <c r="AQ248" s="236">
        <f ca="1">INDEX(Photobiology!$21:$421,1+$AH248-380,AQ$14)</f>
        <v>0.0230827208776823</v>
      </c>
      <c r="AR248" s="236">
        <f ca="1">INDEX(Photobiology!$21:$421,1+$AH248-380,AR$14)</f>
        <v>0.00280219916935728</v>
      </c>
      <c r="AS248" s="236">
        <f ca="1" t="shared" si="92"/>
        <v>4.07500790598065e+19</v>
      </c>
      <c r="AT248" s="236">
        <f ca="1">INDEX(Photobiology!$21:$421,1+$AH248-380,AT$14)</f>
        <v>2.44966662577789e-6</v>
      </c>
      <c r="AU248" s="236">
        <f ca="1">INDEX(Photobiology!$21:$421,1+$AH248-380,AU$14)</f>
        <v>0.276590063506451</v>
      </c>
      <c r="AV248" s="236">
        <f ca="1">INDEX(Photobiology!$21:$421,1+$AH248-380,AV$14)</f>
        <v>0.700932775212008</v>
      </c>
      <c r="AW248" s="236">
        <f ca="1">INDEX(Photobiology!$21:$421,1+$AH248-380,AW$14)</f>
        <v>0.0193839384096663</v>
      </c>
      <c r="AX248" s="236">
        <f ca="1">INDEX(Photobiology!$21:$421,1+$AH248-380,AX$14)</f>
        <v>0.00225642690837637</v>
      </c>
      <c r="AY248" s="236">
        <f ca="1" t="shared" si="79"/>
        <v>13.3319879209511</v>
      </c>
      <c r="AZ248" s="236">
        <f ca="1" t="shared" si="93"/>
        <v>4.50544727277122e-5</v>
      </c>
      <c r="BA248" s="236">
        <f ca="1" t="shared" si="80"/>
        <v>4.12187589483406</v>
      </c>
      <c r="BB248" s="236">
        <f ca="1" t="shared" si="81"/>
        <v>9.96407324898155</v>
      </c>
      <c r="BC248" s="236">
        <f ca="1" t="shared" si="82"/>
        <v>0.307738555923947</v>
      </c>
      <c r="BD248" s="236">
        <f ca="1" t="shared" si="83"/>
        <v>0.0373588854779706</v>
      </c>
    </row>
    <row r="249" s="234" customFormat="1" ht="0.2" customHeight="1" spans="7:56">
      <c r="G249" s="236"/>
      <c r="H249" s="236">
        <f t="shared" si="84"/>
        <v>608</v>
      </c>
      <c r="I249" s="236">
        <f>IF($H249&gt;$H248,INDEX(Spectra!249:249,1,MATCH($I$20,Spectra!$20:$20,0)),I248)</f>
        <v>17.2628602703595</v>
      </c>
      <c r="J249" s="236">
        <f>((Physics!$C$9*Physics!$C$10)/(Physics!$C$11*Physics!$C$12*$H249))^($J$17-$J$18)</f>
        <v>3.06159988107043e+18</v>
      </c>
      <c r="K249" s="236">
        <f t="shared" si="85"/>
        <v>1</v>
      </c>
      <c r="L249" s="236">
        <f ca="1">INDEX(Photobiology!$21:$421,1+$H249-380,10)</f>
        <v>0.5283528</v>
      </c>
      <c r="M249" s="236">
        <f ca="1" t="shared" si="86"/>
        <v>17.2628602703595</v>
      </c>
      <c r="N249" s="236">
        <f ca="1">INDEX(Photobiology!$21:$421,1+$H249-380,N$14)</f>
        <v>3.13185033645523e-6</v>
      </c>
      <c r="O249" s="236">
        <f ca="1">INDEX(Photobiology!$21:$421,1+$H249-380,O$14)</f>
        <v>0.295823042899461</v>
      </c>
      <c r="P249" s="236">
        <f ca="1">INDEX(Photobiology!$21:$421,1+$H249-380,P$14)</f>
        <v>0.733824149668653</v>
      </c>
      <c r="Q249" s="236">
        <f ca="1">INDEX(Photobiology!$21:$421,1+$H249-380,Q$14)</f>
        <v>0.0213089475295197</v>
      </c>
      <c r="R249" s="236">
        <f ca="1">INDEX(Photobiology!$21:$421,1+$H249-380,R$14)</f>
        <v>0.00257572207459912</v>
      </c>
      <c r="S249" s="236">
        <f ca="1" t="shared" si="87"/>
        <v>5.28519709506681e+19</v>
      </c>
      <c r="T249" s="236">
        <f ca="1">INDEX(Photobiology!$21:$421,1+$H249-380,T$14)</f>
        <v>2.26647063822418e-6</v>
      </c>
      <c r="U249" s="236">
        <f ca="1">INDEX(Photobiology!$21:$421,1+$H249-380,U$14)</f>
        <v>0.264212697977675</v>
      </c>
      <c r="V249" s="236">
        <f ca="1">INDEX(Photobiology!$21:$421,1+$H249-380,V$14)</f>
        <v>0.687086601398488</v>
      </c>
      <c r="W249" s="236">
        <f ca="1">INDEX(Photobiology!$21:$421,1+$H249-380,W$14)</f>
        <v>0.017864963490997</v>
      </c>
      <c r="X249" s="236">
        <f ca="1">INDEX(Photobiology!$21:$421,1+$H249-380,X$14)</f>
        <v>0.00207064849921682</v>
      </c>
      <c r="Y249" s="236">
        <f ca="1" t="shared" si="74"/>
        <v>17.2628602703595</v>
      </c>
      <c r="Z249" s="236">
        <f ca="1" t="shared" si="88"/>
        <v>5.4064694745905e-5</v>
      </c>
      <c r="AA249" s="236">
        <f ca="1" t="shared" si="75"/>
        <v>5.10675185432596</v>
      </c>
      <c r="AB249" s="236">
        <f ca="1" t="shared" si="76"/>
        <v>12.6679037587453</v>
      </c>
      <c r="AC249" s="236">
        <f ca="1" t="shared" si="77"/>
        <v>0.367853383710521</v>
      </c>
      <c r="AD249" s="236">
        <f ca="1" t="shared" si="78"/>
        <v>0.0444643302690851</v>
      </c>
      <c r="AE249" s="236"/>
      <c r="AF249" s="236"/>
      <c r="AG249" s="236"/>
      <c r="AH249" s="236">
        <f t="shared" si="89"/>
        <v>608</v>
      </c>
      <c r="AI249" s="236">
        <f>IF($AH249&gt;$AH248,INDEX(Spectra!249:249,1,MATCH($AI$20,Spectra!$20:$20,0)),AI248)</f>
        <v>1</v>
      </c>
      <c r="AJ249" s="236">
        <f>((Physics!$C$9*Physics!$C$10)/(Physics!$C$11*Physics!$C$12*$AH249))^($AJ$17-$AJ$18)</f>
        <v>3.06159988107043e+18</v>
      </c>
      <c r="AK249" s="236">
        <f t="shared" si="90"/>
        <v>1</v>
      </c>
      <c r="AL249" s="236">
        <f ca="1">INDEX(Photobiology!$21:$421,1+$AH249-380,10)</f>
        <v>0.5283528</v>
      </c>
      <c r="AM249" s="236">
        <f ca="1" t="shared" si="91"/>
        <v>13.3319879209511</v>
      </c>
      <c r="AN249" s="236">
        <f ca="1">INDEX(Photobiology!$21:$421,1+$AH249-380,AN$14)</f>
        <v>3.13185033645523e-6</v>
      </c>
      <c r="AO249" s="236">
        <f ca="1">INDEX(Photobiology!$21:$421,1+$AH249-380,AO$14)</f>
        <v>0.295823042899461</v>
      </c>
      <c r="AP249" s="236">
        <f ca="1">INDEX(Photobiology!$21:$421,1+$AH249-380,AP$14)</f>
        <v>0.733824149668653</v>
      </c>
      <c r="AQ249" s="236">
        <f ca="1">INDEX(Photobiology!$21:$421,1+$AH249-380,AQ$14)</f>
        <v>0.0213089475295197</v>
      </c>
      <c r="AR249" s="236">
        <f ca="1">INDEX(Photobiology!$21:$421,1+$AH249-380,AR$14)</f>
        <v>0.00257572207459912</v>
      </c>
      <c r="AS249" s="236">
        <f ca="1" t="shared" si="92"/>
        <v>4.08172126332164e+19</v>
      </c>
      <c r="AT249" s="236">
        <f ca="1">INDEX(Photobiology!$21:$421,1+$AH249-380,AT$14)</f>
        <v>2.26647063822418e-6</v>
      </c>
      <c r="AU249" s="236">
        <f ca="1">INDEX(Photobiology!$21:$421,1+$AH249-380,AU$14)</f>
        <v>0.264212697977675</v>
      </c>
      <c r="AV249" s="236">
        <f ca="1">INDEX(Photobiology!$21:$421,1+$AH249-380,AV$14)</f>
        <v>0.687086601398488</v>
      </c>
      <c r="AW249" s="236">
        <f ca="1">INDEX(Photobiology!$21:$421,1+$AH249-380,AW$14)</f>
        <v>0.017864963490997</v>
      </c>
      <c r="AX249" s="236">
        <f ca="1">INDEX(Photobiology!$21:$421,1+$AH249-380,AX$14)</f>
        <v>0.00207064849921682</v>
      </c>
      <c r="AY249" s="236">
        <f ca="1" t="shared" si="79"/>
        <v>13.3319879209511</v>
      </c>
      <c r="AZ249" s="236">
        <f ca="1" t="shared" si="93"/>
        <v>4.17537908558479e-5</v>
      </c>
      <c r="BA249" s="236">
        <f ca="1" t="shared" si="80"/>
        <v>3.94390923467462</v>
      </c>
      <c r="BB249" s="236">
        <f ca="1" t="shared" si="81"/>
        <v>9.78333469948472</v>
      </c>
      <c r="BC249" s="236">
        <f ca="1" t="shared" si="82"/>
        <v>0.284090631071738</v>
      </c>
      <c r="BD249" s="236">
        <f ca="1" t="shared" si="83"/>
        <v>0.0343394955862827</v>
      </c>
    </row>
    <row r="250" s="234" customFormat="1" ht="0.2" customHeight="1" spans="7:56">
      <c r="G250" s="236"/>
      <c r="H250" s="236">
        <f t="shared" si="84"/>
        <v>609</v>
      </c>
      <c r="I250" s="236">
        <f>IF($H250&gt;$H249,INDEX(Spectra!250:250,1,MATCH($I$20,Spectra!$20:$20,0)),I249)</f>
        <v>17.6894608816923</v>
      </c>
      <c r="J250" s="236">
        <f>((Physics!$C$9*Physics!$C$10)/(Physics!$C$11*Physics!$C$12*$H250))^($J$17-$J$18)</f>
        <v>3.06663540719061e+18</v>
      </c>
      <c r="K250" s="236">
        <f t="shared" si="85"/>
        <v>1</v>
      </c>
      <c r="L250" s="236">
        <f ca="1">INDEX(Photobiology!$21:$421,1+$H250-380,10)</f>
        <v>0.5156323</v>
      </c>
      <c r="M250" s="236">
        <f ca="1" t="shared" si="86"/>
        <v>17.6894608816923</v>
      </c>
      <c r="N250" s="236">
        <f ca="1">INDEX(Photobiology!$21:$421,1+$H250-380,N$14)</f>
        <v>2.90314682109881e-6</v>
      </c>
      <c r="O250" s="236">
        <f ca="1">INDEX(Photobiology!$21:$421,1+$H250-380,O$14)</f>
        <v>0.282779550630806</v>
      </c>
      <c r="P250" s="236">
        <f ca="1">INDEX(Photobiology!$21:$421,1+$H250-380,P$14)</f>
        <v>0.72006715242914</v>
      </c>
      <c r="Q250" s="236">
        <f ca="1">INDEX(Photobiology!$21:$421,1+$H250-380,Q$14)</f>
        <v>0.0196667682428405</v>
      </c>
      <c r="R250" s="236">
        <f ca="1">INDEX(Photobiology!$21:$421,1+$H250-380,R$14)</f>
        <v>0.00236782717200326</v>
      </c>
      <c r="S250" s="236">
        <f ca="1" t="shared" si="87"/>
        <v>5.42471270739108e+19</v>
      </c>
      <c r="T250" s="236">
        <f ca="1">INDEX(Photobiology!$21:$421,1+$H250-380,T$14)</f>
        <v>2.097511660564e-6</v>
      </c>
      <c r="U250" s="236">
        <f ca="1">INDEX(Photobiology!$21:$421,1+$H250-380,U$14)</f>
        <v>0.252148258203064</v>
      </c>
      <c r="V250" s="236">
        <f ca="1">INDEX(Photobiology!$21:$421,1+$H250-380,V$14)</f>
        <v>0.673098722448441</v>
      </c>
      <c r="W250" s="236">
        <f ca="1">INDEX(Photobiology!$21:$421,1+$H250-380,W$14)</f>
        <v>0.0164611214690599</v>
      </c>
      <c r="X250" s="236">
        <f ca="1">INDEX(Photobiology!$21:$421,1+$H250-380,X$14)</f>
        <v>0.00190039407878376</v>
      </c>
      <c r="Y250" s="236">
        <f ca="1" t="shared" si="74"/>
        <v>17.6894608816923</v>
      </c>
      <c r="Z250" s="236">
        <f ca="1" t="shared" si="88"/>
        <v>5.13551021256367e-5</v>
      </c>
      <c r="AA250" s="236">
        <f ca="1" t="shared" si="75"/>
        <v>5.00221779902617</v>
      </c>
      <c r="AB250" s="236">
        <f ca="1" t="shared" si="76"/>
        <v>12.7375997250868</v>
      </c>
      <c r="AC250" s="236">
        <f ca="1" t="shared" si="77"/>
        <v>0.347894527501035</v>
      </c>
      <c r="AD250" s="236">
        <f ca="1" t="shared" si="78"/>
        <v>0.0418855861337598</v>
      </c>
      <c r="AE250" s="236"/>
      <c r="AF250" s="236"/>
      <c r="AG250" s="236"/>
      <c r="AH250" s="236">
        <f t="shared" si="89"/>
        <v>609</v>
      </c>
      <c r="AI250" s="236">
        <f>IF($AH250&gt;$AH249,INDEX(Spectra!250:250,1,MATCH($AI$20,Spectra!$20:$20,0)),AI249)</f>
        <v>1</v>
      </c>
      <c r="AJ250" s="236">
        <f>((Physics!$C$9*Physics!$C$10)/(Physics!$C$11*Physics!$C$12*$AH250))^($AJ$17-$AJ$18)</f>
        <v>3.06663540719061e+18</v>
      </c>
      <c r="AK250" s="236">
        <f t="shared" si="90"/>
        <v>1</v>
      </c>
      <c r="AL250" s="236">
        <f ca="1">INDEX(Photobiology!$21:$421,1+$AH250-380,10)</f>
        <v>0.5156323</v>
      </c>
      <c r="AM250" s="236">
        <f ca="1" t="shared" si="91"/>
        <v>13.3319879209511</v>
      </c>
      <c r="AN250" s="236">
        <f ca="1">INDEX(Photobiology!$21:$421,1+$AH250-380,AN$14)</f>
        <v>2.90314682109881e-6</v>
      </c>
      <c r="AO250" s="236">
        <f ca="1">INDEX(Photobiology!$21:$421,1+$AH250-380,AO$14)</f>
        <v>0.282779550630806</v>
      </c>
      <c r="AP250" s="236">
        <f ca="1">INDEX(Photobiology!$21:$421,1+$AH250-380,AP$14)</f>
        <v>0.72006715242914</v>
      </c>
      <c r="AQ250" s="236">
        <f ca="1">INDEX(Photobiology!$21:$421,1+$AH250-380,AQ$14)</f>
        <v>0.0196667682428405</v>
      </c>
      <c r="AR250" s="236">
        <f ca="1">INDEX(Photobiology!$21:$421,1+$AH250-380,AR$14)</f>
        <v>0.00236782717200326</v>
      </c>
      <c r="AS250" s="236">
        <f ca="1" t="shared" si="92"/>
        <v>4.08843462066263e+19</v>
      </c>
      <c r="AT250" s="236">
        <f ca="1">INDEX(Photobiology!$21:$421,1+$AH250-380,AT$14)</f>
        <v>2.097511660564e-6</v>
      </c>
      <c r="AU250" s="236">
        <f ca="1">INDEX(Photobiology!$21:$421,1+$AH250-380,AU$14)</f>
        <v>0.252148258203064</v>
      </c>
      <c r="AV250" s="236">
        <f ca="1">INDEX(Photobiology!$21:$421,1+$AH250-380,AV$14)</f>
        <v>0.673098722448441</v>
      </c>
      <c r="AW250" s="236">
        <f ca="1">INDEX(Photobiology!$21:$421,1+$AH250-380,AW$14)</f>
        <v>0.0164611214690599</v>
      </c>
      <c r="AX250" s="236">
        <f ca="1">INDEX(Photobiology!$21:$421,1+$AH250-380,AX$14)</f>
        <v>0.00190039407878376</v>
      </c>
      <c r="AY250" s="236">
        <f ca="1" t="shared" si="79"/>
        <v>13.3319879209511</v>
      </c>
      <c r="AZ250" s="236">
        <f ca="1" t="shared" si="93"/>
        <v>3.8704718351637e-5</v>
      </c>
      <c r="BA250" s="236">
        <f ca="1" t="shared" si="80"/>
        <v>3.7700135533019</v>
      </c>
      <c r="BB250" s="236">
        <f ca="1" t="shared" si="81"/>
        <v>9.59992657845898</v>
      </c>
      <c r="BC250" s="236">
        <f ca="1" t="shared" si="82"/>
        <v>0.262197116657695</v>
      </c>
      <c r="BD250" s="236">
        <f ca="1" t="shared" si="83"/>
        <v>0.0315678432560474</v>
      </c>
    </row>
    <row r="251" s="234" customFormat="1" ht="0.2" customHeight="1" spans="7:56">
      <c r="G251" s="236"/>
      <c r="H251" s="236">
        <f t="shared" si="84"/>
        <v>610</v>
      </c>
      <c r="I251" s="236">
        <f>IF($H251&gt;$H250,INDEX(Spectra!251:251,1,MATCH($I$20,Spectra!$20:$20,0)),I250)</f>
        <v>18.1287610846953</v>
      </c>
      <c r="J251" s="236">
        <f>((Physics!$C$9*Physics!$C$10)/(Physics!$C$11*Physics!$C$12*$H251))^($J$17-$J$18)</f>
        <v>3.07167093331079e+18</v>
      </c>
      <c r="K251" s="236">
        <f t="shared" si="85"/>
        <v>1</v>
      </c>
      <c r="L251" s="236">
        <f ca="1">INDEX(Photobiology!$21:$421,1+$H251-380,10)</f>
        <v>0.503</v>
      </c>
      <c r="M251" s="236">
        <f ca="1" t="shared" si="86"/>
        <v>18.1287610846953</v>
      </c>
      <c r="N251" s="236">
        <f ca="1">INDEX(Photobiology!$21:$421,1+$H251-380,N$14)</f>
        <v>2.69183849796691e-6</v>
      </c>
      <c r="O251" s="236">
        <f ca="1">INDEX(Photobiology!$21:$421,1+$H251-380,O$14)</f>
        <v>0.270052374330893</v>
      </c>
      <c r="P251" s="236">
        <f ca="1">INDEX(Photobiology!$21:$421,1+$H251-380,P$14)</f>
        <v>0.706124044379472</v>
      </c>
      <c r="Q251" s="236">
        <f ca="1">INDEX(Photobiology!$21:$421,1+$H251-380,Q$14)</f>
        <v>0.0181471320734168</v>
      </c>
      <c r="R251" s="236">
        <f ca="1">INDEX(Photobiology!$21:$421,1+$H251-380,R$14)</f>
        <v>0.00217697779853602</v>
      </c>
      <c r="S251" s="236">
        <f ca="1" t="shared" si="87"/>
        <v>5.56855884807943e+19</v>
      </c>
      <c r="T251" s="236">
        <f ca="1">INDEX(Photobiology!$21:$421,1+$H251-380,T$14)</f>
        <v>1.94165399853351e-6</v>
      </c>
      <c r="U251" s="236">
        <f ca="1">INDEX(Photobiology!$21:$421,1+$H251-380,U$14)</f>
        <v>0.240404963527453</v>
      </c>
      <c r="V251" s="236">
        <f ca="1">INDEX(Photobiology!$21:$421,1+$H251-380,V$14)</f>
        <v>0.658983019392562</v>
      </c>
      <c r="W251" s="236">
        <f ca="1">INDEX(Photobiology!$21:$421,1+$H251-380,W$14)</f>
        <v>0.0151642828785108</v>
      </c>
      <c r="X251" s="236">
        <f ca="1">INDEX(Photobiology!$21:$421,1+$H251-380,X$14)</f>
        <v>0.00174435601124234</v>
      </c>
      <c r="Y251" s="236">
        <f ca="1" t="shared" si="74"/>
        <v>18.1287610846953</v>
      </c>
      <c r="Z251" s="236">
        <f ca="1" t="shared" si="88"/>
        <v>4.87996970082272e-5</v>
      </c>
      <c r="AA251" s="236">
        <f ca="1" t="shared" si="75"/>
        <v>4.89571497459946</v>
      </c>
      <c r="AB251" s="236">
        <f ca="1" t="shared" si="76"/>
        <v>12.8011540967142</v>
      </c>
      <c r="AC251" s="236">
        <f ca="1" t="shared" si="77"/>
        <v>0.328985021731384</v>
      </c>
      <c r="AD251" s="236">
        <f ca="1" t="shared" si="78"/>
        <v>0.0394659103963454</v>
      </c>
      <c r="AE251" s="236"/>
      <c r="AF251" s="236"/>
      <c r="AG251" s="236"/>
      <c r="AH251" s="236">
        <f t="shared" si="89"/>
        <v>610</v>
      </c>
      <c r="AI251" s="236">
        <f>IF($AH251&gt;$AH250,INDEX(Spectra!251:251,1,MATCH($AI$20,Spectra!$20:$20,0)),AI250)</f>
        <v>1</v>
      </c>
      <c r="AJ251" s="236">
        <f>((Physics!$C$9*Physics!$C$10)/(Physics!$C$11*Physics!$C$12*$AH251))^($AJ$17-$AJ$18)</f>
        <v>3.07167093331079e+18</v>
      </c>
      <c r="AK251" s="236">
        <f t="shared" si="90"/>
        <v>1</v>
      </c>
      <c r="AL251" s="236">
        <f ca="1">INDEX(Photobiology!$21:$421,1+$AH251-380,10)</f>
        <v>0.503</v>
      </c>
      <c r="AM251" s="236">
        <f ca="1" t="shared" si="91"/>
        <v>13.3319879209511</v>
      </c>
      <c r="AN251" s="236">
        <f ca="1">INDEX(Photobiology!$21:$421,1+$AH251-380,AN$14)</f>
        <v>2.69183849796691e-6</v>
      </c>
      <c r="AO251" s="236">
        <f ca="1">INDEX(Photobiology!$21:$421,1+$AH251-380,AO$14)</f>
        <v>0.270052374330893</v>
      </c>
      <c r="AP251" s="236">
        <f ca="1">INDEX(Photobiology!$21:$421,1+$AH251-380,AP$14)</f>
        <v>0.706124044379472</v>
      </c>
      <c r="AQ251" s="236">
        <f ca="1">INDEX(Photobiology!$21:$421,1+$AH251-380,AQ$14)</f>
        <v>0.0181471320734168</v>
      </c>
      <c r="AR251" s="236">
        <f ca="1">INDEX(Photobiology!$21:$421,1+$AH251-380,AR$14)</f>
        <v>0.00217697779853602</v>
      </c>
      <c r="AS251" s="236">
        <f ca="1" t="shared" si="92"/>
        <v>4.09514797800362e+19</v>
      </c>
      <c r="AT251" s="236">
        <f ca="1">INDEX(Photobiology!$21:$421,1+$AH251-380,AT$14)</f>
        <v>1.94165399853351e-6</v>
      </c>
      <c r="AU251" s="236">
        <f ca="1">INDEX(Photobiology!$21:$421,1+$AH251-380,AU$14)</f>
        <v>0.240404963527453</v>
      </c>
      <c r="AV251" s="236">
        <f ca="1">INDEX(Photobiology!$21:$421,1+$AH251-380,AV$14)</f>
        <v>0.658983019392562</v>
      </c>
      <c r="AW251" s="236">
        <f ca="1">INDEX(Photobiology!$21:$421,1+$AH251-380,AW$14)</f>
        <v>0.0151642828785108</v>
      </c>
      <c r="AX251" s="236">
        <f ca="1">INDEX(Photobiology!$21:$421,1+$AH251-380,AX$14)</f>
        <v>0.00174435601124234</v>
      </c>
      <c r="AY251" s="236">
        <f ca="1" t="shared" si="79"/>
        <v>13.3319879209511</v>
      </c>
      <c r="AZ251" s="236">
        <f ca="1" t="shared" si="93"/>
        <v>3.58875583400461e-5</v>
      </c>
      <c r="BA251" s="236">
        <f ca="1" t="shared" si="80"/>
        <v>3.60033499260364</v>
      </c>
      <c r="BB251" s="236">
        <f ca="1" t="shared" si="81"/>
        <v>9.41403723036029</v>
      </c>
      <c r="BC251" s="236">
        <f ca="1" t="shared" si="82"/>
        <v>0.241937345602698</v>
      </c>
      <c r="BD251" s="236">
        <f ca="1" t="shared" si="83"/>
        <v>0.029023441714261</v>
      </c>
    </row>
    <row r="252" s="234" customFormat="1" ht="0.2" customHeight="1" spans="7:56">
      <c r="G252" s="236"/>
      <c r="H252" s="236">
        <f t="shared" si="84"/>
        <v>611</v>
      </c>
      <c r="I252" s="236">
        <f>IF($H252&gt;$H251,INDEX(Spectra!252:252,1,MATCH($I$20,Spectra!$20:$20,0)),I251)</f>
        <v>18.6447390758936</v>
      </c>
      <c r="J252" s="236">
        <f>((Physics!$C$9*Physics!$C$10)/(Physics!$C$11*Physics!$C$12*$H252))^($J$17-$J$18)</f>
        <v>3.07670645943097e+18</v>
      </c>
      <c r="K252" s="236">
        <f t="shared" si="85"/>
        <v>1</v>
      </c>
      <c r="L252" s="236">
        <f ca="1">INDEX(Photobiology!$21:$421,1+$H252-380,10)</f>
        <v>0.4904688</v>
      </c>
      <c r="M252" s="236">
        <f ca="1" t="shared" si="86"/>
        <v>18.6447390758936</v>
      </c>
      <c r="N252" s="236">
        <f ca="1">INDEX(Photobiology!$21:$421,1+$H252-380,N$14)</f>
        <v>2.49653696026092e-6</v>
      </c>
      <c r="O252" s="236">
        <f ca="1">INDEX(Photobiology!$21:$421,1+$H252-380,O$14)</f>
        <v>0.257649912911017</v>
      </c>
      <c r="P252" s="236">
        <f ca="1">INDEX(Photobiology!$21:$421,1+$H252-380,P$14)</f>
        <v>0.692011003303322</v>
      </c>
      <c r="Q252" s="236">
        <f ca="1">INDEX(Photobiology!$21:$421,1+$H252-380,Q$14)</f>
        <v>0.0167417171390711</v>
      </c>
      <c r="R252" s="236">
        <f ca="1">INDEX(Photobiology!$21:$421,1+$H252-380,R$14)</f>
        <v>0.00200177379661354</v>
      </c>
      <c r="S252" s="236">
        <f ca="1" t="shared" si="87"/>
        <v>5.73643891492069e+19</v>
      </c>
      <c r="T252" s="236">
        <f ca="1">INDEX(Photobiology!$21:$421,1+$H252-380,T$14)</f>
        <v>1.79783349020426e-6</v>
      </c>
      <c r="U252" s="236">
        <f ca="1">INDEX(Photobiology!$21:$421,1+$H252-380,U$14)</f>
        <v>0.228988701742408</v>
      </c>
      <c r="V252" s="236">
        <f ca="1">INDEX(Photobiology!$21:$421,1+$H252-380,V$14)</f>
        <v>0.644755192885839</v>
      </c>
      <c r="W252" s="236">
        <f ca="1">INDEX(Photobiology!$21:$421,1+$H252-380,W$14)</f>
        <v>0.0139669797035474</v>
      </c>
      <c r="X252" s="236">
        <f ca="1">INDEX(Photobiology!$21:$421,1+$H252-380,X$14)</f>
        <v>0.00160134442065668</v>
      </c>
      <c r="Y252" s="236">
        <f ca="1" t="shared" si="74"/>
        <v>18.6447390758936</v>
      </c>
      <c r="Z252" s="236">
        <f ca="1" t="shared" si="88"/>
        <v>4.65472802173894e-5</v>
      </c>
      <c r="AA252" s="236">
        <f ca="1" t="shared" si="75"/>
        <v>4.80381539915262</v>
      </c>
      <c r="AB252" s="236">
        <f ca="1" t="shared" si="76"/>
        <v>12.9023645942378</v>
      </c>
      <c r="AC252" s="236">
        <f ca="1" t="shared" si="77"/>
        <v>0.312144947740397</v>
      </c>
      <c r="AD252" s="236">
        <f ca="1" t="shared" si="78"/>
        <v>0.0373225501268204</v>
      </c>
      <c r="AE252" s="236"/>
      <c r="AF252" s="236"/>
      <c r="AG252" s="236"/>
      <c r="AH252" s="236">
        <f t="shared" si="89"/>
        <v>611</v>
      </c>
      <c r="AI252" s="236">
        <f>IF($AH252&gt;$AH251,INDEX(Spectra!252:252,1,MATCH($AI$20,Spectra!$20:$20,0)),AI251)</f>
        <v>1</v>
      </c>
      <c r="AJ252" s="236">
        <f>((Physics!$C$9*Physics!$C$10)/(Physics!$C$11*Physics!$C$12*$AH252))^($AJ$17-$AJ$18)</f>
        <v>3.07670645943097e+18</v>
      </c>
      <c r="AK252" s="236">
        <f t="shared" si="90"/>
        <v>1</v>
      </c>
      <c r="AL252" s="236">
        <f ca="1">INDEX(Photobiology!$21:$421,1+$AH252-380,10)</f>
        <v>0.4904688</v>
      </c>
      <c r="AM252" s="236">
        <f ca="1" t="shared" si="91"/>
        <v>13.3319879209511</v>
      </c>
      <c r="AN252" s="236">
        <f ca="1">INDEX(Photobiology!$21:$421,1+$AH252-380,AN$14)</f>
        <v>2.49653696026092e-6</v>
      </c>
      <c r="AO252" s="236">
        <f ca="1">INDEX(Photobiology!$21:$421,1+$AH252-380,AO$14)</f>
        <v>0.257649912911017</v>
      </c>
      <c r="AP252" s="236">
        <f ca="1">INDEX(Photobiology!$21:$421,1+$AH252-380,AP$14)</f>
        <v>0.692011003303322</v>
      </c>
      <c r="AQ252" s="236">
        <f ca="1">INDEX(Photobiology!$21:$421,1+$AH252-380,AQ$14)</f>
        <v>0.0167417171390711</v>
      </c>
      <c r="AR252" s="236">
        <f ca="1">INDEX(Photobiology!$21:$421,1+$AH252-380,AR$14)</f>
        <v>0.00200177379661354</v>
      </c>
      <c r="AS252" s="236">
        <f ca="1" t="shared" si="92"/>
        <v>4.10186133534461e+19</v>
      </c>
      <c r="AT252" s="236">
        <f ca="1">INDEX(Photobiology!$21:$421,1+$AH252-380,AT$14)</f>
        <v>1.79783349020426e-6</v>
      </c>
      <c r="AU252" s="236">
        <f ca="1">INDEX(Photobiology!$21:$421,1+$AH252-380,AU$14)</f>
        <v>0.228988701742408</v>
      </c>
      <c r="AV252" s="236">
        <f ca="1">INDEX(Photobiology!$21:$421,1+$AH252-380,AV$14)</f>
        <v>0.644755192885839</v>
      </c>
      <c r="AW252" s="236">
        <f ca="1">INDEX(Photobiology!$21:$421,1+$AH252-380,AW$14)</f>
        <v>0.0139669797035474</v>
      </c>
      <c r="AX252" s="236">
        <f ca="1">INDEX(Photobiology!$21:$421,1+$AH252-380,AX$14)</f>
        <v>0.00160134442065668</v>
      </c>
      <c r="AY252" s="236">
        <f ca="1" t="shared" si="79"/>
        <v>13.3319879209511</v>
      </c>
      <c r="AZ252" s="236">
        <f ca="1" t="shared" si="93"/>
        <v>3.32838005984067e-5</v>
      </c>
      <c r="BA252" s="236">
        <f ca="1" t="shared" si="80"/>
        <v>3.43498552676379</v>
      </c>
      <c r="BB252" s="236">
        <f ca="1" t="shared" si="81"/>
        <v>9.22588233720517</v>
      </c>
      <c r="BC252" s="236">
        <f ca="1" t="shared" si="82"/>
        <v>0.223200370674077</v>
      </c>
      <c r="BD252" s="236">
        <f ca="1" t="shared" si="83"/>
        <v>0.0266876240769282</v>
      </c>
    </row>
    <row r="253" s="234" customFormat="1" ht="0.2" customHeight="1" spans="7:56">
      <c r="G253" s="236"/>
      <c r="H253" s="236">
        <f t="shared" si="84"/>
        <v>612</v>
      </c>
      <c r="I253" s="236">
        <f>IF($H253&gt;$H252,INDEX(Spectra!253:253,1,MATCH($I$20,Spectra!$20:$20,0)),I252)</f>
        <v>19.1445137263083</v>
      </c>
      <c r="J253" s="236">
        <f>((Physics!$C$9*Physics!$C$10)/(Physics!$C$11*Physics!$C$12*$H253))^($J$17-$J$18)</f>
        <v>3.08174198555115e+18</v>
      </c>
      <c r="K253" s="236">
        <f t="shared" si="85"/>
        <v>1</v>
      </c>
      <c r="L253" s="236">
        <f ca="1">INDEX(Photobiology!$21:$421,1+$H253-380,10)</f>
        <v>0.4780304</v>
      </c>
      <c r="M253" s="236">
        <f ca="1" t="shared" si="86"/>
        <v>19.1445137263083</v>
      </c>
      <c r="N253" s="236">
        <f ca="1">INDEX(Photobiology!$21:$421,1+$H253-380,N$14)</f>
        <v>2.31599170723551e-6</v>
      </c>
      <c r="O253" s="236">
        <f ca="1">INDEX(Photobiology!$21:$421,1+$H253-380,O$14)</f>
        <v>0.245580002810995</v>
      </c>
      <c r="P253" s="236">
        <f ca="1">INDEX(Photobiology!$21:$421,1+$H253-380,P$14)</f>
        <v>0.677746057599764</v>
      </c>
      <c r="Q253" s="236">
        <f ca="1">INDEX(Photobiology!$21:$421,1+$H253-380,Q$14)</f>
        <v>0.0154424783094903</v>
      </c>
      <c r="R253" s="236">
        <f ca="1">INDEX(Photobiology!$21:$421,1+$H253-380,R$14)</f>
        <v>0.00184092459502347</v>
      </c>
      <c r="S253" s="236">
        <f ca="1" t="shared" si="87"/>
        <v>5.89984517433246e+19</v>
      </c>
      <c r="T253" s="236">
        <f ca="1">INDEX(Photobiology!$21:$421,1+$H253-380,T$14)</f>
        <v>1.66509207709743e-6</v>
      </c>
      <c r="U253" s="236">
        <f ca="1">INDEX(Photobiology!$21:$421,1+$H253-380,U$14)</f>
        <v>0.217904823072393</v>
      </c>
      <c r="V253" s="236">
        <f ca="1">INDEX(Photobiology!$21:$421,1+$H253-380,V$14)</f>
        <v>0.630432562388425</v>
      </c>
      <c r="W253" s="236">
        <f ca="1">INDEX(Photobiology!$21:$421,1+$H253-380,W$14)</f>
        <v>0.0128620232452527</v>
      </c>
      <c r="X253" s="236">
        <f ca="1">INDEX(Photobiology!$21:$421,1+$H253-380,X$14)</f>
        <v>0.00147026472982667</v>
      </c>
      <c r="Y253" s="236">
        <f ca="1" t="shared" si="74"/>
        <v>19.1445137263083</v>
      </c>
      <c r="Z253" s="236">
        <f ca="1" t="shared" si="88"/>
        <v>4.43385350291864e-5</v>
      </c>
      <c r="AA253" s="236">
        <f ca="1" t="shared" si="75"/>
        <v>4.70150973472192</v>
      </c>
      <c r="AB253" s="236">
        <f ca="1" t="shared" si="76"/>
        <v>12.97511870267</v>
      </c>
      <c r="AC253" s="236">
        <f ca="1" t="shared" si="77"/>
        <v>0.295638737964255</v>
      </c>
      <c r="AD253" s="236">
        <f ca="1" t="shared" si="78"/>
        <v>0.0352436061785254</v>
      </c>
      <c r="AE253" s="236"/>
      <c r="AF253" s="236"/>
      <c r="AG253" s="236"/>
      <c r="AH253" s="236">
        <f t="shared" si="89"/>
        <v>612</v>
      </c>
      <c r="AI253" s="236">
        <f>IF($AH253&gt;$AH252,INDEX(Spectra!253:253,1,MATCH($AI$20,Spectra!$20:$20,0)),AI252)</f>
        <v>1</v>
      </c>
      <c r="AJ253" s="236">
        <f>((Physics!$C$9*Physics!$C$10)/(Physics!$C$11*Physics!$C$12*$AH253))^($AJ$17-$AJ$18)</f>
        <v>3.08174198555115e+18</v>
      </c>
      <c r="AK253" s="236">
        <f t="shared" si="90"/>
        <v>1</v>
      </c>
      <c r="AL253" s="236">
        <f ca="1">INDEX(Photobiology!$21:$421,1+$AH253-380,10)</f>
        <v>0.4780304</v>
      </c>
      <c r="AM253" s="236">
        <f ca="1" t="shared" si="91"/>
        <v>13.3319879209511</v>
      </c>
      <c r="AN253" s="236">
        <f ca="1">INDEX(Photobiology!$21:$421,1+$AH253-380,AN$14)</f>
        <v>2.31599170723551e-6</v>
      </c>
      <c r="AO253" s="236">
        <f ca="1">INDEX(Photobiology!$21:$421,1+$AH253-380,AO$14)</f>
        <v>0.245580002810995</v>
      </c>
      <c r="AP253" s="236">
        <f ca="1">INDEX(Photobiology!$21:$421,1+$AH253-380,AP$14)</f>
        <v>0.677746057599764</v>
      </c>
      <c r="AQ253" s="236">
        <f ca="1">INDEX(Photobiology!$21:$421,1+$AH253-380,AQ$14)</f>
        <v>0.0154424783094903</v>
      </c>
      <c r="AR253" s="236">
        <f ca="1">INDEX(Photobiology!$21:$421,1+$AH253-380,AR$14)</f>
        <v>0.00184092459502347</v>
      </c>
      <c r="AS253" s="236">
        <f ca="1" t="shared" si="92"/>
        <v>4.1085746926856e+19</v>
      </c>
      <c r="AT253" s="236">
        <f ca="1">INDEX(Photobiology!$21:$421,1+$AH253-380,AT$14)</f>
        <v>1.66509207709743e-6</v>
      </c>
      <c r="AU253" s="236">
        <f ca="1">INDEX(Photobiology!$21:$421,1+$AH253-380,AU$14)</f>
        <v>0.217904823072393</v>
      </c>
      <c r="AV253" s="236">
        <f ca="1">INDEX(Photobiology!$21:$421,1+$AH253-380,AV$14)</f>
        <v>0.630432562388425</v>
      </c>
      <c r="AW253" s="236">
        <f ca="1">INDEX(Photobiology!$21:$421,1+$AH253-380,AW$14)</f>
        <v>0.0128620232452527</v>
      </c>
      <c r="AX253" s="236">
        <f ca="1">INDEX(Photobiology!$21:$421,1+$AH253-380,AX$14)</f>
        <v>0.00147026472982667</v>
      </c>
      <c r="AY253" s="236">
        <f ca="1" t="shared" si="79"/>
        <v>13.3319879209511</v>
      </c>
      <c r="AZ253" s="236">
        <f ca="1" t="shared" si="93"/>
        <v>3.08767734658868e-5</v>
      </c>
      <c r="BA253" s="236">
        <f ca="1" t="shared" si="80"/>
        <v>3.27406963110333</v>
      </c>
      <c r="BB253" s="236">
        <f ca="1" t="shared" si="81"/>
        <v>9.03570225339231</v>
      </c>
      <c r="BC253" s="236">
        <f ca="1" t="shared" si="82"/>
        <v>0.205878934291675</v>
      </c>
      <c r="BD253" s="236">
        <f ca="1" t="shared" si="83"/>
        <v>0.0245431844642348</v>
      </c>
    </row>
    <row r="254" s="234" customFormat="1" ht="0.2" customHeight="1" spans="7:56">
      <c r="G254" s="236"/>
      <c r="H254" s="236">
        <f t="shared" si="84"/>
        <v>613</v>
      </c>
      <c r="I254" s="236">
        <f>IF($H254&gt;$H253,INDEX(Spectra!254:254,1,MATCH($I$20,Spectra!$20:$20,0)),I253)</f>
        <v>19.705144181365</v>
      </c>
      <c r="J254" s="236">
        <f>((Physics!$C$9*Physics!$C$10)/(Physics!$C$11*Physics!$C$12*$H254))^($J$17-$J$18)</f>
        <v>3.08677751167133e+18</v>
      </c>
      <c r="K254" s="236">
        <f t="shared" si="85"/>
        <v>1</v>
      </c>
      <c r="L254" s="236">
        <f ca="1">INDEX(Photobiology!$21:$421,1+$H254-380,10)</f>
        <v>0.4656776</v>
      </c>
      <c r="M254" s="236">
        <f ca="1" t="shared" si="86"/>
        <v>19.705144181365</v>
      </c>
      <c r="N254" s="236">
        <f ca="1">INDEX(Photobiology!$21:$421,1+$H254-380,N$14)</f>
        <v>2.14904742711922e-6</v>
      </c>
      <c r="O254" s="236">
        <f ca="1">INDEX(Photobiology!$21:$421,1+$H254-380,O$14)</f>
        <v>0.233850875405159</v>
      </c>
      <c r="P254" s="236">
        <f ca="1">INDEX(Photobiology!$21:$421,1+$H254-380,P$14)</f>
        <v>0.663344297441377</v>
      </c>
      <c r="Q254" s="236">
        <f ca="1">INDEX(Photobiology!$21:$421,1+$H254-380,Q$14)</f>
        <v>0.0142419022289347</v>
      </c>
      <c r="R254" s="236">
        <f ca="1">INDEX(Photobiology!$21:$421,1+$H254-380,R$14)</f>
        <v>0.00169324577256405</v>
      </c>
      <c r="S254" s="236">
        <f ca="1" t="shared" si="87"/>
        <v>6.08253959232786e+19</v>
      </c>
      <c r="T254" s="236">
        <f ca="1">INDEX(Photobiology!$21:$421,1+$H254-380,T$14)</f>
        <v>1.54254627721445e-6</v>
      </c>
      <c r="U254" s="236">
        <f ca="1">INDEX(Photobiology!$21:$421,1+$H254-380,U$14)</f>
        <v>0.207158992686575</v>
      </c>
      <c r="V254" s="236">
        <f ca="1">INDEX(Photobiology!$21:$421,1+$H254-380,V$14)</f>
        <v>0.616029605695909</v>
      </c>
      <c r="W254" s="236">
        <f ca="1">INDEX(Photobiology!$21:$421,1+$H254-380,W$14)</f>
        <v>0.0118427139049456</v>
      </c>
      <c r="X254" s="236">
        <f ca="1">INDEX(Photobiology!$21:$421,1+$H254-380,X$14)</f>
        <v>0.00135011414298186</v>
      </c>
      <c r="Y254" s="236">
        <f ca="1" t="shared" si="74"/>
        <v>19.705144181365</v>
      </c>
      <c r="Z254" s="236">
        <f ca="1" t="shared" si="88"/>
        <v>4.23472894039757e-5</v>
      </c>
      <c r="AA254" s="236">
        <f ca="1" t="shared" si="75"/>
        <v>4.60806521679708</v>
      </c>
      <c r="AB254" s="236">
        <f ca="1" t="shared" si="76"/>
        <v>13.0712950229686</v>
      </c>
      <c r="AC254" s="236">
        <f ca="1" t="shared" si="77"/>
        <v>0.280638736838062</v>
      </c>
      <c r="AD254" s="236">
        <f ca="1" t="shared" si="78"/>
        <v>0.0333656520828614</v>
      </c>
      <c r="AE254" s="236"/>
      <c r="AF254" s="236"/>
      <c r="AG254" s="236"/>
      <c r="AH254" s="236">
        <f t="shared" si="89"/>
        <v>613</v>
      </c>
      <c r="AI254" s="236">
        <f>IF($AH254&gt;$AH253,INDEX(Spectra!254:254,1,MATCH($AI$20,Spectra!$20:$20,0)),AI253)</f>
        <v>1</v>
      </c>
      <c r="AJ254" s="236">
        <f>((Physics!$C$9*Physics!$C$10)/(Physics!$C$11*Physics!$C$12*$AH254))^($AJ$17-$AJ$18)</f>
        <v>3.08677751167133e+18</v>
      </c>
      <c r="AK254" s="236">
        <f t="shared" si="90"/>
        <v>1</v>
      </c>
      <c r="AL254" s="236">
        <f ca="1">INDEX(Photobiology!$21:$421,1+$AH254-380,10)</f>
        <v>0.4656776</v>
      </c>
      <c r="AM254" s="236">
        <f ca="1" t="shared" si="91"/>
        <v>13.3319879209511</v>
      </c>
      <c r="AN254" s="236">
        <f ca="1">INDEX(Photobiology!$21:$421,1+$AH254-380,AN$14)</f>
        <v>2.14904742711922e-6</v>
      </c>
      <c r="AO254" s="236">
        <f ca="1">INDEX(Photobiology!$21:$421,1+$AH254-380,AO$14)</f>
        <v>0.233850875405159</v>
      </c>
      <c r="AP254" s="236">
        <f ca="1">INDEX(Photobiology!$21:$421,1+$AH254-380,AP$14)</f>
        <v>0.663344297441377</v>
      </c>
      <c r="AQ254" s="236">
        <f ca="1">INDEX(Photobiology!$21:$421,1+$AH254-380,AQ$14)</f>
        <v>0.0142419022289347</v>
      </c>
      <c r="AR254" s="236">
        <f ca="1">INDEX(Photobiology!$21:$421,1+$AH254-380,AR$14)</f>
        <v>0.00169324577256405</v>
      </c>
      <c r="AS254" s="236">
        <f ca="1" t="shared" si="92"/>
        <v>4.11528805002659e+19</v>
      </c>
      <c r="AT254" s="236">
        <f ca="1">INDEX(Photobiology!$21:$421,1+$AH254-380,AT$14)</f>
        <v>1.54254627721445e-6</v>
      </c>
      <c r="AU254" s="236">
        <f ca="1">INDEX(Photobiology!$21:$421,1+$AH254-380,AU$14)</f>
        <v>0.207158992686575</v>
      </c>
      <c r="AV254" s="236">
        <f ca="1">INDEX(Photobiology!$21:$421,1+$AH254-380,AV$14)</f>
        <v>0.616029605695909</v>
      </c>
      <c r="AW254" s="236">
        <f ca="1">INDEX(Photobiology!$21:$421,1+$AH254-380,AW$14)</f>
        <v>0.0118427139049456</v>
      </c>
      <c r="AX254" s="236">
        <f ca="1">INDEX(Photobiology!$21:$421,1+$AH254-380,AX$14)</f>
        <v>0.00135011414298186</v>
      </c>
      <c r="AY254" s="236">
        <f ca="1" t="shared" si="79"/>
        <v>13.3319879209511</v>
      </c>
      <c r="AZ254" s="236">
        <f ca="1" t="shared" si="93"/>
        <v>2.86510743399046e-5</v>
      </c>
      <c r="BA254" s="236">
        <f ca="1" t="shared" si="80"/>
        <v>3.11769704620543</v>
      </c>
      <c r="BB254" s="236">
        <f ca="1" t="shared" si="81"/>
        <v>8.84369816092026</v>
      </c>
      <c r="BC254" s="236">
        <f ca="1" t="shared" si="82"/>
        <v>0.189872868487525</v>
      </c>
      <c r="BD254" s="236">
        <f ca="1" t="shared" si="83"/>
        <v>0.0225743321870255</v>
      </c>
    </row>
    <row r="255" s="234" customFormat="1" ht="0.2" customHeight="1" spans="7:56">
      <c r="G255" s="236"/>
      <c r="H255" s="236">
        <f t="shared" si="84"/>
        <v>614</v>
      </c>
      <c r="I255" s="236">
        <f>IF($H255&gt;$H254,INDEX(Spectra!255:255,1,MATCH($I$20,Spectra!$20:$20,0)),I254)</f>
        <v>20.3012932944239</v>
      </c>
      <c r="J255" s="236">
        <f>((Physics!$C$9*Physics!$C$10)/(Physics!$C$11*Physics!$C$12*$H255))^($J$17-$J$18)</f>
        <v>3.09181303779152e+18</v>
      </c>
      <c r="K255" s="236">
        <f t="shared" si="85"/>
        <v>1</v>
      </c>
      <c r="L255" s="236">
        <f ca="1">INDEX(Photobiology!$21:$421,1+$H255-380,10)</f>
        <v>0.4534032</v>
      </c>
      <c r="M255" s="236">
        <f ca="1" t="shared" si="86"/>
        <v>20.3012932944239</v>
      </c>
      <c r="N255" s="236">
        <f ca="1">INDEX(Photobiology!$21:$421,1+$H255-380,N$14)</f>
        <v>1.99462840763407e-6</v>
      </c>
      <c r="O255" s="236">
        <f ca="1">INDEX(Photobiology!$21:$421,1+$H255-380,O$14)</f>
        <v>0.222467718008284</v>
      </c>
      <c r="P255" s="236">
        <f ca="1">INDEX(Photobiology!$21:$421,1+$H255-380,P$14)</f>
        <v>0.648822646382774</v>
      </c>
      <c r="Q255" s="236">
        <f ca="1">INDEX(Photobiology!$21:$421,1+$H255-380,Q$14)</f>
        <v>0.0131329714456462</v>
      </c>
      <c r="R255" s="236">
        <f ca="1">INDEX(Photobiology!$21:$421,1+$H255-380,R$14)</f>
        <v>0.00155765401906201</v>
      </c>
      <c r="S255" s="236">
        <f ca="1" t="shared" si="87"/>
        <v>6.27678032917294e+19</v>
      </c>
      <c r="T255" s="236">
        <f ca="1">INDEX(Photobiology!$21:$421,1+$H255-380,T$14)</f>
        <v>1.42937540612213e-6</v>
      </c>
      <c r="U255" s="236">
        <f ca="1">INDEX(Photobiology!$21:$421,1+$H255-380,U$14)</f>
        <v>0.196754146630628</v>
      </c>
      <c r="V255" s="236">
        <f ca="1">INDEX(Photobiology!$21:$421,1+$H255-380,V$14)</f>
        <v>0.601562406124488</v>
      </c>
      <c r="W255" s="236">
        <f ca="1">INDEX(Photobiology!$21:$421,1+$H255-380,W$14)</f>
        <v>0.0109028074220208</v>
      </c>
      <c r="X255" s="236">
        <f ca="1">INDEX(Photobiology!$21:$421,1+$H255-380,X$14)</f>
        <v>0.00123997688707331</v>
      </c>
      <c r="Y255" s="236">
        <f ca="1" t="shared" si="74"/>
        <v>20.3012932944239</v>
      </c>
      <c r="Z255" s="236">
        <f ca="1" t="shared" si="88"/>
        <v>4.0493536316769e-5</v>
      </c>
      <c r="AA255" s="236">
        <f ca="1" t="shared" si="75"/>
        <v>4.51638239182736</v>
      </c>
      <c r="AB255" s="236">
        <f ca="1" t="shared" si="76"/>
        <v>13.171938840281</v>
      </c>
      <c r="AC255" s="236">
        <f ca="1" t="shared" si="77"/>
        <v>0.266616305145358</v>
      </c>
      <c r="AD255" s="236">
        <f ca="1" t="shared" si="78"/>
        <v>0.031622391092216</v>
      </c>
      <c r="AE255" s="236"/>
      <c r="AF255" s="236"/>
      <c r="AG255" s="236"/>
      <c r="AH255" s="236">
        <f t="shared" si="89"/>
        <v>614</v>
      </c>
      <c r="AI255" s="236">
        <f>IF($AH255&gt;$AH254,INDEX(Spectra!255:255,1,MATCH($AI$20,Spectra!$20:$20,0)),AI254)</f>
        <v>1</v>
      </c>
      <c r="AJ255" s="236">
        <f>((Physics!$C$9*Physics!$C$10)/(Physics!$C$11*Physics!$C$12*$AH255))^($AJ$17-$AJ$18)</f>
        <v>3.09181303779152e+18</v>
      </c>
      <c r="AK255" s="236">
        <f t="shared" si="90"/>
        <v>1</v>
      </c>
      <c r="AL255" s="236">
        <f ca="1">INDEX(Photobiology!$21:$421,1+$AH255-380,10)</f>
        <v>0.4534032</v>
      </c>
      <c r="AM255" s="236">
        <f ca="1" t="shared" si="91"/>
        <v>13.3319879209511</v>
      </c>
      <c r="AN255" s="236">
        <f ca="1">INDEX(Photobiology!$21:$421,1+$AH255-380,AN$14)</f>
        <v>1.99462840763407e-6</v>
      </c>
      <c r="AO255" s="236">
        <f ca="1">INDEX(Photobiology!$21:$421,1+$AH255-380,AO$14)</f>
        <v>0.222467718008284</v>
      </c>
      <c r="AP255" s="236">
        <f ca="1">INDEX(Photobiology!$21:$421,1+$AH255-380,AP$14)</f>
        <v>0.648822646382774</v>
      </c>
      <c r="AQ255" s="236">
        <f ca="1">INDEX(Photobiology!$21:$421,1+$AH255-380,AQ$14)</f>
        <v>0.0131329714456462</v>
      </c>
      <c r="AR255" s="236">
        <f ca="1">INDEX(Photobiology!$21:$421,1+$AH255-380,AR$14)</f>
        <v>0.00155765401906201</v>
      </c>
      <c r="AS255" s="236">
        <f ca="1" t="shared" si="92"/>
        <v>4.12200140736757e+19</v>
      </c>
      <c r="AT255" s="236">
        <f ca="1">INDEX(Photobiology!$21:$421,1+$AH255-380,AT$14)</f>
        <v>1.42937540612213e-6</v>
      </c>
      <c r="AU255" s="236">
        <f ca="1">INDEX(Photobiology!$21:$421,1+$AH255-380,AU$14)</f>
        <v>0.196754146630628</v>
      </c>
      <c r="AV255" s="236">
        <f ca="1">INDEX(Photobiology!$21:$421,1+$AH255-380,AV$14)</f>
        <v>0.601562406124488</v>
      </c>
      <c r="AW255" s="236">
        <f ca="1">INDEX(Photobiology!$21:$421,1+$AH255-380,AW$14)</f>
        <v>0.0109028074220208</v>
      </c>
      <c r="AX255" s="236">
        <f ca="1">INDEX(Photobiology!$21:$421,1+$AH255-380,AX$14)</f>
        <v>0.00123997688707331</v>
      </c>
      <c r="AY255" s="236">
        <f ca="1" t="shared" si="79"/>
        <v>13.3319879209511</v>
      </c>
      <c r="AZ255" s="236">
        <f ca="1" t="shared" si="93"/>
        <v>2.65923618373634e-5</v>
      </c>
      <c r="BA255" s="236">
        <f ca="1" t="shared" si="80"/>
        <v>2.96593692928801</v>
      </c>
      <c r="BB255" s="236">
        <f ca="1" t="shared" si="81"/>
        <v>8.6500956844147</v>
      </c>
      <c r="BC255" s="236">
        <f ca="1" t="shared" si="82"/>
        <v>0.175088616679551</v>
      </c>
      <c r="BD255" s="236">
        <f ca="1" t="shared" si="83"/>
        <v>0.0207666245671557</v>
      </c>
    </row>
    <row r="256" s="234" customFormat="1" ht="0.2" customHeight="1" spans="7:56">
      <c r="G256" s="236"/>
      <c r="H256" s="236">
        <f t="shared" si="84"/>
        <v>615</v>
      </c>
      <c r="I256" s="236">
        <f>IF($H256&gt;$H255,INDEX(Spectra!256:256,1,MATCH($I$20,Spectra!$20:$20,0)),I255)</f>
        <v>20.8578022781599</v>
      </c>
      <c r="J256" s="236">
        <f>((Physics!$C$9*Physics!$C$10)/(Physics!$C$11*Physics!$C$12*$H256))^($J$17-$J$18)</f>
        <v>3.0968485639117e+18</v>
      </c>
      <c r="K256" s="236">
        <f t="shared" si="85"/>
        <v>1</v>
      </c>
      <c r="L256" s="236">
        <f ca="1">INDEX(Photobiology!$21:$421,1+$H256-380,10)</f>
        <v>0.4412</v>
      </c>
      <c r="M256" s="236">
        <f ca="1" t="shared" si="86"/>
        <v>20.8578022781599</v>
      </c>
      <c r="N256" s="236">
        <f ca="1">INDEX(Photobiology!$21:$421,1+$H256-380,N$14)</f>
        <v>1.85177407652267e-6</v>
      </c>
      <c r="O256" s="236">
        <f ca="1">INDEX(Photobiology!$21:$421,1+$H256-380,O$14)</f>
        <v>0.211435545230609</v>
      </c>
      <c r="P256" s="236">
        <f ca="1">INDEX(Photobiology!$21:$421,1+$H256-380,P$14)</f>
        <v>0.634198192602967</v>
      </c>
      <c r="Q256" s="236">
        <f ca="1">INDEX(Photobiology!$21:$421,1+$H256-380,Q$14)</f>
        <v>0.0121090479795924</v>
      </c>
      <c r="R256" s="236">
        <f ca="1">INDEX(Photobiology!$21:$421,1+$H256-380,R$14)</f>
        <v>0.00143314456165059</v>
      </c>
      <c r="S256" s="236">
        <f ca="1" t="shared" si="87"/>
        <v>6.45934550314737e+19</v>
      </c>
      <c r="T256" s="236">
        <f ca="1">INDEX(Photobiology!$21:$421,1+$H256-380,T$14)</f>
        <v>1.32484649377232e-6</v>
      </c>
      <c r="U256" s="236">
        <f ca="1">INDEX(Photobiology!$21:$421,1+$H256-380,U$14)</f>
        <v>0.186693049359591</v>
      </c>
      <c r="V256" s="236">
        <f ca="1">INDEX(Photobiology!$21:$421,1+$H256-380,V$14)</f>
        <v>0.587047094768396</v>
      </c>
      <c r="W256" s="236">
        <f ca="1">INDEX(Photobiology!$21:$421,1+$H256-380,W$14)</f>
        <v>0.0100364146687704</v>
      </c>
      <c r="X256" s="236">
        <f ca="1">INDEX(Photobiology!$21:$421,1+$H256-380,X$14)</f>
        <v>0.00113900556358686</v>
      </c>
      <c r="Y256" s="236">
        <f ca="1" t="shared" si="74"/>
        <v>20.8578022781599</v>
      </c>
      <c r="Z256" s="236">
        <f ca="1" t="shared" si="88"/>
        <v>3.8623937551932e-5</v>
      </c>
      <c r="AA256" s="236">
        <f ca="1" t="shared" si="75"/>
        <v>4.41008079699498</v>
      </c>
      <c r="AB256" s="236">
        <f ca="1" t="shared" si="76"/>
        <v>13.2279805064791</v>
      </c>
      <c r="AC256" s="236">
        <f ca="1" t="shared" si="77"/>
        <v>0.25256812853509</v>
      </c>
      <c r="AD256" s="236">
        <f ca="1" t="shared" si="78"/>
        <v>0.0298922459029282</v>
      </c>
      <c r="AE256" s="236"/>
      <c r="AF256" s="236"/>
      <c r="AG256" s="236"/>
      <c r="AH256" s="236">
        <f t="shared" si="89"/>
        <v>615</v>
      </c>
      <c r="AI256" s="236">
        <f>IF($AH256&gt;$AH255,INDEX(Spectra!256:256,1,MATCH($AI$20,Spectra!$20:$20,0)),AI255)</f>
        <v>1</v>
      </c>
      <c r="AJ256" s="236">
        <f>((Physics!$C$9*Physics!$C$10)/(Physics!$C$11*Physics!$C$12*$AH256))^($AJ$17-$AJ$18)</f>
        <v>3.0968485639117e+18</v>
      </c>
      <c r="AK256" s="236">
        <f t="shared" si="90"/>
        <v>1</v>
      </c>
      <c r="AL256" s="236">
        <f ca="1">INDEX(Photobiology!$21:$421,1+$AH256-380,10)</f>
        <v>0.4412</v>
      </c>
      <c r="AM256" s="236">
        <f ca="1" t="shared" si="91"/>
        <v>13.3319879209511</v>
      </c>
      <c r="AN256" s="236">
        <f ca="1">INDEX(Photobiology!$21:$421,1+$AH256-380,AN$14)</f>
        <v>1.85177407652267e-6</v>
      </c>
      <c r="AO256" s="236">
        <f ca="1">INDEX(Photobiology!$21:$421,1+$AH256-380,AO$14)</f>
        <v>0.211435545230609</v>
      </c>
      <c r="AP256" s="236">
        <f ca="1">INDEX(Photobiology!$21:$421,1+$AH256-380,AP$14)</f>
        <v>0.634198192602967</v>
      </c>
      <c r="AQ256" s="236">
        <f ca="1">INDEX(Photobiology!$21:$421,1+$AH256-380,AQ$14)</f>
        <v>0.0121090479795924</v>
      </c>
      <c r="AR256" s="236">
        <f ca="1">INDEX(Photobiology!$21:$421,1+$AH256-380,AR$14)</f>
        <v>0.00143314456165059</v>
      </c>
      <c r="AS256" s="236">
        <f ca="1" t="shared" si="92"/>
        <v>4.12871476470856e+19</v>
      </c>
      <c r="AT256" s="236">
        <f ca="1">INDEX(Photobiology!$21:$421,1+$AH256-380,AT$14)</f>
        <v>1.32484649377232e-6</v>
      </c>
      <c r="AU256" s="236">
        <f ca="1">INDEX(Photobiology!$21:$421,1+$AH256-380,AU$14)</f>
        <v>0.186693049359591</v>
      </c>
      <c r="AV256" s="236">
        <f ca="1">INDEX(Photobiology!$21:$421,1+$AH256-380,AV$14)</f>
        <v>0.587047094768396</v>
      </c>
      <c r="AW256" s="236">
        <f ca="1">INDEX(Photobiology!$21:$421,1+$AH256-380,AW$14)</f>
        <v>0.0100364146687704</v>
      </c>
      <c r="AX256" s="236">
        <f ca="1">INDEX(Photobiology!$21:$421,1+$AH256-380,AX$14)</f>
        <v>0.00113900556358686</v>
      </c>
      <c r="AY256" s="236">
        <f ca="1" t="shared" si="79"/>
        <v>13.3319879209511</v>
      </c>
      <c r="AZ256" s="236">
        <f ca="1" t="shared" si="93"/>
        <v>2.46878296205307e-5</v>
      </c>
      <c r="BA256" s="236">
        <f ca="1" t="shared" si="80"/>
        <v>2.8188561350742</v>
      </c>
      <c r="BB256" s="236">
        <f ca="1" t="shared" si="81"/>
        <v>8.4551226432718</v>
      </c>
      <c r="BC256" s="236">
        <f ca="1" t="shared" si="82"/>
        <v>0.161437681398144</v>
      </c>
      <c r="BD256" s="236">
        <f ca="1" t="shared" si="83"/>
        <v>0.0191066659849025</v>
      </c>
    </row>
    <row r="257" s="234" customFormat="1" ht="0.2" customHeight="1" spans="7:56">
      <c r="G257" s="236"/>
      <c r="H257" s="236">
        <f t="shared" si="84"/>
        <v>616</v>
      </c>
      <c r="I257" s="236">
        <f>IF($H257&gt;$H256,INDEX(Spectra!257:257,1,MATCH($I$20,Spectra!$20:$20,0)),I256)</f>
        <v>21.4352598786018</v>
      </c>
      <c r="J257" s="236">
        <f>((Physics!$C$9*Physics!$C$10)/(Physics!$C$11*Physics!$C$12*$H257))^($J$17-$J$18)</f>
        <v>3.10188409003188e+18</v>
      </c>
      <c r="K257" s="236">
        <f t="shared" si="85"/>
        <v>1</v>
      </c>
      <c r="L257" s="236">
        <f ca="1">INDEX(Photobiology!$21:$421,1+$H257-380,10)</f>
        <v>0.42908</v>
      </c>
      <c r="M257" s="236">
        <f ca="1" t="shared" si="86"/>
        <v>21.4352598786018</v>
      </c>
      <c r="N257" s="236">
        <f ca="1">INDEX(Photobiology!$21:$421,1+$H257-380,N$14)</f>
        <v>1.7195705554599e-6</v>
      </c>
      <c r="O257" s="236">
        <f ca="1">INDEX(Photobiology!$21:$421,1+$H257-380,O$14)</f>
        <v>0.200758526755898</v>
      </c>
      <c r="P257" s="236">
        <f ca="1">INDEX(Photobiology!$21:$421,1+$H257-380,P$14)</f>
        <v>0.619489571711812</v>
      </c>
      <c r="Q257" s="236">
        <f ca="1">INDEX(Photobiology!$21:$421,1+$H257-380,Q$14)</f>
        <v>0.0111639530141359</v>
      </c>
      <c r="R257" s="236">
        <f ca="1">INDEX(Photobiology!$21:$421,1+$H257-380,R$14)</f>
        <v>0.0013188032234948</v>
      </c>
      <c r="S257" s="236">
        <f ca="1" t="shared" si="87"/>
        <v>6.64896915831336e+19</v>
      </c>
      <c r="T257" s="236">
        <f ca="1">INDEX(Photobiology!$21:$421,1+$H257-380,T$14)</f>
        <v>1.22826468247136e-6</v>
      </c>
      <c r="U257" s="236">
        <f ca="1">INDEX(Photobiology!$21:$421,1+$H257-380,U$14)</f>
        <v>0.176977702536675</v>
      </c>
      <c r="V257" s="236">
        <f ca="1">INDEX(Photobiology!$21:$421,1+$H257-380,V$14)</f>
        <v>0.572501128032317</v>
      </c>
      <c r="W257" s="236">
        <f ca="1">INDEX(Photobiology!$21:$421,1+$H257-380,W$14)</f>
        <v>0.0092380647119087</v>
      </c>
      <c r="X257" s="236">
        <f ca="1">INDEX(Photobiology!$21:$421,1+$H257-380,X$14)</f>
        <v>0.00104643016178606</v>
      </c>
      <c r="Y257" s="236">
        <f ca="1" t="shared" si="74"/>
        <v>21.4352598786018</v>
      </c>
      <c r="Z257" s="236">
        <f ca="1" t="shared" si="88"/>
        <v>3.68594417358746e-5</v>
      </c>
      <c r="AA257" s="236">
        <f ca="1" t="shared" si="75"/>
        <v>4.30331119385791</v>
      </c>
      <c r="AB257" s="236">
        <f ca="1" t="shared" si="76"/>
        <v>13.2789199617264</v>
      </c>
      <c r="AC257" s="236">
        <f ca="1" t="shared" si="77"/>
        <v>0.239302234130503</v>
      </c>
      <c r="AD257" s="236">
        <f ca="1" t="shared" si="78"/>
        <v>0.0282688898243488</v>
      </c>
      <c r="AE257" s="236"/>
      <c r="AF257" s="236"/>
      <c r="AG257" s="236"/>
      <c r="AH257" s="236">
        <f t="shared" si="89"/>
        <v>616</v>
      </c>
      <c r="AI257" s="236">
        <f>IF($AH257&gt;$AH256,INDEX(Spectra!257:257,1,MATCH($AI$20,Spectra!$20:$20,0)),AI256)</f>
        <v>1</v>
      </c>
      <c r="AJ257" s="236">
        <f>((Physics!$C$9*Physics!$C$10)/(Physics!$C$11*Physics!$C$12*$AH257))^($AJ$17-$AJ$18)</f>
        <v>3.10188409003188e+18</v>
      </c>
      <c r="AK257" s="236">
        <f t="shared" si="90"/>
        <v>1</v>
      </c>
      <c r="AL257" s="236">
        <f ca="1">INDEX(Photobiology!$21:$421,1+$AH257-380,10)</f>
        <v>0.42908</v>
      </c>
      <c r="AM257" s="236">
        <f ca="1" t="shared" si="91"/>
        <v>13.3319879209511</v>
      </c>
      <c r="AN257" s="236">
        <f ca="1">INDEX(Photobiology!$21:$421,1+$AH257-380,AN$14)</f>
        <v>1.7195705554599e-6</v>
      </c>
      <c r="AO257" s="236">
        <f ca="1">INDEX(Photobiology!$21:$421,1+$AH257-380,AO$14)</f>
        <v>0.200758526755898</v>
      </c>
      <c r="AP257" s="236">
        <f ca="1">INDEX(Photobiology!$21:$421,1+$AH257-380,AP$14)</f>
        <v>0.619489571711812</v>
      </c>
      <c r="AQ257" s="236">
        <f ca="1">INDEX(Photobiology!$21:$421,1+$AH257-380,AQ$14)</f>
        <v>0.0111639530141359</v>
      </c>
      <c r="AR257" s="236">
        <f ca="1">INDEX(Photobiology!$21:$421,1+$AH257-380,AR$14)</f>
        <v>0.0013188032234948</v>
      </c>
      <c r="AS257" s="236">
        <f ca="1" t="shared" si="92"/>
        <v>4.13542812204955e+19</v>
      </c>
      <c r="AT257" s="236">
        <f ca="1">INDEX(Photobiology!$21:$421,1+$AH257-380,AT$14)</f>
        <v>1.22826468247136e-6</v>
      </c>
      <c r="AU257" s="236">
        <f ca="1">INDEX(Photobiology!$21:$421,1+$AH257-380,AU$14)</f>
        <v>0.176977702536675</v>
      </c>
      <c r="AV257" s="236">
        <f ca="1">INDEX(Photobiology!$21:$421,1+$AH257-380,AV$14)</f>
        <v>0.572501128032317</v>
      </c>
      <c r="AW257" s="236">
        <f ca="1">INDEX(Photobiology!$21:$421,1+$AH257-380,AW$14)</f>
        <v>0.0092380647119087</v>
      </c>
      <c r="AX257" s="236">
        <f ca="1">INDEX(Photobiology!$21:$421,1+$AH257-380,AX$14)</f>
        <v>0.00104643016178606</v>
      </c>
      <c r="AY257" s="236">
        <f ca="1" t="shared" si="79"/>
        <v>13.3319879209511</v>
      </c>
      <c r="AZ257" s="236">
        <f ca="1" t="shared" si="93"/>
        <v>2.29252938746146e-5</v>
      </c>
      <c r="BA257" s="236">
        <f ca="1" t="shared" si="80"/>
        <v>2.67651025373758</v>
      </c>
      <c r="BB257" s="236">
        <f ca="1" t="shared" si="81"/>
        <v>8.25902748721707</v>
      </c>
      <c r="BC257" s="236">
        <f ca="1" t="shared" si="82"/>
        <v>0.148837686734526</v>
      </c>
      <c r="BD257" s="236">
        <f ca="1" t="shared" si="83"/>
        <v>0.0175822686457441</v>
      </c>
    </row>
    <row r="258" s="234" customFormat="1" ht="0.2" customHeight="1" spans="7:56">
      <c r="G258" s="236"/>
      <c r="H258" s="236">
        <f t="shared" si="84"/>
        <v>617</v>
      </c>
      <c r="I258" s="236">
        <f>IF($H258&gt;$H257,INDEX(Spectra!258:258,1,MATCH($I$20,Spectra!$20:$20,0)),I257)</f>
        <v>21.9604434693433</v>
      </c>
      <c r="J258" s="236">
        <f>((Physics!$C$9*Physics!$C$10)/(Physics!$C$11*Physics!$C$12*$H258))^($J$17-$J$18)</f>
        <v>3.10691961615206e+18</v>
      </c>
      <c r="K258" s="236">
        <f t="shared" si="85"/>
        <v>1</v>
      </c>
      <c r="L258" s="236">
        <f ca="1">INDEX(Photobiology!$21:$421,1+$H258-380,10)</f>
        <v>0.417036</v>
      </c>
      <c r="M258" s="236">
        <f ca="1" t="shared" si="86"/>
        <v>21.9604434693433</v>
      </c>
      <c r="N258" s="236">
        <f ca="1">INDEX(Photobiology!$21:$421,1+$H258-380,N$14)</f>
        <v>1.59720256878576e-6</v>
      </c>
      <c r="O258" s="236">
        <f ca="1">INDEX(Photobiology!$21:$421,1+$H258-380,O$14)</f>
        <v>0.190439924225387</v>
      </c>
      <c r="P258" s="236">
        <f ca="1">INDEX(Photobiology!$21:$421,1+$H258-380,P$14)</f>
        <v>0.604711182801293</v>
      </c>
      <c r="Q258" s="236">
        <f ca="1">INDEX(Photobiology!$21:$421,1+$H258-380,Q$14)</f>
        <v>0.010291863083619</v>
      </c>
      <c r="R258" s="236">
        <f ca="1">INDEX(Photobiology!$21:$421,1+$H258-380,R$14)</f>
        <v>0.00121378844839341</v>
      </c>
      <c r="S258" s="236">
        <f ca="1" t="shared" si="87"/>
        <v>6.82293325943011e+19</v>
      </c>
      <c r="T258" s="236">
        <f ca="1">INDEX(Photobiology!$21:$421,1+$H258-380,T$14)</f>
        <v>1.13900993560087e-6</v>
      </c>
      <c r="U258" s="236">
        <f ca="1">INDEX(Photobiology!$21:$421,1+$H258-380,U$14)</f>
        <v>0.167609295665247</v>
      </c>
      <c r="V258" s="236">
        <f ca="1">INDEX(Photobiology!$21:$421,1+$H258-380,V$14)</f>
        <v>0.557937940319983</v>
      </c>
      <c r="W258" s="236">
        <f ca="1">INDEX(Photobiology!$21:$421,1+$H258-380,W$14)</f>
        <v>0.00850261565908191</v>
      </c>
      <c r="X258" s="236">
        <f ca="1">INDEX(Photobiology!$21:$421,1+$H258-380,X$14)</f>
        <v>0.000961543191768744</v>
      </c>
      <c r="Y258" s="236">
        <f ca="1" t="shared" si="74"/>
        <v>21.9604434693433</v>
      </c>
      <c r="Z258" s="236">
        <f ca="1" t="shared" si="88"/>
        <v>3.50752767209096e-5</v>
      </c>
      <c r="AA258" s="236">
        <f ca="1" t="shared" si="75"/>
        <v>4.18214519025763</v>
      </c>
      <c r="AB258" s="236">
        <f ca="1" t="shared" si="76"/>
        <v>13.2797257451875</v>
      </c>
      <c r="AC258" s="236">
        <f ca="1" t="shared" si="77"/>
        <v>0.226013877442036</v>
      </c>
      <c r="AD258" s="236">
        <f ca="1" t="shared" si="78"/>
        <v>0.0266553326046854</v>
      </c>
      <c r="AE258" s="236"/>
      <c r="AF258" s="236"/>
      <c r="AG258" s="236"/>
      <c r="AH258" s="236">
        <f t="shared" si="89"/>
        <v>617</v>
      </c>
      <c r="AI258" s="236">
        <f>IF($AH258&gt;$AH257,INDEX(Spectra!258:258,1,MATCH($AI$20,Spectra!$20:$20,0)),AI257)</f>
        <v>1</v>
      </c>
      <c r="AJ258" s="236">
        <f>((Physics!$C$9*Physics!$C$10)/(Physics!$C$11*Physics!$C$12*$AH258))^($AJ$17-$AJ$18)</f>
        <v>3.10691961615206e+18</v>
      </c>
      <c r="AK258" s="236">
        <f t="shared" si="90"/>
        <v>1</v>
      </c>
      <c r="AL258" s="236">
        <f ca="1">INDEX(Photobiology!$21:$421,1+$AH258-380,10)</f>
        <v>0.417036</v>
      </c>
      <c r="AM258" s="236">
        <f ca="1" t="shared" si="91"/>
        <v>13.3319879209511</v>
      </c>
      <c r="AN258" s="236">
        <f ca="1">INDEX(Photobiology!$21:$421,1+$AH258-380,AN$14)</f>
        <v>1.59720256878576e-6</v>
      </c>
      <c r="AO258" s="236">
        <f ca="1">INDEX(Photobiology!$21:$421,1+$AH258-380,AO$14)</f>
        <v>0.190439924225387</v>
      </c>
      <c r="AP258" s="236">
        <f ca="1">INDEX(Photobiology!$21:$421,1+$AH258-380,AP$14)</f>
        <v>0.604711182801293</v>
      </c>
      <c r="AQ258" s="236">
        <f ca="1">INDEX(Photobiology!$21:$421,1+$AH258-380,AQ$14)</f>
        <v>0.010291863083619</v>
      </c>
      <c r="AR258" s="236">
        <f ca="1">INDEX(Photobiology!$21:$421,1+$AH258-380,AR$14)</f>
        <v>0.00121378844839341</v>
      </c>
      <c r="AS258" s="236">
        <f ca="1" t="shared" si="92"/>
        <v>4.14214147939054e+19</v>
      </c>
      <c r="AT258" s="236">
        <f ca="1">INDEX(Photobiology!$21:$421,1+$AH258-380,AT$14)</f>
        <v>1.13900993560087e-6</v>
      </c>
      <c r="AU258" s="236">
        <f ca="1">INDEX(Photobiology!$21:$421,1+$AH258-380,AU$14)</f>
        <v>0.167609295665247</v>
      </c>
      <c r="AV258" s="236">
        <f ca="1">INDEX(Photobiology!$21:$421,1+$AH258-380,AV$14)</f>
        <v>0.557937940319983</v>
      </c>
      <c r="AW258" s="236">
        <f ca="1">INDEX(Photobiology!$21:$421,1+$AH258-380,AW$14)</f>
        <v>0.00850261565908191</v>
      </c>
      <c r="AX258" s="236">
        <f ca="1">INDEX(Photobiology!$21:$421,1+$AH258-380,AX$14)</f>
        <v>0.000961543191768744</v>
      </c>
      <c r="AY258" s="236">
        <f ca="1" t="shared" si="79"/>
        <v>13.3319879209511</v>
      </c>
      <c r="AZ258" s="236">
        <f ca="1" t="shared" si="93"/>
        <v>2.12938853543639e-5</v>
      </c>
      <c r="BA258" s="236">
        <f ca="1" t="shared" si="80"/>
        <v>2.53894276943971</v>
      </c>
      <c r="BB258" s="236">
        <f ca="1" t="shared" si="81"/>
        <v>8.06200218477091</v>
      </c>
      <c r="BC258" s="236">
        <f ca="1" t="shared" si="82"/>
        <v>0.137210994314891</v>
      </c>
      <c r="BD258" s="236">
        <f ca="1" t="shared" si="83"/>
        <v>0.016182212932571</v>
      </c>
    </row>
    <row r="259" s="234" customFormat="1" ht="0.2" customHeight="1" spans="7:56">
      <c r="G259" s="236"/>
      <c r="H259" s="236">
        <f t="shared" si="84"/>
        <v>618</v>
      </c>
      <c r="I259" s="236">
        <f>IF($H259&gt;$H258,INDEX(Spectra!259:259,1,MATCH($I$20,Spectra!$20:$20,0)),I258)</f>
        <v>22.4614734318123</v>
      </c>
      <c r="J259" s="236">
        <f>((Physics!$C$9*Physics!$C$10)/(Physics!$C$11*Physics!$C$12*$H259))^($J$17-$J$18)</f>
        <v>3.11195514227224e+18</v>
      </c>
      <c r="K259" s="236">
        <f t="shared" si="85"/>
        <v>1</v>
      </c>
      <c r="L259" s="236">
        <f ca="1">INDEX(Photobiology!$21:$421,1+$H259-380,10)</f>
        <v>0.405032</v>
      </c>
      <c r="M259" s="236">
        <f ca="1" t="shared" si="86"/>
        <v>22.4614734318123</v>
      </c>
      <c r="N259" s="236">
        <f ca="1">INDEX(Photobiology!$21:$421,1+$H259-380,N$14)</f>
        <v>1.48390466452796e-6</v>
      </c>
      <c r="O259" s="236">
        <f ca="1">INDEX(Photobiology!$21:$421,1+$H259-380,O$14)</f>
        <v>0.180481212512939</v>
      </c>
      <c r="P259" s="236">
        <f ca="1">INDEX(Photobiology!$21:$421,1+$H259-380,P$14)</f>
        <v>0.589880446080292</v>
      </c>
      <c r="Q259" s="236">
        <f ca="1">INDEX(Photobiology!$21:$421,1+$H259-380,Q$14)</f>
        <v>0.00948735169229275</v>
      </c>
      <c r="R259" s="236">
        <f ca="1">INDEX(Photobiology!$21:$421,1+$H259-380,R$14)</f>
        <v>0.00111733139029114</v>
      </c>
      <c r="S259" s="236">
        <f ca="1" t="shared" si="87"/>
        <v>6.98990977491396e+19</v>
      </c>
      <c r="T259" s="236">
        <f ca="1">INDEX(Photobiology!$21:$421,1+$H259-380,T$14)</f>
        <v>1.05650170290017e-6</v>
      </c>
      <c r="U259" s="236">
        <f ca="1">INDEX(Photobiology!$21:$421,1+$H259-380,U$14)</f>
        <v>0.158587440531001</v>
      </c>
      <c r="V259" s="236">
        <f ca="1">INDEX(Photobiology!$21:$421,1+$H259-380,V$14)</f>
        <v>0.543373662009973</v>
      </c>
      <c r="W259" s="236">
        <f ca="1">INDEX(Photobiology!$21:$421,1+$H259-380,W$14)</f>
        <v>0.00782528632453827</v>
      </c>
      <c r="X259" s="236">
        <f ca="1">INDEX(Photobiology!$21:$421,1+$H259-380,X$14)</f>
        <v>0.000883699249430459</v>
      </c>
      <c r="Y259" s="236">
        <f ca="1" t="shared" si="74"/>
        <v>22.4614734318123</v>
      </c>
      <c r="Z259" s="236">
        <f ca="1" t="shared" si="88"/>
        <v>3.33306851976371e-5</v>
      </c>
      <c r="AA259" s="236">
        <f ca="1" t="shared" si="75"/>
        <v>4.05387395980065</v>
      </c>
      <c r="AB259" s="236">
        <f ca="1" t="shared" si="76"/>
        <v>13.2495839675781</v>
      </c>
      <c r="AC259" s="236">
        <f ca="1" t="shared" si="77"/>
        <v>0.213099897974693</v>
      </c>
      <c r="AD259" s="236">
        <f ca="1" t="shared" si="78"/>
        <v>0.0250969093375543</v>
      </c>
      <c r="AE259" s="236"/>
      <c r="AF259" s="236"/>
      <c r="AG259" s="236"/>
      <c r="AH259" s="236">
        <f t="shared" si="89"/>
        <v>618</v>
      </c>
      <c r="AI259" s="236">
        <f>IF($AH259&gt;$AH258,INDEX(Spectra!259:259,1,MATCH($AI$20,Spectra!$20:$20,0)),AI258)</f>
        <v>1</v>
      </c>
      <c r="AJ259" s="236">
        <f>((Physics!$C$9*Physics!$C$10)/(Physics!$C$11*Physics!$C$12*$AH259))^($AJ$17-$AJ$18)</f>
        <v>3.11195514227224e+18</v>
      </c>
      <c r="AK259" s="236">
        <f t="shared" si="90"/>
        <v>1</v>
      </c>
      <c r="AL259" s="236">
        <f ca="1">INDEX(Photobiology!$21:$421,1+$AH259-380,10)</f>
        <v>0.405032</v>
      </c>
      <c r="AM259" s="236">
        <f ca="1" t="shared" si="91"/>
        <v>13.3319879209511</v>
      </c>
      <c r="AN259" s="236">
        <f ca="1">INDEX(Photobiology!$21:$421,1+$AH259-380,AN$14)</f>
        <v>1.48390466452796e-6</v>
      </c>
      <c r="AO259" s="236">
        <f ca="1">INDEX(Photobiology!$21:$421,1+$AH259-380,AO$14)</f>
        <v>0.180481212512939</v>
      </c>
      <c r="AP259" s="236">
        <f ca="1">INDEX(Photobiology!$21:$421,1+$AH259-380,AP$14)</f>
        <v>0.589880446080292</v>
      </c>
      <c r="AQ259" s="236">
        <f ca="1">INDEX(Photobiology!$21:$421,1+$AH259-380,AQ$14)</f>
        <v>0.00948735169229275</v>
      </c>
      <c r="AR259" s="236">
        <f ca="1">INDEX(Photobiology!$21:$421,1+$AH259-380,AR$14)</f>
        <v>0.00111733139029114</v>
      </c>
      <c r="AS259" s="236">
        <f ca="1" t="shared" si="92"/>
        <v>4.14885483673153e+19</v>
      </c>
      <c r="AT259" s="236">
        <f ca="1">INDEX(Photobiology!$21:$421,1+$AH259-380,AT$14)</f>
        <v>1.05650170290017e-6</v>
      </c>
      <c r="AU259" s="236">
        <f ca="1">INDEX(Photobiology!$21:$421,1+$AH259-380,AU$14)</f>
        <v>0.158587440531001</v>
      </c>
      <c r="AV259" s="236">
        <f ca="1">INDEX(Photobiology!$21:$421,1+$AH259-380,AV$14)</f>
        <v>0.543373662009973</v>
      </c>
      <c r="AW259" s="236">
        <f ca="1">INDEX(Photobiology!$21:$421,1+$AH259-380,AW$14)</f>
        <v>0.00782528632453827</v>
      </c>
      <c r="AX259" s="236">
        <f ca="1">INDEX(Photobiology!$21:$421,1+$AH259-380,AX$14)</f>
        <v>0.000883699249430459</v>
      </c>
      <c r="AY259" s="236">
        <f ca="1" t="shared" si="79"/>
        <v>13.3319879209511</v>
      </c>
      <c r="AZ259" s="236">
        <f ca="1" t="shared" si="93"/>
        <v>1.97833990633298e-5</v>
      </c>
      <c r="BA259" s="236">
        <f ca="1" t="shared" si="80"/>
        <v>2.40617334518112</v>
      </c>
      <c r="BB259" s="236">
        <f ca="1" t="shared" si="81"/>
        <v>7.86427898194772</v>
      </c>
      <c r="BC259" s="236">
        <f ca="1" t="shared" si="82"/>
        <v>0.126485258163462</v>
      </c>
      <c r="BD259" s="236">
        <f ca="1" t="shared" si="83"/>
        <v>0.014896248599061</v>
      </c>
    </row>
    <row r="260" s="234" customFormat="1" ht="0.2" customHeight="1" spans="7:56">
      <c r="G260" s="236"/>
      <c r="H260" s="236">
        <f t="shared" si="84"/>
        <v>619</v>
      </c>
      <c r="I260" s="236">
        <f>IF($H260&gt;$H259,INDEX(Spectra!260:260,1,MATCH($I$20,Spectra!$20:$20,0)),I259)</f>
        <v>22.8901225859509</v>
      </c>
      <c r="J260" s="236">
        <f>((Physics!$C$9*Physics!$C$10)/(Physics!$C$11*Physics!$C$12*$H260))^($J$17-$J$18)</f>
        <v>3.11699066839242e+18</v>
      </c>
      <c r="K260" s="236">
        <f t="shared" si="85"/>
        <v>1</v>
      </c>
      <c r="L260" s="236">
        <f ca="1">INDEX(Photobiology!$21:$421,1+$H260-380,10)</f>
        <v>0.393032</v>
      </c>
      <c r="M260" s="236">
        <f ca="1" t="shared" si="86"/>
        <v>22.8901225859509</v>
      </c>
      <c r="N260" s="236">
        <f ca="1">INDEX(Photobiology!$21:$421,1+$H260-380,N$14)</f>
        <v>1.37898010337566e-6</v>
      </c>
      <c r="O260" s="236">
        <f ca="1">INDEX(Photobiology!$21:$421,1+$H260-380,O$14)</f>
        <v>0.170883842099042</v>
      </c>
      <c r="P260" s="236">
        <f ca="1">INDEX(Photobiology!$21:$421,1+$H260-380,P$14)</f>
        <v>0.575014769669221</v>
      </c>
      <c r="Q260" s="236">
        <f ca="1">INDEX(Photobiology!$21:$421,1+$H260-380,Q$14)</f>
        <v>0.00874538634360712</v>
      </c>
      <c r="R260" s="236">
        <f ca="1">INDEX(Photobiology!$21:$421,1+$H260-380,R$14)</f>
        <v>0.00102872193450319</v>
      </c>
      <c r="S260" s="236">
        <f ca="1" t="shared" si="87"/>
        <v>7.13482984987675e+19</v>
      </c>
      <c r="T260" s="236">
        <f ca="1">INDEX(Photobiology!$21:$421,1+$H260-380,T$14)</f>
        <v>9.80212028247642e-7</v>
      </c>
      <c r="U260" s="236">
        <f ca="1">INDEX(Photobiology!$21:$421,1+$H260-380,U$14)</f>
        <v>0.149911730028641</v>
      </c>
      <c r="V260" s="236">
        <f ca="1">INDEX(Photobiology!$21:$421,1+$H260-380,V$14)</f>
        <v>0.528824308128375</v>
      </c>
      <c r="W260" s="236">
        <f ca="1">INDEX(Photobiology!$21:$421,1+$H260-380,W$14)</f>
        <v>0.00720165086918411</v>
      </c>
      <c r="X260" s="236">
        <f ca="1">INDEX(Photobiology!$21:$421,1+$H260-380,X$14)</f>
        <v>0.000812303476987718</v>
      </c>
      <c r="Y260" s="236">
        <f ca="1" t="shared" si="74"/>
        <v>22.8901225859509</v>
      </c>
      <c r="Z260" s="236">
        <f ca="1" t="shared" si="88"/>
        <v>3.15650236098561e-5</v>
      </c>
      <c r="AA260" s="236">
        <f ca="1" t="shared" si="75"/>
        <v>3.91155209360535</v>
      </c>
      <c r="AB260" s="236">
        <f ca="1" t="shared" si="76"/>
        <v>13.1621585664608</v>
      </c>
      <c r="AC260" s="236">
        <f ca="1" t="shared" si="77"/>
        <v>0.200182965466668</v>
      </c>
      <c r="AD260" s="236">
        <f ca="1" t="shared" si="78"/>
        <v>0.0235475711876346</v>
      </c>
      <c r="AE260" s="236"/>
      <c r="AF260" s="236"/>
      <c r="AG260" s="236"/>
      <c r="AH260" s="236">
        <f t="shared" si="89"/>
        <v>619</v>
      </c>
      <c r="AI260" s="236">
        <f>IF($AH260&gt;$AH259,INDEX(Spectra!260:260,1,MATCH($AI$20,Spectra!$20:$20,0)),AI259)</f>
        <v>1</v>
      </c>
      <c r="AJ260" s="236">
        <f>((Physics!$C$9*Physics!$C$10)/(Physics!$C$11*Physics!$C$12*$AH260))^($AJ$17-$AJ$18)</f>
        <v>3.11699066839242e+18</v>
      </c>
      <c r="AK260" s="236">
        <f t="shared" si="90"/>
        <v>1</v>
      </c>
      <c r="AL260" s="236">
        <f ca="1">INDEX(Photobiology!$21:$421,1+$AH260-380,10)</f>
        <v>0.393032</v>
      </c>
      <c r="AM260" s="236">
        <f ca="1" t="shared" si="91"/>
        <v>13.3319879209511</v>
      </c>
      <c r="AN260" s="236">
        <f ca="1">INDEX(Photobiology!$21:$421,1+$AH260-380,AN$14)</f>
        <v>1.37898010337566e-6</v>
      </c>
      <c r="AO260" s="236">
        <f ca="1">INDEX(Photobiology!$21:$421,1+$AH260-380,AO$14)</f>
        <v>0.170883842099042</v>
      </c>
      <c r="AP260" s="236">
        <f ca="1">INDEX(Photobiology!$21:$421,1+$AH260-380,AP$14)</f>
        <v>0.575014769669221</v>
      </c>
      <c r="AQ260" s="236">
        <f ca="1">INDEX(Photobiology!$21:$421,1+$AH260-380,AQ$14)</f>
        <v>0.00874538634360712</v>
      </c>
      <c r="AR260" s="236">
        <f ca="1">INDEX(Photobiology!$21:$421,1+$AH260-380,AR$14)</f>
        <v>0.00102872193450319</v>
      </c>
      <c r="AS260" s="236">
        <f ca="1" t="shared" si="92"/>
        <v>4.15556819407252e+19</v>
      </c>
      <c r="AT260" s="236">
        <f ca="1">INDEX(Photobiology!$21:$421,1+$AH260-380,AT$14)</f>
        <v>9.80212028247642e-7</v>
      </c>
      <c r="AU260" s="236">
        <f ca="1">INDEX(Photobiology!$21:$421,1+$AH260-380,AU$14)</f>
        <v>0.149911730028641</v>
      </c>
      <c r="AV260" s="236">
        <f ca="1">INDEX(Photobiology!$21:$421,1+$AH260-380,AV$14)</f>
        <v>0.528824308128375</v>
      </c>
      <c r="AW260" s="236">
        <f ca="1">INDEX(Photobiology!$21:$421,1+$AH260-380,AW$14)</f>
        <v>0.00720165086918411</v>
      </c>
      <c r="AX260" s="236">
        <f ca="1">INDEX(Photobiology!$21:$421,1+$AH260-380,AX$14)</f>
        <v>0.000812303476987718</v>
      </c>
      <c r="AY260" s="236">
        <f ca="1" t="shared" si="79"/>
        <v>13.3319879209511</v>
      </c>
      <c r="AZ260" s="236">
        <f ca="1" t="shared" si="93"/>
        <v>1.83845460814363e-5</v>
      </c>
      <c r="BA260" s="236">
        <f ca="1" t="shared" si="80"/>
        <v>2.27822131875015</v>
      </c>
      <c r="BB260" s="236">
        <f ca="1" t="shared" si="81"/>
        <v>7.66608996359856</v>
      </c>
      <c r="BC260" s="236">
        <f ca="1" t="shared" si="82"/>
        <v>0.116593385097021</v>
      </c>
      <c r="BD260" s="236">
        <f ca="1" t="shared" si="83"/>
        <v>0.013714908404814</v>
      </c>
    </row>
    <row r="261" s="234" customFormat="1" ht="0.2" customHeight="1" spans="7:56">
      <c r="G261" s="236"/>
      <c r="H261" s="236">
        <f t="shared" si="84"/>
        <v>620</v>
      </c>
      <c r="I261" s="236">
        <f>IF($H261&gt;$H260,INDEX(Spectra!261:261,1,MATCH($I$20,Spectra!$20:$20,0)),I260)</f>
        <v>23.0521478823813</v>
      </c>
      <c r="J261" s="236">
        <f>((Physics!$C$9*Physics!$C$10)/(Physics!$C$11*Physics!$C$12*$H261))^($J$17-$J$18)</f>
        <v>3.12202619451261e+18</v>
      </c>
      <c r="K261" s="236">
        <f t="shared" si="85"/>
        <v>1</v>
      </c>
      <c r="L261" s="236">
        <f ca="1">INDEX(Photobiology!$21:$421,1+$H261-380,10)</f>
        <v>0.381</v>
      </c>
      <c r="M261" s="236">
        <f ca="1" t="shared" si="86"/>
        <v>23.0521478823813</v>
      </c>
      <c r="N261" s="236">
        <f ca="1">INDEX(Photobiology!$21:$421,1+$H261-380,N$14)</f>
        <v>1.28178740547738e-6</v>
      </c>
      <c r="O261" s="236">
        <f ca="1">INDEX(Photobiology!$21:$421,1+$H261-380,O$14)</f>
        <v>0.161647130655885</v>
      </c>
      <c r="P261" s="236">
        <f ca="1">INDEX(Photobiology!$21:$421,1+$H261-380,P$14)</f>
        <v>0.560131504275526</v>
      </c>
      <c r="Q261" s="236">
        <f ca="1">INDEX(Photobiology!$21:$421,1+$H261-380,Q$14)</f>
        <v>0.00806126132366704</v>
      </c>
      <c r="R261" s="236">
        <f ca="1">INDEX(Photobiology!$21:$421,1+$H261-380,R$14)</f>
        <v>0.000947314096785937</v>
      </c>
      <c r="S261" s="236">
        <f ca="1" t="shared" si="87"/>
        <v>7.19694095285728e+19</v>
      </c>
      <c r="T261" s="236">
        <f ca="1">INDEX(Photobiology!$21:$421,1+$H261-380,T$14)</f>
        <v>9.09655578080721e-7</v>
      </c>
      <c r="U261" s="236">
        <f ca="1">INDEX(Photobiology!$21:$421,1+$H261-380,U$14)</f>
        <v>0.14157989164269</v>
      </c>
      <c r="V261" s="236">
        <f ca="1">INDEX(Photobiology!$21:$421,1+$H261-380,V$14)</f>
        <v>0.514305737662661</v>
      </c>
      <c r="W261" s="236">
        <f ca="1">INDEX(Photobiology!$21:$421,1+$H261-380,W$14)</f>
        <v>0.00662758067268106</v>
      </c>
      <c r="X261" s="236">
        <f ca="1">INDEX(Photobiology!$21:$421,1+$H261-380,X$14)</f>
        <v>0.000746815411705745</v>
      </c>
      <c r="Y261" s="236">
        <f ca="1" t="shared" si="74"/>
        <v>23.0521478823813</v>
      </c>
      <c r="Z261" s="236">
        <f ca="1" t="shared" si="88"/>
        <v>2.95479528248384e-5</v>
      </c>
      <c r="AA261" s="236">
        <f ca="1" t="shared" si="75"/>
        <v>3.72631356064207</v>
      </c>
      <c r="AB261" s="236">
        <f ca="1" t="shared" si="76"/>
        <v>12.9122342701401</v>
      </c>
      <c r="AC261" s="236">
        <f ca="1" t="shared" si="77"/>
        <v>0.185829388151693</v>
      </c>
      <c r="AD261" s="236">
        <f ca="1" t="shared" si="78"/>
        <v>0.0218376246501739</v>
      </c>
      <c r="AE261" s="236"/>
      <c r="AF261" s="236"/>
      <c r="AG261" s="236"/>
      <c r="AH261" s="236">
        <f t="shared" si="89"/>
        <v>620</v>
      </c>
      <c r="AI261" s="236">
        <f>IF($AH261&gt;$AH260,INDEX(Spectra!261:261,1,MATCH($AI$20,Spectra!$20:$20,0)),AI260)</f>
        <v>1</v>
      </c>
      <c r="AJ261" s="236">
        <f>((Physics!$C$9*Physics!$C$10)/(Physics!$C$11*Physics!$C$12*$AH261))^($AJ$17-$AJ$18)</f>
        <v>3.12202619451261e+18</v>
      </c>
      <c r="AK261" s="236">
        <f t="shared" si="90"/>
        <v>1</v>
      </c>
      <c r="AL261" s="236">
        <f ca="1">INDEX(Photobiology!$21:$421,1+$AH261-380,10)</f>
        <v>0.381</v>
      </c>
      <c r="AM261" s="236">
        <f ca="1" t="shared" si="91"/>
        <v>13.3319879209511</v>
      </c>
      <c r="AN261" s="236">
        <f ca="1">INDEX(Photobiology!$21:$421,1+$AH261-380,AN$14)</f>
        <v>1.28178740547738e-6</v>
      </c>
      <c r="AO261" s="236">
        <f ca="1">INDEX(Photobiology!$21:$421,1+$AH261-380,AO$14)</f>
        <v>0.161647130655885</v>
      </c>
      <c r="AP261" s="236">
        <f ca="1">INDEX(Photobiology!$21:$421,1+$AH261-380,AP$14)</f>
        <v>0.560131504275526</v>
      </c>
      <c r="AQ261" s="236">
        <f ca="1">INDEX(Photobiology!$21:$421,1+$AH261-380,AQ$14)</f>
        <v>0.00806126132366704</v>
      </c>
      <c r="AR261" s="236">
        <f ca="1">INDEX(Photobiology!$21:$421,1+$AH261-380,AR$14)</f>
        <v>0.000947314096785937</v>
      </c>
      <c r="AS261" s="236">
        <f ca="1" t="shared" si="92"/>
        <v>4.16228155141351e+19</v>
      </c>
      <c r="AT261" s="236">
        <f ca="1">INDEX(Photobiology!$21:$421,1+$AH261-380,AT$14)</f>
        <v>9.09655578080721e-7</v>
      </c>
      <c r="AU261" s="236">
        <f ca="1">INDEX(Photobiology!$21:$421,1+$AH261-380,AU$14)</f>
        <v>0.14157989164269</v>
      </c>
      <c r="AV261" s="236">
        <f ca="1">INDEX(Photobiology!$21:$421,1+$AH261-380,AV$14)</f>
        <v>0.514305737662661</v>
      </c>
      <c r="AW261" s="236">
        <f ca="1">INDEX(Photobiology!$21:$421,1+$AH261-380,AW$14)</f>
        <v>0.00662758067268106</v>
      </c>
      <c r="AX261" s="236">
        <f ca="1">INDEX(Photobiology!$21:$421,1+$AH261-380,AX$14)</f>
        <v>0.000746815411705745</v>
      </c>
      <c r="AY261" s="236">
        <f ca="1" t="shared" si="79"/>
        <v>13.3319879209511</v>
      </c>
      <c r="AZ261" s="236">
        <f ca="1" t="shared" si="93"/>
        <v>1.70887742070517e-5</v>
      </c>
      <c r="BA261" s="236">
        <f ca="1" t="shared" si="80"/>
        <v>2.15507759336067</v>
      </c>
      <c r="BB261" s="236">
        <f ca="1" t="shared" si="81"/>
        <v>7.46766644914551</v>
      </c>
      <c r="BC261" s="236">
        <f ca="1" t="shared" si="82"/>
        <v>0.10747263859476</v>
      </c>
      <c r="BD261" s="236">
        <f ca="1" t="shared" si="83"/>
        <v>0.0126295800956969</v>
      </c>
    </row>
    <row r="262" s="234" customFormat="1" ht="0.2" customHeight="1" spans="7:56">
      <c r="G262" s="236"/>
      <c r="H262" s="236">
        <f t="shared" si="84"/>
        <v>621</v>
      </c>
      <c r="I262" s="236">
        <f>IF($H262&gt;$H261,INDEX(Spectra!262:262,1,MATCH($I$20,Spectra!$20:$20,0)),I261)</f>
        <v>23.2396644244116</v>
      </c>
      <c r="J262" s="236">
        <f>((Physics!$C$9*Physics!$C$10)/(Physics!$C$11*Physics!$C$12*$H262))^($J$17-$J$18)</f>
        <v>3.12706172063279e+18</v>
      </c>
      <c r="K262" s="236">
        <f t="shared" si="85"/>
        <v>1</v>
      </c>
      <c r="L262" s="236">
        <f ca="1">INDEX(Photobiology!$21:$421,1+$H262-380,10)</f>
        <v>0.3689184</v>
      </c>
      <c r="M262" s="236">
        <f ca="1" t="shared" si="86"/>
        <v>23.2396644244116</v>
      </c>
      <c r="N262" s="236">
        <f ca="1">INDEX(Photobiology!$21:$421,1+$H262-380,N$14)</f>
        <v>1.19118440776211e-6</v>
      </c>
      <c r="O262" s="236">
        <f ca="1">INDEX(Photobiology!$21:$421,1+$H262-380,O$14)</f>
        <v>0.152699635366478</v>
      </c>
      <c r="P262" s="236">
        <f ca="1">INDEX(Photobiology!$21:$421,1+$H262-380,P$14)</f>
        <v>0.544996859879878</v>
      </c>
      <c r="Q262" s="236">
        <f ca="1">INDEX(Photobiology!$21:$421,1+$H262-380,Q$14)</f>
        <v>0.00742714666363587</v>
      </c>
      <c r="R262" s="236">
        <f ca="1">INDEX(Photobiology!$21:$421,1+$H262-380,R$14)</f>
        <v>0.000872107457073421</v>
      </c>
      <c r="S262" s="236">
        <f ca="1" t="shared" si="87"/>
        <v>7.26718650219292e+19</v>
      </c>
      <c r="T262" s="236">
        <f ca="1">INDEX(Photobiology!$21:$421,1+$H262-380,T$14)</f>
        <v>8.4399539358346e-7</v>
      </c>
      <c r="U262" s="236">
        <f ca="1">INDEX(Photobiology!$21:$421,1+$H262-380,U$14)</f>
        <v>0.133527791173349</v>
      </c>
      <c r="V262" s="236">
        <f ca="1">INDEX(Photobiology!$21:$421,1+$H262-380,V$14)</f>
        <v>0.49960348450383</v>
      </c>
      <c r="W262" s="236">
        <f ca="1">INDEX(Photobiology!$21:$421,1+$H262-380,W$14)</f>
        <v>0.00609640923242159</v>
      </c>
      <c r="X262" s="236">
        <f ca="1">INDEX(Photobiology!$21:$421,1+$H262-380,X$14)</f>
        <v>0.000686419102433214</v>
      </c>
      <c r="Y262" s="236">
        <f ca="1" t="shared" si="74"/>
        <v>23.2396644244116</v>
      </c>
      <c r="Z262" s="236">
        <f ca="1" t="shared" si="88"/>
        <v>2.76827259039829e-5</v>
      </c>
      <c r="AA262" s="236">
        <f ca="1" t="shared" si="75"/>
        <v>3.54868828364696</v>
      </c>
      <c r="AB262" s="236">
        <f ca="1" t="shared" si="76"/>
        <v>12.6655441359664</v>
      </c>
      <c r="AC262" s="236">
        <f ca="1" t="shared" si="77"/>
        <v>0.172604396093786</v>
      </c>
      <c r="AD262" s="236">
        <f ca="1" t="shared" si="78"/>
        <v>0.0202674846444132</v>
      </c>
      <c r="AE262" s="236"/>
      <c r="AF262" s="236"/>
      <c r="AG262" s="236"/>
      <c r="AH262" s="236">
        <f t="shared" si="89"/>
        <v>621</v>
      </c>
      <c r="AI262" s="236">
        <f>IF($AH262&gt;$AH261,INDEX(Spectra!262:262,1,MATCH($AI$20,Spectra!$20:$20,0)),AI261)</f>
        <v>1</v>
      </c>
      <c r="AJ262" s="236">
        <f>((Physics!$C$9*Physics!$C$10)/(Physics!$C$11*Physics!$C$12*$AH262))^($AJ$17-$AJ$18)</f>
        <v>3.12706172063279e+18</v>
      </c>
      <c r="AK262" s="236">
        <f t="shared" si="90"/>
        <v>1</v>
      </c>
      <c r="AL262" s="236">
        <f ca="1">INDEX(Photobiology!$21:$421,1+$AH262-380,10)</f>
        <v>0.3689184</v>
      </c>
      <c r="AM262" s="236">
        <f ca="1" t="shared" si="91"/>
        <v>13.3319879209511</v>
      </c>
      <c r="AN262" s="236">
        <f ca="1">INDEX(Photobiology!$21:$421,1+$AH262-380,AN$14)</f>
        <v>1.19118440776211e-6</v>
      </c>
      <c r="AO262" s="236">
        <f ca="1">INDEX(Photobiology!$21:$421,1+$AH262-380,AO$14)</f>
        <v>0.152699635366478</v>
      </c>
      <c r="AP262" s="236">
        <f ca="1">INDEX(Photobiology!$21:$421,1+$AH262-380,AP$14)</f>
        <v>0.544996859879878</v>
      </c>
      <c r="AQ262" s="236">
        <f ca="1">INDEX(Photobiology!$21:$421,1+$AH262-380,AQ$14)</f>
        <v>0.00742714666363587</v>
      </c>
      <c r="AR262" s="236">
        <f ca="1">INDEX(Photobiology!$21:$421,1+$AH262-380,AR$14)</f>
        <v>0.000872107457073421</v>
      </c>
      <c r="AS262" s="236">
        <f ca="1" t="shared" si="92"/>
        <v>4.1689949087545e+19</v>
      </c>
      <c r="AT262" s="236">
        <f ca="1">INDEX(Photobiology!$21:$421,1+$AH262-380,AT$14)</f>
        <v>8.4399539358346e-7</v>
      </c>
      <c r="AU262" s="236">
        <f ca="1">INDEX(Photobiology!$21:$421,1+$AH262-380,AU$14)</f>
        <v>0.133527791173349</v>
      </c>
      <c r="AV262" s="236">
        <f ca="1">INDEX(Photobiology!$21:$421,1+$AH262-380,AV$14)</f>
        <v>0.49960348450383</v>
      </c>
      <c r="AW262" s="236">
        <f ca="1">INDEX(Photobiology!$21:$421,1+$AH262-380,AW$14)</f>
        <v>0.00609640923242159</v>
      </c>
      <c r="AX262" s="236">
        <f ca="1">INDEX(Photobiology!$21:$421,1+$AH262-380,AX$14)</f>
        <v>0.000686419102433214</v>
      </c>
      <c r="AY262" s="236">
        <f ca="1" t="shared" si="79"/>
        <v>13.3319879209511</v>
      </c>
      <c r="AZ262" s="236">
        <f ca="1" t="shared" si="93"/>
        <v>1.58808561359098e-5</v>
      </c>
      <c r="BA262" s="236">
        <f ca="1" t="shared" si="80"/>
        <v>2.03578969423953</v>
      </c>
      <c r="BB262" s="236">
        <f ca="1" t="shared" si="81"/>
        <v>7.26589155287483</v>
      </c>
      <c r="BC262" s="236">
        <f ca="1" t="shared" si="82"/>
        <v>0.099018629606726</v>
      </c>
      <c r="BD262" s="236">
        <f ca="1" t="shared" si="83"/>
        <v>0.0116269260834743</v>
      </c>
    </row>
    <row r="263" s="234" customFormat="1" ht="0.2" customHeight="1" spans="7:56">
      <c r="G263" s="236"/>
      <c r="H263" s="236">
        <f t="shared" si="84"/>
        <v>622</v>
      </c>
      <c r="I263" s="236">
        <f>IF($H263&gt;$H262,INDEX(Spectra!263:263,1,MATCH($I$20,Spectra!$20:$20,0)),I262)</f>
        <v>23.0938151901321</v>
      </c>
      <c r="J263" s="236">
        <f>((Physics!$C$9*Physics!$C$10)/(Physics!$C$11*Physics!$C$12*$H263))^($J$17-$J$18)</f>
        <v>3.13209724675297e+18</v>
      </c>
      <c r="K263" s="236">
        <f t="shared" si="85"/>
        <v>1</v>
      </c>
      <c r="L263" s="236">
        <f ca="1">INDEX(Photobiology!$21:$421,1+$H263-380,10)</f>
        <v>0.3568272</v>
      </c>
      <c r="M263" s="236">
        <f ca="1" t="shared" si="86"/>
        <v>23.0938151901321</v>
      </c>
      <c r="N263" s="236">
        <f ca="1">INDEX(Photobiology!$21:$421,1+$H263-380,N$14)</f>
        <v>1.10725334255865e-6</v>
      </c>
      <c r="O263" s="236">
        <f ca="1">INDEX(Photobiology!$21:$421,1+$H263-380,O$14)</f>
        <v>0.144117592972961</v>
      </c>
      <c r="P263" s="236">
        <f ca="1">INDEX(Photobiology!$21:$421,1+$H263-380,P$14)</f>
        <v>0.52989033717315</v>
      </c>
      <c r="Q263" s="236">
        <f ca="1">INDEX(Photobiology!$21:$421,1+$H263-380,Q$14)</f>
        <v>0.00684295997843708</v>
      </c>
      <c r="R263" s="236">
        <f ca="1">INDEX(Photobiology!$21:$421,1+$H263-380,R$14)</f>
        <v>0.000803024877839878</v>
      </c>
      <c r="S263" s="236">
        <f ca="1" t="shared" si="87"/>
        <v>7.23320749740347e+19</v>
      </c>
      <c r="T263" s="236">
        <f ca="1">INDEX(Photobiology!$21:$421,1+$H263-380,T$14)</f>
        <v>7.83266030105797e-7</v>
      </c>
      <c r="U263" s="236">
        <f ca="1">INDEX(Photobiology!$21:$421,1+$H263-380,U$14)</f>
        <v>0.125820637240864</v>
      </c>
      <c r="V263" s="236">
        <f ca="1">INDEX(Photobiology!$21:$421,1+$H263-380,V$14)</f>
        <v>0.484974243428092</v>
      </c>
      <c r="W263" s="236">
        <f ca="1">INDEX(Photobiology!$21:$421,1+$H263-380,W$14)</f>
        <v>0.00560786212597175</v>
      </c>
      <c r="X263" s="236">
        <f ca="1">INDEX(Photobiology!$21:$421,1+$H263-380,X$14)</f>
        <v>0.000631029375000028</v>
      </c>
      <c r="Y263" s="236">
        <f ca="1" t="shared" si="74"/>
        <v>23.0938151901321</v>
      </c>
      <c r="Z263" s="236">
        <f ca="1" t="shared" si="88"/>
        <v>2.55707040617055e-5</v>
      </c>
      <c r="AA263" s="236">
        <f ca="1" t="shared" si="75"/>
        <v>3.32822505776424</v>
      </c>
      <c r="AB263" s="236">
        <f ca="1" t="shared" si="76"/>
        <v>12.2371895177135</v>
      </c>
      <c r="AC263" s="236">
        <f ca="1" t="shared" si="77"/>
        <v>0.158030053095496</v>
      </c>
      <c r="AD263" s="236">
        <f ca="1" t="shared" si="78"/>
        <v>0.0185449081219125</v>
      </c>
      <c r="AE263" s="236"/>
      <c r="AF263" s="236"/>
      <c r="AG263" s="236"/>
      <c r="AH263" s="236">
        <f t="shared" si="89"/>
        <v>622</v>
      </c>
      <c r="AI263" s="236">
        <f>IF($AH263&gt;$AH262,INDEX(Spectra!263:263,1,MATCH($AI$20,Spectra!$20:$20,0)),AI262)</f>
        <v>1</v>
      </c>
      <c r="AJ263" s="236">
        <f>((Physics!$C$9*Physics!$C$10)/(Physics!$C$11*Physics!$C$12*$AH263))^($AJ$17-$AJ$18)</f>
        <v>3.13209724675297e+18</v>
      </c>
      <c r="AK263" s="236">
        <f t="shared" si="90"/>
        <v>1</v>
      </c>
      <c r="AL263" s="236">
        <f ca="1">INDEX(Photobiology!$21:$421,1+$AH263-380,10)</f>
        <v>0.3568272</v>
      </c>
      <c r="AM263" s="236">
        <f ca="1" t="shared" si="91"/>
        <v>13.3319879209511</v>
      </c>
      <c r="AN263" s="236">
        <f ca="1">INDEX(Photobiology!$21:$421,1+$AH263-380,AN$14)</f>
        <v>1.10725334255865e-6</v>
      </c>
      <c r="AO263" s="236">
        <f ca="1">INDEX(Photobiology!$21:$421,1+$AH263-380,AO$14)</f>
        <v>0.144117592972961</v>
      </c>
      <c r="AP263" s="236">
        <f ca="1">INDEX(Photobiology!$21:$421,1+$AH263-380,AP$14)</f>
        <v>0.52989033717315</v>
      </c>
      <c r="AQ263" s="236">
        <f ca="1">INDEX(Photobiology!$21:$421,1+$AH263-380,AQ$14)</f>
        <v>0.00684295997843708</v>
      </c>
      <c r="AR263" s="236">
        <f ca="1">INDEX(Photobiology!$21:$421,1+$AH263-380,AR$14)</f>
        <v>0.000803024877839878</v>
      </c>
      <c r="AS263" s="236">
        <f ca="1" t="shared" si="92"/>
        <v>4.17570826609549e+19</v>
      </c>
      <c r="AT263" s="236">
        <f ca="1">INDEX(Photobiology!$21:$421,1+$AH263-380,AT$14)</f>
        <v>7.83266030105797e-7</v>
      </c>
      <c r="AU263" s="236">
        <f ca="1">INDEX(Photobiology!$21:$421,1+$AH263-380,AU$14)</f>
        <v>0.125820637240864</v>
      </c>
      <c r="AV263" s="236">
        <f ca="1">INDEX(Photobiology!$21:$421,1+$AH263-380,AV$14)</f>
        <v>0.484974243428092</v>
      </c>
      <c r="AW263" s="236">
        <f ca="1">INDEX(Photobiology!$21:$421,1+$AH263-380,AW$14)</f>
        <v>0.00560786212597175</v>
      </c>
      <c r="AX263" s="236">
        <f ca="1">INDEX(Photobiology!$21:$421,1+$AH263-380,AX$14)</f>
        <v>0.000631029375000028</v>
      </c>
      <c r="AY263" s="236">
        <f ca="1" t="shared" si="79"/>
        <v>13.3319879209511</v>
      </c>
      <c r="AZ263" s="236">
        <f ca="1" t="shared" si="93"/>
        <v>1.47618881884247e-5</v>
      </c>
      <c r="BA263" s="236">
        <f ca="1" t="shared" si="80"/>
        <v>1.92137400871207</v>
      </c>
      <c r="BB263" s="236">
        <f ca="1" t="shared" si="81"/>
        <v>7.06449157462116</v>
      </c>
      <c r="BC263" s="236">
        <f ca="1" t="shared" si="82"/>
        <v>0.0912302597760752</v>
      </c>
      <c r="BD263" s="236">
        <f ca="1" t="shared" si="83"/>
        <v>0.0107059179715845</v>
      </c>
    </row>
    <row r="264" s="234" customFormat="1" ht="0.2" customHeight="1" spans="7:56">
      <c r="G264" s="236"/>
      <c r="H264" s="236">
        <f t="shared" si="84"/>
        <v>623</v>
      </c>
      <c r="I264" s="236">
        <f>IF($H264&gt;$H263,INDEX(Spectra!264:264,1,MATCH($I$20,Spectra!$20:$20,0)),I263)</f>
        <v>22.977735612464</v>
      </c>
      <c r="J264" s="236">
        <f>((Physics!$C$9*Physics!$C$10)/(Physics!$C$11*Physics!$C$12*$H264))^($J$17-$J$18)</f>
        <v>3.13713277287315e+18</v>
      </c>
      <c r="K264" s="236">
        <f t="shared" si="85"/>
        <v>1</v>
      </c>
      <c r="L264" s="236">
        <f ca="1">INDEX(Photobiology!$21:$421,1+$H264-380,10)</f>
        <v>0.3447768</v>
      </c>
      <c r="M264" s="236">
        <f ca="1" t="shared" si="86"/>
        <v>22.977735612464</v>
      </c>
      <c r="N264" s="236">
        <f ca="1">INDEX(Photobiology!$21:$421,1+$H264-380,N$14)</f>
        <v>1.02948020415894e-6</v>
      </c>
      <c r="O264" s="236">
        <f ca="1">INDEX(Photobiology!$21:$421,1+$H264-380,O$14)</f>
        <v>0.135897040819059</v>
      </c>
      <c r="P264" s="236">
        <f ca="1">INDEX(Photobiology!$21:$421,1+$H264-380,P$14)</f>
        <v>0.51482899708186</v>
      </c>
      <c r="Q264" s="236">
        <f ca="1">INDEX(Photobiology!$21:$421,1+$H264-380,Q$14)</f>
        <v>0.00630482446905524</v>
      </c>
      <c r="R264" s="236">
        <f ca="1">INDEX(Photobiology!$21:$421,1+$H264-380,R$14)</f>
        <v>0.000739557592481089</v>
      </c>
      <c r="S264" s="236">
        <f ca="1" t="shared" si="87"/>
        <v>7.20842074362753e+19</v>
      </c>
      <c r="T264" s="236">
        <f ca="1">INDEX(Photobiology!$21:$421,1+$H264-380,T$14)</f>
        <v>7.27080722038417e-7</v>
      </c>
      <c r="U264" s="236">
        <f ca="1">INDEX(Photobiology!$21:$421,1+$H264-380,U$14)</f>
        <v>0.118453314776228</v>
      </c>
      <c r="V264" s="236">
        <f ca="1">INDEX(Photobiology!$21:$421,1+$H264-380,V$14)</f>
        <v>0.470433252547597</v>
      </c>
      <c r="W264" s="236">
        <f ca="1">INDEX(Photobiology!$21:$421,1+$H264-380,W$14)</f>
        <v>0.00515856213058719</v>
      </c>
      <c r="X264" s="236">
        <f ca="1">INDEX(Photobiology!$21:$421,1+$H264-380,X$14)</f>
        <v>0.000580222965723348</v>
      </c>
      <c r="Y264" s="236">
        <f ca="1" t="shared" si="74"/>
        <v>22.977735612464</v>
      </c>
      <c r="Z264" s="236">
        <f ca="1" t="shared" si="88"/>
        <v>2.36551239494296e-5</v>
      </c>
      <c r="AA264" s="236">
        <f ca="1" t="shared" si="75"/>
        <v>3.12260627445657</v>
      </c>
      <c r="AB264" s="236">
        <f ca="1" t="shared" si="76"/>
        <v>11.829604580577</v>
      </c>
      <c r="AC264" s="236">
        <f ca="1" t="shared" si="77"/>
        <v>0.144870589732945</v>
      </c>
      <c r="AD264" s="236">
        <f ca="1" t="shared" si="78"/>
        <v>0.0169933588302209</v>
      </c>
      <c r="AE264" s="236"/>
      <c r="AF264" s="236"/>
      <c r="AG264" s="236"/>
      <c r="AH264" s="236">
        <f t="shared" si="89"/>
        <v>623</v>
      </c>
      <c r="AI264" s="236">
        <f>IF($AH264&gt;$AH263,INDEX(Spectra!264:264,1,MATCH($AI$20,Spectra!$20:$20,0)),AI263)</f>
        <v>1</v>
      </c>
      <c r="AJ264" s="236">
        <f>((Physics!$C$9*Physics!$C$10)/(Physics!$C$11*Physics!$C$12*$AH264))^($AJ$17-$AJ$18)</f>
        <v>3.13713277287315e+18</v>
      </c>
      <c r="AK264" s="236">
        <f t="shared" si="90"/>
        <v>1</v>
      </c>
      <c r="AL264" s="236">
        <f ca="1">INDEX(Photobiology!$21:$421,1+$AH264-380,10)</f>
        <v>0.3447768</v>
      </c>
      <c r="AM264" s="236">
        <f ca="1" t="shared" si="91"/>
        <v>13.3319879209511</v>
      </c>
      <c r="AN264" s="236">
        <f ca="1">INDEX(Photobiology!$21:$421,1+$AH264-380,AN$14)</f>
        <v>1.02948020415894e-6</v>
      </c>
      <c r="AO264" s="236">
        <f ca="1">INDEX(Photobiology!$21:$421,1+$AH264-380,AO$14)</f>
        <v>0.135897040819059</v>
      </c>
      <c r="AP264" s="236">
        <f ca="1">INDEX(Photobiology!$21:$421,1+$AH264-380,AP$14)</f>
        <v>0.51482899708186</v>
      </c>
      <c r="AQ264" s="236">
        <f ca="1">INDEX(Photobiology!$21:$421,1+$AH264-380,AQ$14)</f>
        <v>0.00630482446905524</v>
      </c>
      <c r="AR264" s="236">
        <f ca="1">INDEX(Photobiology!$21:$421,1+$AH264-380,AR$14)</f>
        <v>0.000739557592481089</v>
      </c>
      <c r="AS264" s="236">
        <f ca="1" t="shared" si="92"/>
        <v>4.18242162343648e+19</v>
      </c>
      <c r="AT264" s="236">
        <f ca="1">INDEX(Photobiology!$21:$421,1+$AH264-380,AT$14)</f>
        <v>7.27080722038417e-7</v>
      </c>
      <c r="AU264" s="236">
        <f ca="1">INDEX(Photobiology!$21:$421,1+$AH264-380,AU$14)</f>
        <v>0.118453314776228</v>
      </c>
      <c r="AV264" s="236">
        <f ca="1">INDEX(Photobiology!$21:$421,1+$AH264-380,AV$14)</f>
        <v>0.470433252547597</v>
      </c>
      <c r="AW264" s="236">
        <f ca="1">INDEX(Photobiology!$21:$421,1+$AH264-380,AW$14)</f>
        <v>0.00515856213058719</v>
      </c>
      <c r="AX264" s="236">
        <f ca="1">INDEX(Photobiology!$21:$421,1+$AH264-380,AX$14)</f>
        <v>0.000580222965723348</v>
      </c>
      <c r="AY264" s="236">
        <f ca="1" t="shared" si="79"/>
        <v>13.3319879209511</v>
      </c>
      <c r="AZ264" s="236">
        <f ca="1" t="shared" si="93"/>
        <v>1.37250176467053e-5</v>
      </c>
      <c r="BA264" s="236">
        <f ca="1" t="shared" si="80"/>
        <v>1.8117777066927</v>
      </c>
      <c r="BB264" s="236">
        <f ca="1" t="shared" si="81"/>
        <v>6.86369397045075</v>
      </c>
      <c r="BC264" s="236">
        <f ca="1" t="shared" si="82"/>
        <v>0.0840558436651616</v>
      </c>
      <c r="BD264" s="236">
        <f ca="1" t="shared" si="83"/>
        <v>0.00985977288980558</v>
      </c>
    </row>
    <row r="265" s="234" customFormat="1" ht="0.2" customHeight="1" spans="7:56">
      <c r="G265" s="236"/>
      <c r="H265" s="236">
        <f t="shared" si="84"/>
        <v>624</v>
      </c>
      <c r="I265" s="236">
        <f>IF($H265&gt;$H264,INDEX(Spectra!265:265,1,MATCH($I$20,Spectra!$20:$20,0)),I264)</f>
        <v>22.4808546085394</v>
      </c>
      <c r="J265" s="236">
        <f>((Physics!$C$9*Physics!$C$10)/(Physics!$C$11*Physics!$C$12*$H265))^($J$17-$J$18)</f>
        <v>3.14216829899333e+18</v>
      </c>
      <c r="K265" s="236">
        <f t="shared" si="85"/>
        <v>1</v>
      </c>
      <c r="L265" s="236">
        <f ca="1">INDEX(Photobiology!$21:$421,1+$H265-380,10)</f>
        <v>0.3328176</v>
      </c>
      <c r="M265" s="236">
        <f ca="1" t="shared" si="86"/>
        <v>22.4808546085394</v>
      </c>
      <c r="N265" s="236">
        <f ca="1">INDEX(Photobiology!$21:$421,1+$H265-380,N$14)</f>
        <v>9.57401271672738e-7</v>
      </c>
      <c r="O265" s="236">
        <f ca="1">INDEX(Photobiology!$21:$421,1+$H265-380,O$14)</f>
        <v>0.128034202297878</v>
      </c>
      <c r="P265" s="236">
        <f ca="1">INDEX(Photobiology!$21:$421,1+$H265-380,P$14)</f>
        <v>0.499828481843753</v>
      </c>
      <c r="Q265" s="236">
        <f ca="1">INDEX(Photobiology!$21:$421,1+$H265-380,Q$14)</f>
        <v>0.00580918222725401</v>
      </c>
      <c r="R265" s="236">
        <f ca="1">INDEX(Photobiology!$21:$421,1+$H265-380,R$14)</f>
        <v>0.000681241348580283</v>
      </c>
      <c r="S265" s="236">
        <f ca="1" t="shared" si="87"/>
        <v>7.06386286852306e+19</v>
      </c>
      <c r="T265" s="236">
        <f ca="1">INDEX(Photobiology!$21:$421,1+$H265-380,T$14)</f>
        <v>6.75090640282059e-7</v>
      </c>
      <c r="U265" s="236">
        <f ca="1">INDEX(Photobiology!$21:$421,1+$H265-380,U$14)</f>
        <v>0.111420903407557</v>
      </c>
      <c r="V265" s="236">
        <f ca="1">INDEX(Photobiology!$21:$421,1+$H265-380,V$14)</f>
        <v>0.455994358022158</v>
      </c>
      <c r="W265" s="236">
        <f ca="1">INDEX(Photobiology!$21:$421,1+$H265-380,W$14)</f>
        <v>0.00474541416840246</v>
      </c>
      <c r="X265" s="236">
        <f ca="1">INDEX(Photobiology!$21:$421,1+$H265-380,X$14)</f>
        <v>0.000533614191971197</v>
      </c>
      <c r="Y265" s="236">
        <f ca="1" t="shared" si="74"/>
        <v>22.4808546085394</v>
      </c>
      <c r="Z265" s="236">
        <f ca="1" t="shared" si="88"/>
        <v>2.15231987905056e-5</v>
      </c>
      <c r="AA265" s="236">
        <f ca="1" t="shared" si="75"/>
        <v>2.87831828677892</v>
      </c>
      <c r="AB265" s="236">
        <f ca="1" t="shared" si="76"/>
        <v>11.2365714295364</v>
      </c>
      <c r="AC265" s="236">
        <f ca="1" t="shared" si="77"/>
        <v>0.130595381045408</v>
      </c>
      <c r="AD265" s="236">
        <f ca="1" t="shared" si="78"/>
        <v>0.0153148877107587</v>
      </c>
      <c r="AE265" s="236"/>
      <c r="AF265" s="236"/>
      <c r="AG265" s="236"/>
      <c r="AH265" s="236">
        <f t="shared" si="89"/>
        <v>624</v>
      </c>
      <c r="AI265" s="236">
        <f>IF($AH265&gt;$AH264,INDEX(Spectra!265:265,1,MATCH($AI$20,Spectra!$20:$20,0)),AI264)</f>
        <v>1</v>
      </c>
      <c r="AJ265" s="236">
        <f>((Physics!$C$9*Physics!$C$10)/(Physics!$C$11*Physics!$C$12*$AH265))^($AJ$17-$AJ$18)</f>
        <v>3.14216829899333e+18</v>
      </c>
      <c r="AK265" s="236">
        <f t="shared" si="90"/>
        <v>1</v>
      </c>
      <c r="AL265" s="236">
        <f ca="1">INDEX(Photobiology!$21:$421,1+$AH265-380,10)</f>
        <v>0.3328176</v>
      </c>
      <c r="AM265" s="236">
        <f ca="1" t="shared" si="91"/>
        <v>13.3319879209511</v>
      </c>
      <c r="AN265" s="236">
        <f ca="1">INDEX(Photobiology!$21:$421,1+$AH265-380,AN$14)</f>
        <v>9.57401271672738e-7</v>
      </c>
      <c r="AO265" s="236">
        <f ca="1">INDEX(Photobiology!$21:$421,1+$AH265-380,AO$14)</f>
        <v>0.128034202297878</v>
      </c>
      <c r="AP265" s="236">
        <f ca="1">INDEX(Photobiology!$21:$421,1+$AH265-380,AP$14)</f>
        <v>0.499828481843753</v>
      </c>
      <c r="AQ265" s="236">
        <f ca="1">INDEX(Photobiology!$21:$421,1+$AH265-380,AQ$14)</f>
        <v>0.00580918222725401</v>
      </c>
      <c r="AR265" s="236">
        <f ca="1">INDEX(Photobiology!$21:$421,1+$AH265-380,AR$14)</f>
        <v>0.000681241348580283</v>
      </c>
      <c r="AS265" s="236">
        <f ca="1" t="shared" si="92"/>
        <v>4.18913498077747e+19</v>
      </c>
      <c r="AT265" s="236">
        <f ca="1">INDEX(Photobiology!$21:$421,1+$AH265-380,AT$14)</f>
        <v>6.75090640282059e-7</v>
      </c>
      <c r="AU265" s="236">
        <f ca="1">INDEX(Photobiology!$21:$421,1+$AH265-380,AU$14)</f>
        <v>0.111420903407557</v>
      </c>
      <c r="AV265" s="236">
        <f ca="1">INDEX(Photobiology!$21:$421,1+$AH265-380,AV$14)</f>
        <v>0.455994358022158</v>
      </c>
      <c r="AW265" s="236">
        <f ca="1">INDEX(Photobiology!$21:$421,1+$AH265-380,AW$14)</f>
        <v>0.00474541416840246</v>
      </c>
      <c r="AX265" s="236">
        <f ca="1">INDEX(Photobiology!$21:$421,1+$AH265-380,AX$14)</f>
        <v>0.000533614191971197</v>
      </c>
      <c r="AY265" s="236">
        <f ca="1" t="shared" si="79"/>
        <v>13.3319879209511</v>
      </c>
      <c r="AZ265" s="236">
        <f ca="1" t="shared" si="93"/>
        <v>1.27640621894442e-5</v>
      </c>
      <c r="BA265" s="236">
        <f ca="1" t="shared" si="80"/>
        <v>1.70695043850392</v>
      </c>
      <c r="BB265" s="236">
        <f ca="1" t="shared" si="81"/>
        <v>6.66370728248826</v>
      </c>
      <c r="BC265" s="236">
        <f ca="1" t="shared" si="82"/>
        <v>0.0774479472843545</v>
      </c>
      <c r="BD265" s="236">
        <f ca="1" t="shared" si="83"/>
        <v>0.0090823014305248</v>
      </c>
    </row>
    <row r="266" s="234" customFormat="1" ht="0.2" customHeight="1" spans="7:56">
      <c r="G266" s="236"/>
      <c r="H266" s="236">
        <f t="shared" si="84"/>
        <v>625</v>
      </c>
      <c r="I266" s="236">
        <f>IF($H266&gt;$H265,INDEX(Spectra!266:266,1,MATCH($I$20,Spectra!$20:$20,0)),I265)</f>
        <v>21.9201745912262</v>
      </c>
      <c r="J266" s="236">
        <f>((Physics!$C$9*Physics!$C$10)/(Physics!$C$11*Physics!$C$12*$H266))^($J$17-$J$18)</f>
        <v>3.14720382511351e+18</v>
      </c>
      <c r="K266" s="236">
        <f t="shared" si="85"/>
        <v>1</v>
      </c>
      <c r="L266" s="236">
        <f ca="1">INDEX(Photobiology!$21:$421,1+$H266-380,10)</f>
        <v>0.321</v>
      </c>
      <c r="M266" s="236">
        <f ca="1" t="shared" si="86"/>
        <v>21.9201745912262</v>
      </c>
      <c r="N266" s="236">
        <f ca="1">INDEX(Photobiology!$21:$421,1+$H266-380,N$14)</f>
        <v>8.9057807684551e-7</v>
      </c>
      <c r="O266" s="236">
        <f ca="1">INDEX(Photobiology!$21:$421,1+$H266-380,O$14)</f>
        <v>0.120523018487113</v>
      </c>
      <c r="P266" s="236">
        <f ca="1">INDEX(Photobiology!$21:$421,1+$H266-380,P$14)</f>
        <v>0.484906493615237</v>
      </c>
      <c r="Q266" s="236">
        <f ca="1">INDEX(Photobiology!$21:$421,1+$H266-380,Q$14)</f>
        <v>0.00535273816602534</v>
      </c>
      <c r="R266" s="236">
        <f ca="1">INDEX(Photobiology!$21:$421,1+$H266-380,R$14)</f>
        <v>0.000627647784252987</v>
      </c>
      <c r="S266" s="236">
        <f ca="1" t="shared" si="87"/>
        <v>6.89872573206631e+19</v>
      </c>
      <c r="T266" s="236">
        <f ca="1">INDEX(Photobiology!$21:$421,1+$H266-380,T$14)</f>
        <v>6.26966966099239e-7</v>
      </c>
      <c r="U266" s="236">
        <f ca="1">INDEX(Photobiology!$21:$421,1+$H266-380,U$14)</f>
        <v>0.104716531261585</v>
      </c>
      <c r="V266" s="236">
        <f ca="1">INDEX(Photobiology!$21:$421,1+$H266-380,V$14)</f>
        <v>0.441673193656569</v>
      </c>
      <c r="W266" s="236">
        <f ca="1">INDEX(Photobiology!$21:$421,1+$H266-380,W$14)</f>
        <v>0.00436555732037013</v>
      </c>
      <c r="X266" s="236">
        <f ca="1">INDEX(Photobiology!$21:$421,1+$H266-380,X$14)</f>
        <v>0.000490847907440082</v>
      </c>
      <c r="Y266" s="236">
        <f ca="1" t="shared" si="74"/>
        <v>21.9201745912262</v>
      </c>
      <c r="Z266" s="236">
        <f ca="1" t="shared" si="88"/>
        <v>1.9521626931572e-5</v>
      </c>
      <c r="AA266" s="236">
        <f ca="1" t="shared" si="75"/>
        <v>2.6418856074991</v>
      </c>
      <c r="AB266" s="236">
        <f ca="1" t="shared" si="76"/>
        <v>10.6292350004653</v>
      </c>
      <c r="AC266" s="236">
        <f ca="1" t="shared" si="77"/>
        <v>0.117332955140395</v>
      </c>
      <c r="AD266" s="236">
        <f ca="1" t="shared" si="78"/>
        <v>0.0137581490126217</v>
      </c>
      <c r="AE266" s="236"/>
      <c r="AF266" s="236"/>
      <c r="AG266" s="236"/>
      <c r="AH266" s="236">
        <f t="shared" si="89"/>
        <v>625</v>
      </c>
      <c r="AI266" s="236">
        <f>IF($AH266&gt;$AH265,INDEX(Spectra!266:266,1,MATCH($AI$20,Spectra!$20:$20,0)),AI265)</f>
        <v>1</v>
      </c>
      <c r="AJ266" s="236">
        <f>((Physics!$C$9*Physics!$C$10)/(Physics!$C$11*Physics!$C$12*$AH266))^($AJ$17-$AJ$18)</f>
        <v>3.14720382511351e+18</v>
      </c>
      <c r="AK266" s="236">
        <f t="shared" si="90"/>
        <v>1</v>
      </c>
      <c r="AL266" s="236">
        <f ca="1">INDEX(Photobiology!$21:$421,1+$AH266-380,10)</f>
        <v>0.321</v>
      </c>
      <c r="AM266" s="236">
        <f ca="1" t="shared" si="91"/>
        <v>13.3319879209511</v>
      </c>
      <c r="AN266" s="236">
        <f ca="1">INDEX(Photobiology!$21:$421,1+$AH266-380,AN$14)</f>
        <v>8.9057807684551e-7</v>
      </c>
      <c r="AO266" s="236">
        <f ca="1">INDEX(Photobiology!$21:$421,1+$AH266-380,AO$14)</f>
        <v>0.120523018487113</v>
      </c>
      <c r="AP266" s="236">
        <f ca="1">INDEX(Photobiology!$21:$421,1+$AH266-380,AP$14)</f>
        <v>0.484906493615237</v>
      </c>
      <c r="AQ266" s="236">
        <f ca="1">INDEX(Photobiology!$21:$421,1+$AH266-380,AQ$14)</f>
        <v>0.00535273816602534</v>
      </c>
      <c r="AR266" s="236">
        <f ca="1">INDEX(Photobiology!$21:$421,1+$AH266-380,AR$14)</f>
        <v>0.000627647784252987</v>
      </c>
      <c r="AS266" s="236">
        <f ca="1" t="shared" si="92"/>
        <v>4.19584833811846e+19</v>
      </c>
      <c r="AT266" s="236">
        <f ca="1">INDEX(Photobiology!$21:$421,1+$AH266-380,AT$14)</f>
        <v>6.26966966099239e-7</v>
      </c>
      <c r="AU266" s="236">
        <f ca="1">INDEX(Photobiology!$21:$421,1+$AH266-380,AU$14)</f>
        <v>0.104716531261585</v>
      </c>
      <c r="AV266" s="236">
        <f ca="1">INDEX(Photobiology!$21:$421,1+$AH266-380,AV$14)</f>
        <v>0.441673193656569</v>
      </c>
      <c r="AW266" s="236">
        <f ca="1">INDEX(Photobiology!$21:$421,1+$AH266-380,AW$14)</f>
        <v>0.00436555732037013</v>
      </c>
      <c r="AX266" s="236">
        <f ca="1">INDEX(Photobiology!$21:$421,1+$AH266-380,AX$14)</f>
        <v>0.000490847907440082</v>
      </c>
      <c r="AY266" s="236">
        <f ca="1" t="shared" si="79"/>
        <v>13.3319879209511</v>
      </c>
      <c r="AZ266" s="236">
        <f ca="1" t="shared" si="93"/>
        <v>1.18731761631682e-5</v>
      </c>
      <c r="BA266" s="236">
        <f ca="1" t="shared" si="80"/>
        <v>1.60681142666676</v>
      </c>
      <c r="BB266" s="236">
        <f ca="1" t="shared" si="81"/>
        <v>6.46476751566911</v>
      </c>
      <c r="BC266" s="236">
        <f ca="1" t="shared" si="82"/>
        <v>0.071362640573464</v>
      </c>
      <c r="BD266" s="236">
        <f ca="1" t="shared" si="83"/>
        <v>0.00836779267827257</v>
      </c>
    </row>
    <row r="267" s="234" customFormat="1" ht="0.2" customHeight="1" spans="7:56">
      <c r="G267" s="236"/>
      <c r="H267" s="236">
        <f t="shared" si="84"/>
        <v>626</v>
      </c>
      <c r="I267" s="236">
        <f>IF($H267&gt;$H266,INDEX(Spectra!267:267,1,MATCH($I$20,Spectra!$20:$20,0)),I266)</f>
        <v>21.1266295544325</v>
      </c>
      <c r="J267" s="236">
        <f>((Physics!$C$9*Physics!$C$10)/(Physics!$C$11*Physics!$C$12*$H267))^($J$17-$J$18)</f>
        <v>3.1522393512337e+18</v>
      </c>
      <c r="K267" s="236">
        <f t="shared" si="85"/>
        <v>1</v>
      </c>
      <c r="L267" s="236">
        <f ca="1">INDEX(Photobiology!$21:$421,1+$H267-380,10)</f>
        <v>0.3093381</v>
      </c>
      <c r="M267" s="236">
        <f ca="1" t="shared" si="86"/>
        <v>21.1266295544325</v>
      </c>
      <c r="N267" s="236">
        <f ca="1">INDEX(Photobiology!$21:$421,1+$H267-380,N$14)</f>
        <v>8.28615399053592e-7</v>
      </c>
      <c r="O267" s="236">
        <f ca="1">INDEX(Photobiology!$21:$421,1+$H267-380,O$14)</f>
        <v>0.113357693317995</v>
      </c>
      <c r="P267" s="236">
        <f ca="1">INDEX(Photobiology!$21:$421,1+$H267-380,P$14)</f>
        <v>0.470075914923928</v>
      </c>
      <c r="Q267" s="236">
        <f ca="1">INDEX(Photobiology!$21:$421,1+$H267-380,Q$14)</f>
        <v>0.0049324194314067</v>
      </c>
      <c r="R267" s="236">
        <f ca="1">INDEX(Photobiology!$21:$421,1+$H267-380,R$14)</f>
        <v>0.000578387635178154</v>
      </c>
      <c r="S267" s="236">
        <f ca="1" t="shared" si="87"/>
        <v>6.6596193040419e+19</v>
      </c>
      <c r="T267" s="236">
        <f ca="1">INDEX(Photobiology!$21:$421,1+$H267-380,T$14)</f>
        <v>5.82413379526487e-7</v>
      </c>
      <c r="U267" s="236">
        <f ca="1">INDEX(Photobiology!$21:$421,1+$H267-380,U$14)</f>
        <v>0.0983335983904807</v>
      </c>
      <c r="V267" s="236">
        <f ca="1">INDEX(Photobiology!$21:$421,1+$H267-380,V$14)</f>
        <v>0.427480910451499</v>
      </c>
      <c r="W267" s="236">
        <f ca="1">INDEX(Photobiology!$21:$421,1+$H267-380,W$14)</f>
        <v>0.00401632990617121</v>
      </c>
      <c r="X267" s="236">
        <f ca="1">INDEX(Photobiology!$21:$421,1+$H267-380,X$14)</f>
        <v>0.000451601762286192</v>
      </c>
      <c r="Y267" s="236">
        <f ca="1" t="shared" si="74"/>
        <v>21.1266295544325</v>
      </c>
      <c r="Z267" s="236">
        <f ca="1" t="shared" si="88"/>
        <v>1.75058505789035e-5</v>
      </c>
      <c r="AA267" s="236">
        <f ca="1" t="shared" si="75"/>
        <v>2.39486599387425</v>
      </c>
      <c r="AB267" s="236">
        <f ca="1" t="shared" si="76"/>
        <v>9.93111971705875</v>
      </c>
      <c r="AC267" s="236">
        <f ca="1" t="shared" si="77"/>
        <v>0.104205398134414</v>
      </c>
      <c r="AD267" s="236">
        <f ca="1" t="shared" si="78"/>
        <v>0.0122193813072731</v>
      </c>
      <c r="AE267" s="236"/>
      <c r="AF267" s="236"/>
      <c r="AG267" s="236"/>
      <c r="AH267" s="236">
        <f t="shared" si="89"/>
        <v>626</v>
      </c>
      <c r="AI267" s="236">
        <f>IF($AH267&gt;$AH266,INDEX(Spectra!267:267,1,MATCH($AI$20,Spectra!$20:$20,0)),AI266)</f>
        <v>1</v>
      </c>
      <c r="AJ267" s="236">
        <f>((Physics!$C$9*Physics!$C$10)/(Physics!$C$11*Physics!$C$12*$AH267))^($AJ$17-$AJ$18)</f>
        <v>3.1522393512337e+18</v>
      </c>
      <c r="AK267" s="236">
        <f t="shared" si="90"/>
        <v>1</v>
      </c>
      <c r="AL267" s="236">
        <f ca="1">INDEX(Photobiology!$21:$421,1+$AH267-380,10)</f>
        <v>0.3093381</v>
      </c>
      <c r="AM267" s="236">
        <f ca="1" t="shared" si="91"/>
        <v>13.3319879209511</v>
      </c>
      <c r="AN267" s="236">
        <f ca="1">INDEX(Photobiology!$21:$421,1+$AH267-380,AN$14)</f>
        <v>8.28615399053592e-7</v>
      </c>
      <c r="AO267" s="236">
        <f ca="1">INDEX(Photobiology!$21:$421,1+$AH267-380,AO$14)</f>
        <v>0.113357693317995</v>
      </c>
      <c r="AP267" s="236">
        <f ca="1">INDEX(Photobiology!$21:$421,1+$AH267-380,AP$14)</f>
        <v>0.470075914923928</v>
      </c>
      <c r="AQ267" s="236">
        <f ca="1">INDEX(Photobiology!$21:$421,1+$AH267-380,AQ$14)</f>
        <v>0.0049324194314067</v>
      </c>
      <c r="AR267" s="236">
        <f ca="1">INDEX(Photobiology!$21:$421,1+$AH267-380,AR$14)</f>
        <v>0.000578387635178154</v>
      </c>
      <c r="AS267" s="236">
        <f ca="1" t="shared" si="92"/>
        <v>4.20256169545945e+19</v>
      </c>
      <c r="AT267" s="236">
        <f ca="1">INDEX(Photobiology!$21:$421,1+$AH267-380,AT$14)</f>
        <v>5.82413379526487e-7</v>
      </c>
      <c r="AU267" s="236">
        <f ca="1">INDEX(Photobiology!$21:$421,1+$AH267-380,AU$14)</f>
        <v>0.0983335983904807</v>
      </c>
      <c r="AV267" s="236">
        <f ca="1">INDEX(Photobiology!$21:$421,1+$AH267-380,AV$14)</f>
        <v>0.427480910451499</v>
      </c>
      <c r="AW267" s="236">
        <f ca="1">INDEX(Photobiology!$21:$421,1+$AH267-380,AW$14)</f>
        <v>0.00401632990617121</v>
      </c>
      <c r="AX267" s="236">
        <f ca="1">INDEX(Photobiology!$21:$421,1+$AH267-380,AX$14)</f>
        <v>0.000451601762286192</v>
      </c>
      <c r="AY267" s="236">
        <f ca="1" t="shared" si="79"/>
        <v>13.3319879209511</v>
      </c>
      <c r="AZ267" s="236">
        <f ca="1" t="shared" si="93"/>
        <v>1.10470904912966e-5</v>
      </c>
      <c r="BA267" s="236">
        <f ca="1" t="shared" si="80"/>
        <v>1.51128339806239</v>
      </c>
      <c r="BB267" s="236">
        <f ca="1" t="shared" si="81"/>
        <v>6.26704641969586</v>
      </c>
      <c r="BC267" s="236">
        <f ca="1" t="shared" si="82"/>
        <v>0.0657589562805788</v>
      </c>
      <c r="BD267" s="236">
        <f ca="1" t="shared" si="83"/>
        <v>0.00771105696582264</v>
      </c>
    </row>
    <row r="268" s="234" customFormat="1" ht="0.2" customHeight="1" spans="7:56">
      <c r="G268" s="236"/>
      <c r="H268" s="236">
        <f t="shared" si="84"/>
        <v>627</v>
      </c>
      <c r="I268" s="236">
        <f>IF($H268&gt;$H267,INDEX(Spectra!268:268,1,MATCH($I$20,Spectra!$20:$20,0)),I267)</f>
        <v>20.2886151772201</v>
      </c>
      <c r="J268" s="236">
        <f>((Physics!$C$9*Physics!$C$10)/(Physics!$C$11*Physics!$C$12*$H268))^($J$17-$J$18)</f>
        <v>3.15727487735388e+18</v>
      </c>
      <c r="K268" s="236">
        <f t="shared" si="85"/>
        <v>1</v>
      </c>
      <c r="L268" s="236">
        <f ca="1">INDEX(Photobiology!$21:$421,1+$H268-380,10)</f>
        <v>0.2978504</v>
      </c>
      <c r="M268" s="236">
        <f ca="1" t="shared" si="86"/>
        <v>20.2886151772201</v>
      </c>
      <c r="N268" s="236">
        <f ca="1">INDEX(Photobiology!$21:$421,1+$H268-380,N$14)</f>
        <v>7.71144916500975e-7</v>
      </c>
      <c r="O268" s="236">
        <f ca="1">INDEX(Photobiology!$21:$421,1+$H268-380,O$14)</f>
        <v>0.106531244380489</v>
      </c>
      <c r="P268" s="236">
        <f ca="1">INDEX(Photobiology!$21:$421,1+$H268-380,P$14)</f>
        <v>0.455353836504658</v>
      </c>
      <c r="Q268" s="236">
        <f ca="1">INDEX(Photobiology!$21:$421,1+$H268-380,Q$14)</f>
        <v>0.00454539887370686</v>
      </c>
      <c r="R268" s="236">
        <f ca="1">INDEX(Photobiology!$21:$421,1+$H268-380,R$14)</f>
        <v>0.000533102844726998</v>
      </c>
      <c r="S268" s="236">
        <f ca="1" t="shared" si="87"/>
        <v>6.40567349953377e+19</v>
      </c>
      <c r="T268" s="236">
        <f ca="1">INDEX(Photobiology!$21:$421,1+$H268-380,T$14)</f>
        <v>5.41154327369105e-7</v>
      </c>
      <c r="U268" s="236">
        <f ca="1">INDEX(Photobiology!$21:$421,1+$H268-380,U$14)</f>
        <v>0.0922645194855747</v>
      </c>
      <c r="V268" s="236">
        <f ca="1">INDEX(Photobiology!$21:$421,1+$H268-380,V$14)</f>
        <v>0.413432409054164</v>
      </c>
      <c r="W268" s="236">
        <f ca="1">INDEX(Photobiology!$21:$421,1+$H268-380,W$14)</f>
        <v>0.00369528697686461</v>
      </c>
      <c r="X268" s="236">
        <f ca="1">INDEX(Photobiology!$21:$421,1+$H268-380,X$14)</f>
        <v>0.000415579791049436</v>
      </c>
      <c r="Y268" s="236">
        <f ca="1" t="shared" si="74"/>
        <v>20.2886151772201</v>
      </c>
      <c r="Z268" s="236">
        <f ca="1" t="shared" si="88"/>
        <v>1.56454624567578e-5</v>
      </c>
      <c r="AA268" s="236">
        <f ca="1" t="shared" si="75"/>
        <v>2.16137142158613</v>
      </c>
      <c r="AB268" s="236">
        <f ca="1" t="shared" si="76"/>
        <v>9.2384987583138</v>
      </c>
      <c r="AC268" s="236">
        <f ca="1" t="shared" si="77"/>
        <v>0.0922198485756082</v>
      </c>
      <c r="AD268" s="236">
        <f ca="1" t="shared" si="78"/>
        <v>0.0108159184665474</v>
      </c>
      <c r="AE268" s="236"/>
      <c r="AF268" s="236"/>
      <c r="AG268" s="236"/>
      <c r="AH268" s="236">
        <f t="shared" si="89"/>
        <v>627</v>
      </c>
      <c r="AI268" s="236">
        <f>IF($AH268&gt;$AH267,INDEX(Spectra!268:268,1,MATCH($AI$20,Spectra!$20:$20,0)),AI267)</f>
        <v>1</v>
      </c>
      <c r="AJ268" s="236">
        <f>((Physics!$C$9*Physics!$C$10)/(Physics!$C$11*Physics!$C$12*$AH268))^($AJ$17-$AJ$18)</f>
        <v>3.15727487735388e+18</v>
      </c>
      <c r="AK268" s="236">
        <f t="shared" si="90"/>
        <v>1</v>
      </c>
      <c r="AL268" s="236">
        <f ca="1">INDEX(Photobiology!$21:$421,1+$AH268-380,10)</f>
        <v>0.2978504</v>
      </c>
      <c r="AM268" s="236">
        <f ca="1" t="shared" si="91"/>
        <v>13.3319879209511</v>
      </c>
      <c r="AN268" s="236">
        <f ca="1">INDEX(Photobiology!$21:$421,1+$AH268-380,AN$14)</f>
        <v>7.71144916500975e-7</v>
      </c>
      <c r="AO268" s="236">
        <f ca="1">INDEX(Photobiology!$21:$421,1+$AH268-380,AO$14)</f>
        <v>0.106531244380489</v>
      </c>
      <c r="AP268" s="236">
        <f ca="1">INDEX(Photobiology!$21:$421,1+$AH268-380,AP$14)</f>
        <v>0.455353836504658</v>
      </c>
      <c r="AQ268" s="236">
        <f ca="1">INDEX(Photobiology!$21:$421,1+$AH268-380,AQ$14)</f>
        <v>0.00454539887370686</v>
      </c>
      <c r="AR268" s="236">
        <f ca="1">INDEX(Photobiology!$21:$421,1+$AH268-380,AR$14)</f>
        <v>0.000533102844726998</v>
      </c>
      <c r="AS268" s="236">
        <f ca="1" t="shared" si="92"/>
        <v>4.20927505280044e+19</v>
      </c>
      <c r="AT268" s="236">
        <f ca="1">INDEX(Photobiology!$21:$421,1+$AH268-380,AT$14)</f>
        <v>5.41154327369105e-7</v>
      </c>
      <c r="AU268" s="236">
        <f ca="1">INDEX(Photobiology!$21:$421,1+$AH268-380,AU$14)</f>
        <v>0.0922645194855747</v>
      </c>
      <c r="AV268" s="236">
        <f ca="1">INDEX(Photobiology!$21:$421,1+$AH268-380,AV$14)</f>
        <v>0.413432409054164</v>
      </c>
      <c r="AW268" s="236">
        <f ca="1">INDEX(Photobiology!$21:$421,1+$AH268-380,AW$14)</f>
        <v>0.00369528697686461</v>
      </c>
      <c r="AX268" s="236">
        <f ca="1">INDEX(Photobiology!$21:$421,1+$AH268-380,AX$14)</f>
        <v>0.000415579791049436</v>
      </c>
      <c r="AY268" s="236">
        <f ca="1" t="shared" si="79"/>
        <v>13.3319879209511</v>
      </c>
      <c r="AZ268" s="236">
        <f ca="1" t="shared" si="93"/>
        <v>1.02808947120939e-5</v>
      </c>
      <c r="BA268" s="236">
        <f ca="1" t="shared" si="80"/>
        <v>1.42027326328457</v>
      </c>
      <c r="BB268" s="236">
        <f ca="1" t="shared" si="81"/>
        <v>6.07077184803886</v>
      </c>
      <c r="BC268" s="236">
        <f ca="1" t="shared" si="82"/>
        <v>0.0605992028801648</v>
      </c>
      <c r="BD268" s="236">
        <f ca="1" t="shared" si="83"/>
        <v>0.00710732068652503</v>
      </c>
    </row>
    <row r="269" s="234" customFormat="1" ht="0.2" customHeight="1" spans="7:56">
      <c r="G269" s="236"/>
      <c r="H269" s="236">
        <f t="shared" si="84"/>
        <v>628</v>
      </c>
      <c r="I269" s="236">
        <f>IF($H269&gt;$H268,INDEX(Spectra!269:269,1,MATCH($I$20,Spectra!$20:$20,0)),I268)</f>
        <v>19.3789909388054</v>
      </c>
      <c r="J269" s="236">
        <f>((Physics!$C$9*Physics!$C$10)/(Physics!$C$11*Physics!$C$12*$H269))^($J$17-$J$18)</f>
        <v>3.16231040347406e+18</v>
      </c>
      <c r="K269" s="236">
        <f t="shared" si="85"/>
        <v>1</v>
      </c>
      <c r="L269" s="236">
        <f ca="1">INDEX(Photobiology!$21:$421,1+$H269-380,10)</f>
        <v>0.2865936</v>
      </c>
      <c r="M269" s="236">
        <f ca="1" t="shared" si="86"/>
        <v>19.3789909388054</v>
      </c>
      <c r="N269" s="236">
        <f ca="1">INDEX(Photobiology!$21:$421,1+$H269-380,N$14)</f>
        <v>7.17827347681206e-7</v>
      </c>
      <c r="O269" s="236">
        <f ca="1">INDEX(Photobiology!$21:$421,1+$H269-380,O$14)</f>
        <v>0.100036157121072</v>
      </c>
      <c r="P269" s="236">
        <f ca="1">INDEX(Photobiology!$21:$421,1+$H269-380,P$14)</f>
        <v>0.440754748605079</v>
      </c>
      <c r="Q269" s="236">
        <f ca="1">INDEX(Photobiology!$21:$421,1+$H269-380,Q$14)</f>
        <v>0.00418905439765235</v>
      </c>
      <c r="R269" s="236">
        <f ca="1">INDEX(Photobiology!$21:$421,1+$H269-380,R$14)</f>
        <v>0.000491465458648156</v>
      </c>
      <c r="S269" s="236">
        <f ca="1" t="shared" si="87"/>
        <v>6.12823846546139e+19</v>
      </c>
      <c r="T269" s="236">
        <f ca="1">INDEX(Photobiology!$21:$421,1+$H269-380,T$14)</f>
        <v>5.02936358247979e-7</v>
      </c>
      <c r="U269" s="236">
        <f ca="1">INDEX(Photobiology!$21:$421,1+$H269-380,U$14)</f>
        <v>0.0865012974076198</v>
      </c>
      <c r="V269" s="236">
        <f ca="1">INDEX(Photobiology!$21:$421,1+$H269-380,V$14)</f>
        <v>0.399540137885414</v>
      </c>
      <c r="W269" s="236">
        <f ca="1">INDEX(Photobiology!$21:$421,1+$H269-380,W$14)</f>
        <v>0.00340016559470466</v>
      </c>
      <c r="X269" s="236">
        <f ca="1">INDEX(Photobiology!$21:$421,1+$H269-380,X$14)</f>
        <v>0.000382511342311662</v>
      </c>
      <c r="Y269" s="236">
        <f ca="1" t="shared" si="74"/>
        <v>19.3789909388054</v>
      </c>
      <c r="Z269" s="236">
        <f ca="1" t="shared" si="88"/>
        <v>1.39107696663408e-5</v>
      </c>
      <c r="AA269" s="236">
        <f ca="1" t="shared" si="75"/>
        <v>1.93859978240217</v>
      </c>
      <c r="AB269" s="236">
        <f ca="1" t="shared" si="76"/>
        <v>8.54138227945328</v>
      </c>
      <c r="AC269" s="236">
        <f ca="1" t="shared" si="77"/>
        <v>0.0811796472142678</v>
      </c>
      <c r="AD269" s="236">
        <f ca="1" t="shared" si="78"/>
        <v>0.00952410466987846</v>
      </c>
      <c r="AE269" s="236"/>
      <c r="AF269" s="236"/>
      <c r="AG269" s="236"/>
      <c r="AH269" s="236">
        <f t="shared" si="89"/>
        <v>628</v>
      </c>
      <c r="AI269" s="236">
        <f>IF($AH269&gt;$AH268,INDEX(Spectra!269:269,1,MATCH($AI$20,Spectra!$20:$20,0)),AI268)</f>
        <v>1</v>
      </c>
      <c r="AJ269" s="236">
        <f>((Physics!$C$9*Physics!$C$10)/(Physics!$C$11*Physics!$C$12*$AH269))^($AJ$17-$AJ$18)</f>
        <v>3.16231040347406e+18</v>
      </c>
      <c r="AK269" s="236">
        <f t="shared" si="90"/>
        <v>1</v>
      </c>
      <c r="AL269" s="236">
        <f ca="1">INDEX(Photobiology!$21:$421,1+$AH269-380,10)</f>
        <v>0.2865936</v>
      </c>
      <c r="AM269" s="236">
        <f ca="1" t="shared" si="91"/>
        <v>13.3319879209511</v>
      </c>
      <c r="AN269" s="236">
        <f ca="1">INDEX(Photobiology!$21:$421,1+$AH269-380,AN$14)</f>
        <v>7.17827347681206e-7</v>
      </c>
      <c r="AO269" s="236">
        <f ca="1">INDEX(Photobiology!$21:$421,1+$AH269-380,AO$14)</f>
        <v>0.100036157121072</v>
      </c>
      <c r="AP269" s="236">
        <f ca="1">INDEX(Photobiology!$21:$421,1+$AH269-380,AP$14)</f>
        <v>0.440754748605079</v>
      </c>
      <c r="AQ269" s="236">
        <f ca="1">INDEX(Photobiology!$21:$421,1+$AH269-380,AQ$14)</f>
        <v>0.00418905439765235</v>
      </c>
      <c r="AR269" s="236">
        <f ca="1">INDEX(Photobiology!$21:$421,1+$AH269-380,AR$14)</f>
        <v>0.000491465458648156</v>
      </c>
      <c r="AS269" s="236">
        <f ca="1" t="shared" si="92"/>
        <v>4.21598841014143e+19</v>
      </c>
      <c r="AT269" s="236">
        <f ca="1">INDEX(Photobiology!$21:$421,1+$AH269-380,AT$14)</f>
        <v>5.02936358247979e-7</v>
      </c>
      <c r="AU269" s="236">
        <f ca="1">INDEX(Photobiology!$21:$421,1+$AH269-380,AU$14)</f>
        <v>0.0865012974076198</v>
      </c>
      <c r="AV269" s="236">
        <f ca="1">INDEX(Photobiology!$21:$421,1+$AH269-380,AV$14)</f>
        <v>0.399540137885414</v>
      </c>
      <c r="AW269" s="236">
        <f ca="1">INDEX(Photobiology!$21:$421,1+$AH269-380,AW$14)</f>
        <v>0.00340016559470466</v>
      </c>
      <c r="AX269" s="236">
        <f ca="1">INDEX(Photobiology!$21:$421,1+$AH269-380,AX$14)</f>
        <v>0.000382511342311662</v>
      </c>
      <c r="AY269" s="236">
        <f ca="1" t="shared" si="79"/>
        <v>13.3319879209511</v>
      </c>
      <c r="AZ269" s="236">
        <f ca="1" t="shared" si="93"/>
        <v>9.57006552861423e-6</v>
      </c>
      <c r="BA269" s="236">
        <f ca="1" t="shared" si="80"/>
        <v>1.3336808383965</v>
      </c>
      <c r="BB269" s="236">
        <f ca="1" t="shared" si="81"/>
        <v>5.87613698450477</v>
      </c>
      <c r="BC269" s="236">
        <f ca="1" t="shared" si="82"/>
        <v>0.0558484226297084</v>
      </c>
      <c r="BD269" s="236">
        <f ca="1" t="shared" si="83"/>
        <v>0.00655221155826193</v>
      </c>
    </row>
    <row r="270" s="234" customFormat="1" ht="0.2" customHeight="1" spans="7:56">
      <c r="G270" s="236"/>
      <c r="H270" s="236">
        <f t="shared" si="84"/>
        <v>629</v>
      </c>
      <c r="I270" s="236">
        <f>IF($H270&gt;$H269,INDEX(Spectra!270:270,1,MATCH($I$20,Spectra!$20:$20,0)),I269)</f>
        <v>18.4551831521659</v>
      </c>
      <c r="J270" s="236">
        <f>((Physics!$C$9*Physics!$C$10)/(Physics!$C$11*Physics!$C$12*$H270))^($J$17-$J$18)</f>
        <v>3.16734592959424e+18</v>
      </c>
      <c r="K270" s="236">
        <f t="shared" si="85"/>
        <v>1</v>
      </c>
      <c r="L270" s="236">
        <f ca="1">INDEX(Photobiology!$21:$421,1+$H270-380,10)</f>
        <v>0.2756245</v>
      </c>
      <c r="M270" s="236">
        <f ca="1" t="shared" si="86"/>
        <v>18.4551831521659</v>
      </c>
      <c r="N270" s="236">
        <f ca="1">INDEX(Photobiology!$21:$421,1+$H270-380,N$14)</f>
        <v>6.68353151144846e-7</v>
      </c>
      <c r="O270" s="236">
        <f ca="1">INDEX(Photobiology!$21:$421,1+$H270-380,O$14)</f>
        <v>0.0938642036672135</v>
      </c>
      <c r="P270" s="236">
        <f ca="1">INDEX(Photobiology!$21:$421,1+$H270-380,P$14)</f>
        <v>0.426291820818492</v>
      </c>
      <c r="Q270" s="236">
        <f ca="1">INDEX(Photobiology!$21:$421,1+$H270-380,Q$14)</f>
        <v>0.0038609662026417</v>
      </c>
      <c r="R270" s="236">
        <f ca="1">INDEX(Photobiology!$21:$421,1+$H270-380,R$14)</f>
        <v>0.000453175059038708</v>
      </c>
      <c r="S270" s="236">
        <f ca="1" t="shared" si="87"/>
        <v>5.84539492369289e+19</v>
      </c>
      <c r="T270" s="236">
        <f ca="1">INDEX(Photobiology!$21:$421,1+$H270-380,T$14)</f>
        <v>4.67528436412929e-7</v>
      </c>
      <c r="U270" s="236">
        <f ca="1">INDEX(Photobiology!$21:$421,1+$H270-380,U$14)</f>
        <v>0.0810353700470191</v>
      </c>
      <c r="V270" s="236">
        <f ca="1">INDEX(Photobiology!$21:$421,1+$H270-380,V$14)</f>
        <v>0.385815270945071</v>
      </c>
      <c r="W270" s="236">
        <f ca="1">INDEX(Photobiology!$21:$421,1+$H270-380,W$14)</f>
        <v>0.00312888114984612</v>
      </c>
      <c r="X270" s="236">
        <f ca="1">INDEX(Photobiology!$21:$421,1+$H270-380,X$14)</f>
        <v>0.000352148883487223</v>
      </c>
      <c r="Y270" s="236">
        <f ca="1" t="shared" si="74"/>
        <v>18.4551831521659</v>
      </c>
      <c r="Z270" s="236">
        <f ca="1" t="shared" si="88"/>
        <v>1.23345798147054e-5</v>
      </c>
      <c r="AA270" s="236">
        <f ca="1" t="shared" si="75"/>
        <v>1.73228107011063</v>
      </c>
      <c r="AB270" s="236">
        <f ca="1" t="shared" si="76"/>
        <v>7.86729362947556</v>
      </c>
      <c r="AC270" s="236">
        <f ca="1" t="shared" si="77"/>
        <v>0.0712548384140751</v>
      </c>
      <c r="AD270" s="236">
        <f ca="1" t="shared" si="78"/>
        <v>0.00836342871455295</v>
      </c>
      <c r="AE270" s="236"/>
      <c r="AF270" s="236"/>
      <c r="AG270" s="236"/>
      <c r="AH270" s="236">
        <f t="shared" si="89"/>
        <v>629</v>
      </c>
      <c r="AI270" s="236">
        <f>IF($AH270&gt;$AH269,INDEX(Spectra!270:270,1,MATCH($AI$20,Spectra!$20:$20,0)),AI269)</f>
        <v>1</v>
      </c>
      <c r="AJ270" s="236">
        <f>((Physics!$C$9*Physics!$C$10)/(Physics!$C$11*Physics!$C$12*$AH270))^($AJ$17-$AJ$18)</f>
        <v>3.16734592959424e+18</v>
      </c>
      <c r="AK270" s="236">
        <f t="shared" si="90"/>
        <v>1</v>
      </c>
      <c r="AL270" s="236">
        <f ca="1">INDEX(Photobiology!$21:$421,1+$AH270-380,10)</f>
        <v>0.2756245</v>
      </c>
      <c r="AM270" s="236">
        <f ca="1" t="shared" si="91"/>
        <v>13.3319879209511</v>
      </c>
      <c r="AN270" s="236">
        <f ca="1">INDEX(Photobiology!$21:$421,1+$AH270-380,AN$14)</f>
        <v>6.68353151144846e-7</v>
      </c>
      <c r="AO270" s="236">
        <f ca="1">INDEX(Photobiology!$21:$421,1+$AH270-380,AO$14)</f>
        <v>0.0938642036672135</v>
      </c>
      <c r="AP270" s="236">
        <f ca="1">INDEX(Photobiology!$21:$421,1+$AH270-380,AP$14)</f>
        <v>0.426291820818492</v>
      </c>
      <c r="AQ270" s="236">
        <f ca="1">INDEX(Photobiology!$21:$421,1+$AH270-380,AQ$14)</f>
        <v>0.0038609662026417</v>
      </c>
      <c r="AR270" s="236">
        <f ca="1">INDEX(Photobiology!$21:$421,1+$AH270-380,AR$14)</f>
        <v>0.000453175059038708</v>
      </c>
      <c r="AS270" s="236">
        <f ca="1" t="shared" si="92"/>
        <v>4.22270176748242e+19</v>
      </c>
      <c r="AT270" s="236">
        <f ca="1">INDEX(Photobiology!$21:$421,1+$AH270-380,AT$14)</f>
        <v>4.67528436412929e-7</v>
      </c>
      <c r="AU270" s="236">
        <f ca="1">INDEX(Photobiology!$21:$421,1+$AH270-380,AU$14)</f>
        <v>0.0810353700470191</v>
      </c>
      <c r="AV270" s="236">
        <f ca="1">INDEX(Photobiology!$21:$421,1+$AH270-380,AV$14)</f>
        <v>0.385815270945071</v>
      </c>
      <c r="AW270" s="236">
        <f ca="1">INDEX(Photobiology!$21:$421,1+$AH270-380,AW$14)</f>
        <v>0.00312888114984612</v>
      </c>
      <c r="AX270" s="236">
        <f ca="1">INDEX(Photobiology!$21:$421,1+$AH270-380,AX$14)</f>
        <v>0.000352148883487223</v>
      </c>
      <c r="AY270" s="236">
        <f ca="1" t="shared" si="79"/>
        <v>13.3319879209511</v>
      </c>
      <c r="AZ270" s="236">
        <f ca="1" t="shared" si="93"/>
        <v>8.91047613799272e-6</v>
      </c>
      <c r="BA270" s="236">
        <f ca="1" t="shared" si="80"/>
        <v>1.25139642950099</v>
      </c>
      <c r="BB270" s="236">
        <f ca="1" t="shared" si="81"/>
        <v>5.6833174059524</v>
      </c>
      <c r="BC270" s="236">
        <f ca="1" t="shared" si="82"/>
        <v>0.0514743547768197</v>
      </c>
      <c r="BD270" s="236">
        <f ca="1" t="shared" si="83"/>
        <v>0.00604172441318038</v>
      </c>
    </row>
    <row r="271" s="234" customFormat="1" ht="0.2" customHeight="1" spans="7:56">
      <c r="G271" s="236"/>
      <c r="H271" s="236">
        <f t="shared" si="84"/>
        <v>630</v>
      </c>
      <c r="I271" s="236">
        <f>IF($H271&gt;$H270,INDEX(Spectra!271:271,1,MATCH($I$20,Spectra!$20:$20,0)),I270)</f>
        <v>17.620951393974</v>
      </c>
      <c r="J271" s="236">
        <f>((Physics!$C$9*Physics!$C$10)/(Physics!$C$11*Physics!$C$12*$H271))^($J$17-$J$18)</f>
        <v>3.17238145571442e+18</v>
      </c>
      <c r="K271" s="236">
        <f t="shared" si="85"/>
        <v>1</v>
      </c>
      <c r="L271" s="236">
        <f ca="1">INDEX(Photobiology!$21:$421,1+$H271-380,10)</f>
        <v>0.265</v>
      </c>
      <c r="M271" s="236">
        <f ca="1" t="shared" si="86"/>
        <v>17.620951393974</v>
      </c>
      <c r="N271" s="236">
        <f ca="1">INDEX(Photobiology!$21:$421,1+$H271-380,N$14)</f>
        <v>6.22433559078794e-7</v>
      </c>
      <c r="O271" s="236">
        <f ca="1">INDEX(Photobiology!$21:$421,1+$H271-380,O$14)</f>
        <v>0.088006550754818</v>
      </c>
      <c r="P271" s="236">
        <f ca="1">INDEX(Photobiology!$21:$421,1+$H271-380,P$14)</f>
        <v>0.411980822202106</v>
      </c>
      <c r="Q271" s="236">
        <f ca="1">INDEX(Photobiology!$21:$421,1+$H271-380,Q$14)</f>
        <v>0.00355890176085901</v>
      </c>
      <c r="R271" s="236">
        <f ca="1">INDEX(Photobiology!$21:$421,1+$H271-380,R$14)</f>
        <v>0.000417955457064297</v>
      </c>
      <c r="S271" s="236">
        <f ca="1" t="shared" si="87"/>
        <v>5.59003794342883e+19</v>
      </c>
      <c r="T271" s="236">
        <f ca="1">INDEX(Photobiology!$21:$421,1+$H271-380,T$14)</f>
        <v>4.3471550157884e-7</v>
      </c>
      <c r="U271" s="236">
        <f ca="1">INDEX(Photobiology!$21:$421,1+$H271-380,U$14)</f>
        <v>0.075857707836343</v>
      </c>
      <c r="V271" s="236">
        <f ca="1">INDEX(Photobiology!$21:$421,1+$H271-380,V$14)</f>
        <v>0.372271260196516</v>
      </c>
      <c r="W271" s="236">
        <f ca="1">INDEX(Photobiology!$21:$421,1+$H271-380,W$14)</f>
        <v>0.00287951379080812</v>
      </c>
      <c r="X271" s="236">
        <f ca="1">INDEX(Photobiology!$21:$421,1+$H271-380,X$14)</f>
        <v>0.000324265251430528</v>
      </c>
      <c r="Y271" s="236">
        <f ca="1" t="shared" si="74"/>
        <v>17.620951393974</v>
      </c>
      <c r="Z271" s="236">
        <f ca="1" t="shared" si="88"/>
        <v>1.09678714905057e-5</v>
      </c>
      <c r="AA271" s="236">
        <f ca="1" t="shared" si="75"/>
        <v>1.55075915320195</v>
      </c>
      <c r="AB271" s="236">
        <f ca="1" t="shared" si="76"/>
        <v>7.25949404327275</v>
      </c>
      <c r="AC271" s="236">
        <f ca="1" t="shared" si="77"/>
        <v>0.0627112349440251</v>
      </c>
      <c r="AD271" s="236">
        <f ca="1" t="shared" si="78"/>
        <v>0.00736477279377616</v>
      </c>
      <c r="AE271" s="236"/>
      <c r="AF271" s="236"/>
      <c r="AG271" s="236"/>
      <c r="AH271" s="236">
        <f t="shared" si="89"/>
        <v>630</v>
      </c>
      <c r="AI271" s="236">
        <f>IF($AH271&gt;$AH270,INDEX(Spectra!271:271,1,MATCH($AI$20,Spectra!$20:$20,0)),AI270)</f>
        <v>1</v>
      </c>
      <c r="AJ271" s="236">
        <f>((Physics!$C$9*Physics!$C$10)/(Physics!$C$11*Physics!$C$12*$AH271))^($AJ$17-$AJ$18)</f>
        <v>3.17238145571442e+18</v>
      </c>
      <c r="AK271" s="236">
        <f t="shared" si="90"/>
        <v>1</v>
      </c>
      <c r="AL271" s="236">
        <f ca="1">INDEX(Photobiology!$21:$421,1+$AH271-380,10)</f>
        <v>0.265</v>
      </c>
      <c r="AM271" s="236">
        <f ca="1" t="shared" si="91"/>
        <v>13.3319879209511</v>
      </c>
      <c r="AN271" s="236">
        <f ca="1">INDEX(Photobiology!$21:$421,1+$AH271-380,AN$14)</f>
        <v>6.22433559078794e-7</v>
      </c>
      <c r="AO271" s="236">
        <f ca="1">INDEX(Photobiology!$21:$421,1+$AH271-380,AO$14)</f>
        <v>0.088006550754818</v>
      </c>
      <c r="AP271" s="236">
        <f ca="1">INDEX(Photobiology!$21:$421,1+$AH271-380,AP$14)</f>
        <v>0.411980822202106</v>
      </c>
      <c r="AQ271" s="236">
        <f ca="1">INDEX(Photobiology!$21:$421,1+$AH271-380,AQ$14)</f>
        <v>0.00355890176085901</v>
      </c>
      <c r="AR271" s="236">
        <f ca="1">INDEX(Photobiology!$21:$421,1+$AH271-380,AR$14)</f>
        <v>0.000417955457064297</v>
      </c>
      <c r="AS271" s="236">
        <f ca="1" t="shared" si="92"/>
        <v>4.22941512482341e+19</v>
      </c>
      <c r="AT271" s="236">
        <f ca="1">INDEX(Photobiology!$21:$421,1+$AH271-380,AT$14)</f>
        <v>4.3471550157884e-7</v>
      </c>
      <c r="AU271" s="236">
        <f ca="1">INDEX(Photobiology!$21:$421,1+$AH271-380,AU$14)</f>
        <v>0.075857707836343</v>
      </c>
      <c r="AV271" s="236">
        <f ca="1">INDEX(Photobiology!$21:$421,1+$AH271-380,AV$14)</f>
        <v>0.372271260196516</v>
      </c>
      <c r="AW271" s="236">
        <f ca="1">INDEX(Photobiology!$21:$421,1+$AH271-380,AW$14)</f>
        <v>0.00287951379080812</v>
      </c>
      <c r="AX271" s="236">
        <f ca="1">INDEX(Photobiology!$21:$421,1+$AH271-380,AX$14)</f>
        <v>0.000324265251430528</v>
      </c>
      <c r="AY271" s="236">
        <f ca="1" t="shared" si="79"/>
        <v>13.3319879209511</v>
      </c>
      <c r="AZ271" s="236">
        <f ca="1" t="shared" si="93"/>
        <v>8.29827669123311e-6</v>
      </c>
      <c r="BA271" s="236">
        <f ca="1" t="shared" si="80"/>
        <v>1.17330227162781</v>
      </c>
      <c r="BB271" s="236">
        <f ca="1" t="shared" si="81"/>
        <v>5.492523345262</v>
      </c>
      <c r="BC271" s="236">
        <f ca="1" t="shared" si="82"/>
        <v>0.0474472352876241</v>
      </c>
      <c r="BD271" s="236">
        <f ca="1" t="shared" si="83"/>
        <v>0.00557217710507682</v>
      </c>
    </row>
    <row r="272" s="234" customFormat="1" ht="0.2" customHeight="1" spans="7:56">
      <c r="G272" s="236"/>
      <c r="H272" s="236">
        <f t="shared" si="84"/>
        <v>631</v>
      </c>
      <c r="I272" s="236">
        <f>IF($H272&gt;$H271,INDEX(Spectra!272:272,1,MATCH($I$20,Spectra!$20:$20,0)),I271)</f>
        <v>16.7234212372488</v>
      </c>
      <c r="J272" s="236">
        <f>((Physics!$C$9*Physics!$C$10)/(Physics!$C$11*Physics!$C$12*$H272))^($J$17-$J$18)</f>
        <v>3.1774169818346e+18</v>
      </c>
      <c r="K272" s="236">
        <f t="shared" si="85"/>
        <v>1</v>
      </c>
      <c r="L272" s="236">
        <f ca="1">INDEX(Photobiology!$21:$421,1+$H272-380,10)</f>
        <v>0.2547632</v>
      </c>
      <c r="M272" s="236">
        <f ca="1" t="shared" si="86"/>
        <v>16.7234212372488</v>
      </c>
      <c r="N272" s="236">
        <f ca="1">INDEX(Photobiology!$21:$421,1+$H272-380,N$14)</f>
        <v>5.79801053321261e-7</v>
      </c>
      <c r="O272" s="236">
        <f ca="1">INDEX(Photobiology!$21:$421,1+$H272-380,O$14)</f>
        <v>0.0824542413202484</v>
      </c>
      <c r="P272" s="236">
        <f ca="1">INDEX(Photobiology!$21:$421,1+$H272-380,P$14)</f>
        <v>0.397835010960701</v>
      </c>
      <c r="Q272" s="236">
        <f ca="1">INDEX(Photobiology!$21:$421,1+$H272-380,Q$14)</f>
        <v>0.00328080184114399</v>
      </c>
      <c r="R272" s="236">
        <f ca="1">INDEX(Photobiology!$21:$421,1+$H272-380,R$14)</f>
        <v>0.000385555586315567</v>
      </c>
      <c r="S272" s="236">
        <f ca="1" t="shared" si="87"/>
        <v>5.31372826336077e+19</v>
      </c>
      <c r="T272" s="236">
        <f ca="1">INDEX(Photobiology!$21:$421,1+$H272-380,T$14)</f>
        <v>4.04298674265222e-7</v>
      </c>
      <c r="U272" s="236">
        <f ca="1">INDEX(Photobiology!$21:$421,1+$H272-380,U$14)</f>
        <v>0.07095923190734</v>
      </c>
      <c r="V272" s="236">
        <f ca="1">INDEX(Photobiology!$21:$421,1+$H272-380,V$14)</f>
        <v>0.35891920708572</v>
      </c>
      <c r="W272" s="236">
        <f ca="1">INDEX(Photobiology!$21:$421,1+$H272-380,W$14)</f>
        <v>0.00265029582874954</v>
      </c>
      <c r="X272" s="236">
        <f ca="1">INDEX(Photobiology!$21:$421,1+$H272-380,X$14)</f>
        <v>0.000298654183030461</v>
      </c>
      <c r="Y272" s="236">
        <f ca="1" t="shared" si="74"/>
        <v>16.7234212372488</v>
      </c>
      <c r="Z272" s="236">
        <f ca="1" t="shared" si="88"/>
        <v>9.696257248492e-6</v>
      </c>
      <c r="AA272" s="236">
        <f ca="1" t="shared" si="75"/>
        <v>1.37891701039628</v>
      </c>
      <c r="AB272" s="236">
        <f ca="1" t="shared" si="76"/>
        <v>6.6531624712213</v>
      </c>
      <c r="AC272" s="236">
        <f ca="1" t="shared" si="77"/>
        <v>0.0548662311853924</v>
      </c>
      <c r="AD272" s="236">
        <f ca="1" t="shared" si="78"/>
        <v>0.00644780848032967</v>
      </c>
      <c r="AE272" s="236"/>
      <c r="AF272" s="236"/>
      <c r="AG272" s="236"/>
      <c r="AH272" s="236">
        <f t="shared" si="89"/>
        <v>631</v>
      </c>
      <c r="AI272" s="236">
        <f>IF($AH272&gt;$AH271,INDEX(Spectra!272:272,1,MATCH($AI$20,Spectra!$20:$20,0)),AI271)</f>
        <v>1</v>
      </c>
      <c r="AJ272" s="236">
        <f>((Physics!$C$9*Physics!$C$10)/(Physics!$C$11*Physics!$C$12*$AH272))^($AJ$17-$AJ$18)</f>
        <v>3.1774169818346e+18</v>
      </c>
      <c r="AK272" s="236">
        <f t="shared" si="90"/>
        <v>1</v>
      </c>
      <c r="AL272" s="236">
        <f ca="1">INDEX(Photobiology!$21:$421,1+$AH272-380,10)</f>
        <v>0.2547632</v>
      </c>
      <c r="AM272" s="236">
        <f ca="1" t="shared" si="91"/>
        <v>13.3319879209511</v>
      </c>
      <c r="AN272" s="236">
        <f ca="1">INDEX(Photobiology!$21:$421,1+$AH272-380,AN$14)</f>
        <v>5.79801053321261e-7</v>
      </c>
      <c r="AO272" s="236">
        <f ca="1">INDEX(Photobiology!$21:$421,1+$AH272-380,AO$14)</f>
        <v>0.0824542413202484</v>
      </c>
      <c r="AP272" s="236">
        <f ca="1">INDEX(Photobiology!$21:$421,1+$AH272-380,AP$14)</f>
        <v>0.397835010960701</v>
      </c>
      <c r="AQ272" s="236">
        <f ca="1">INDEX(Photobiology!$21:$421,1+$AH272-380,AQ$14)</f>
        <v>0.00328080184114399</v>
      </c>
      <c r="AR272" s="236">
        <f ca="1">INDEX(Photobiology!$21:$421,1+$AH272-380,AR$14)</f>
        <v>0.000385555586315567</v>
      </c>
      <c r="AS272" s="236">
        <f ca="1" t="shared" si="92"/>
        <v>4.2361284821644e+19</v>
      </c>
      <c r="AT272" s="236">
        <f ca="1">INDEX(Photobiology!$21:$421,1+$AH272-380,AT$14)</f>
        <v>4.04298674265222e-7</v>
      </c>
      <c r="AU272" s="236">
        <f ca="1">INDEX(Photobiology!$21:$421,1+$AH272-380,AU$14)</f>
        <v>0.07095923190734</v>
      </c>
      <c r="AV272" s="236">
        <f ca="1">INDEX(Photobiology!$21:$421,1+$AH272-380,AV$14)</f>
        <v>0.35891920708572</v>
      </c>
      <c r="AW272" s="236">
        <f ca="1">INDEX(Photobiology!$21:$421,1+$AH272-380,AW$14)</f>
        <v>0.00265029582874954</v>
      </c>
      <c r="AX272" s="236">
        <f ca="1">INDEX(Photobiology!$21:$421,1+$AH272-380,AX$14)</f>
        <v>0.000298654183030461</v>
      </c>
      <c r="AY272" s="236">
        <f ca="1" t="shared" si="79"/>
        <v>13.3319879209511</v>
      </c>
      <c r="AZ272" s="236">
        <f ca="1" t="shared" si="93"/>
        <v>7.7299006394338e-6</v>
      </c>
      <c r="BA272" s="236">
        <f ca="1" t="shared" si="80"/>
        <v>1.09927894931274</v>
      </c>
      <c r="BB272" s="236">
        <f ca="1" t="shared" si="81"/>
        <v>5.30393156065953</v>
      </c>
      <c r="BC272" s="236">
        <f ca="1" t="shared" si="82"/>
        <v>0.0437396105171659</v>
      </c>
      <c r="BD272" s="236">
        <f ca="1" t="shared" si="83"/>
        <v>0.00514022241961437</v>
      </c>
    </row>
    <row r="273" s="234" customFormat="1" ht="0.2" customHeight="1" spans="7:56">
      <c r="G273" s="236"/>
      <c r="H273" s="236">
        <f t="shared" si="84"/>
        <v>632</v>
      </c>
      <c r="I273" s="236">
        <f>IF($H273&gt;$H272,INDEX(Spectra!273:273,1,MATCH($I$20,Spectra!$20:$20,0)),I272)</f>
        <v>15.9501657702916</v>
      </c>
      <c r="J273" s="236">
        <f>((Physics!$C$9*Physics!$C$10)/(Physics!$C$11*Physics!$C$12*$H273))^($J$17-$J$18)</f>
        <v>3.18245250795479e+18</v>
      </c>
      <c r="K273" s="236">
        <f t="shared" si="85"/>
        <v>1</v>
      </c>
      <c r="L273" s="236">
        <f ca="1">INDEX(Photobiology!$21:$421,1+$H273-380,10)</f>
        <v>0.2448896</v>
      </c>
      <c r="M273" s="236">
        <f ca="1" t="shared" si="86"/>
        <v>15.9501657702916</v>
      </c>
      <c r="N273" s="236">
        <f ca="1">INDEX(Photobiology!$21:$421,1+$H273-380,N$14)</f>
        <v>5.40214205212421e-7</v>
      </c>
      <c r="O273" s="236">
        <f ca="1">INDEX(Photobiology!$21:$421,1+$H273-380,O$14)</f>
        <v>0.0771974580203314</v>
      </c>
      <c r="P273" s="236">
        <f ca="1">INDEX(Photobiology!$21:$421,1+$H273-380,P$14)</f>
        <v>0.383867195684638</v>
      </c>
      <c r="Q273" s="236">
        <f ca="1">INDEX(Photobiology!$21:$421,1+$H273-380,Q$14)</f>
        <v>0.00302476751360136</v>
      </c>
      <c r="R273" s="236">
        <f ca="1">INDEX(Photobiology!$21:$421,1+$H273-380,R$14)</f>
        <v>0.000355742702514796</v>
      </c>
      <c r="S273" s="236">
        <f ca="1" t="shared" si="87"/>
        <v>5.07606450579591e+19</v>
      </c>
      <c r="T273" s="236">
        <f ca="1">INDEX(Photobiology!$21:$421,1+$H273-380,T$14)</f>
        <v>3.76098497299787e-7</v>
      </c>
      <c r="U273" s="236">
        <f ca="1">INDEX(Photobiology!$21:$421,1+$H273-380,U$14)</f>
        <v>0.0663301816770836</v>
      </c>
      <c r="V273" s="236">
        <f ca="1">INDEX(Photobiology!$21:$421,1+$H273-380,V$14)</f>
        <v>0.345769737804553</v>
      </c>
      <c r="W273" s="236">
        <f ca="1">INDEX(Photobiology!$21:$421,1+$H273-380,W$14)</f>
        <v>0.00243960005233085</v>
      </c>
      <c r="X273" s="236">
        <f ca="1">INDEX(Photobiology!$21:$421,1+$H273-380,X$14)</f>
        <v>0.000275124890639672</v>
      </c>
      <c r="Y273" s="236">
        <f ca="1" t="shared" si="74"/>
        <v>15.9501657702916</v>
      </c>
      <c r="Z273" s="236">
        <f ca="1" t="shared" si="88"/>
        <v>8.61650612460444e-6</v>
      </c>
      <c r="AA273" s="236">
        <f ca="1" t="shared" si="75"/>
        <v>1.23131225246941</v>
      </c>
      <c r="AB273" s="236">
        <f ca="1" t="shared" si="76"/>
        <v>6.12274540494694</v>
      </c>
      <c r="AC273" s="236">
        <f ca="1" t="shared" si="77"/>
        <v>0.0482455432585344</v>
      </c>
      <c r="AD273" s="236">
        <f ca="1" t="shared" si="78"/>
        <v>0.00567415507668253</v>
      </c>
      <c r="AE273" s="236"/>
      <c r="AF273" s="236"/>
      <c r="AG273" s="236"/>
      <c r="AH273" s="236">
        <f t="shared" si="89"/>
        <v>632</v>
      </c>
      <c r="AI273" s="236">
        <f>IF($AH273&gt;$AH272,INDEX(Spectra!273:273,1,MATCH($AI$20,Spectra!$20:$20,0)),AI272)</f>
        <v>1</v>
      </c>
      <c r="AJ273" s="236">
        <f>((Physics!$C$9*Physics!$C$10)/(Physics!$C$11*Physics!$C$12*$AH273))^($AJ$17-$AJ$18)</f>
        <v>3.18245250795479e+18</v>
      </c>
      <c r="AK273" s="236">
        <f t="shared" si="90"/>
        <v>1</v>
      </c>
      <c r="AL273" s="236">
        <f ca="1">INDEX(Photobiology!$21:$421,1+$AH273-380,10)</f>
        <v>0.2448896</v>
      </c>
      <c r="AM273" s="236">
        <f ca="1" t="shared" si="91"/>
        <v>13.3319879209511</v>
      </c>
      <c r="AN273" s="236">
        <f ca="1">INDEX(Photobiology!$21:$421,1+$AH273-380,AN$14)</f>
        <v>5.40214205212421e-7</v>
      </c>
      <c r="AO273" s="236">
        <f ca="1">INDEX(Photobiology!$21:$421,1+$AH273-380,AO$14)</f>
        <v>0.0771974580203314</v>
      </c>
      <c r="AP273" s="236">
        <f ca="1">INDEX(Photobiology!$21:$421,1+$AH273-380,AP$14)</f>
        <v>0.383867195684638</v>
      </c>
      <c r="AQ273" s="236">
        <f ca="1">INDEX(Photobiology!$21:$421,1+$AH273-380,AQ$14)</f>
        <v>0.00302476751360136</v>
      </c>
      <c r="AR273" s="236">
        <f ca="1">INDEX(Photobiology!$21:$421,1+$AH273-380,AR$14)</f>
        <v>0.000355742702514796</v>
      </c>
      <c r="AS273" s="236">
        <f ca="1" t="shared" si="92"/>
        <v>4.24284183950539e+19</v>
      </c>
      <c r="AT273" s="236">
        <f ca="1">INDEX(Photobiology!$21:$421,1+$AH273-380,AT$14)</f>
        <v>3.76098497299787e-7</v>
      </c>
      <c r="AU273" s="236">
        <f ca="1">INDEX(Photobiology!$21:$421,1+$AH273-380,AU$14)</f>
        <v>0.0663301816770836</v>
      </c>
      <c r="AV273" s="236">
        <f ca="1">INDEX(Photobiology!$21:$421,1+$AH273-380,AV$14)</f>
        <v>0.345769737804553</v>
      </c>
      <c r="AW273" s="236">
        <f ca="1">INDEX(Photobiology!$21:$421,1+$AH273-380,AW$14)</f>
        <v>0.00243960005233085</v>
      </c>
      <c r="AX273" s="236">
        <f ca="1">INDEX(Photobiology!$21:$421,1+$AH273-380,AX$14)</f>
        <v>0.000275124890639672</v>
      </c>
      <c r="AY273" s="236">
        <f ca="1" t="shared" si="79"/>
        <v>13.3319879209511</v>
      </c>
      <c r="AZ273" s="236">
        <f ca="1" t="shared" si="93"/>
        <v>7.20212925861822e-6</v>
      </c>
      <c r="BA273" s="236">
        <f ca="1" t="shared" si="80"/>
        <v>1.02919557785519</v>
      </c>
      <c r="BB273" s="236">
        <f ca="1" t="shared" si="81"/>
        <v>5.11771281611698</v>
      </c>
      <c r="BC273" s="236">
        <f ca="1" t="shared" si="82"/>
        <v>0.0403261639550187</v>
      </c>
      <c r="BD273" s="236">
        <f ca="1" t="shared" si="83"/>
        <v>0.00474275741289377</v>
      </c>
    </row>
    <row r="274" s="234" customFormat="1" ht="0.2" customHeight="1" spans="7:56">
      <c r="G274" s="236"/>
      <c r="H274" s="236">
        <f t="shared" si="84"/>
        <v>633</v>
      </c>
      <c r="I274" s="236">
        <f>IF($H274&gt;$H273,INDEX(Spectra!274:274,1,MATCH($I$20,Spectra!$20:$20,0)),I273)</f>
        <v>15.2884473089901</v>
      </c>
      <c r="J274" s="236">
        <f>((Physics!$C$9*Physics!$C$10)/(Physics!$C$11*Physics!$C$12*$H274))^($J$17-$J$18)</f>
        <v>3.18748803407497e+18</v>
      </c>
      <c r="K274" s="236">
        <f t="shared" si="85"/>
        <v>1</v>
      </c>
      <c r="L274" s="236">
        <f ca="1">INDEX(Photobiology!$21:$421,1+$H274-380,10)</f>
        <v>0.2353344</v>
      </c>
      <c r="M274" s="236">
        <f ca="1" t="shared" si="86"/>
        <v>15.2884473089901</v>
      </c>
      <c r="N274" s="236">
        <f ca="1">INDEX(Photobiology!$21:$421,1+$H274-380,N$14)</f>
        <v>5.0344380369572e-7</v>
      </c>
      <c r="O274" s="236">
        <f ca="1">INDEX(Photobiology!$21:$421,1+$H274-380,O$14)</f>
        <v>0.0722265715060134</v>
      </c>
      <c r="P274" s="236">
        <f ca="1">INDEX(Photobiology!$21:$421,1+$H274-380,P$14)</f>
        <v>0.37009055354946</v>
      </c>
      <c r="Q274" s="236">
        <f ca="1">INDEX(Photobiology!$21:$421,1+$H274-380,Q$14)</f>
        <v>0.00278903522911124</v>
      </c>
      <c r="R274" s="236">
        <f ca="1">INDEX(Photobiology!$21:$421,1+$H274-380,R$14)</f>
        <v>0.000328306892169947</v>
      </c>
      <c r="S274" s="236">
        <f ca="1" t="shared" si="87"/>
        <v>4.87317428569916e+19</v>
      </c>
      <c r="T274" s="236">
        <f ca="1">INDEX(Photobiology!$21:$421,1+$H274-380,T$14)</f>
        <v>3.49945140009663e-7</v>
      </c>
      <c r="U274" s="236">
        <f ca="1">INDEX(Photobiology!$21:$421,1+$H274-380,U$14)</f>
        <v>0.0619610195154393</v>
      </c>
      <c r="V274" s="236">
        <f ca="1">INDEX(Photobiology!$21:$421,1+$H274-380,V$14)</f>
        <v>0.332833742876674</v>
      </c>
      <c r="W274" s="236">
        <f ca="1">INDEX(Photobiology!$21:$421,1+$H274-380,W$14)</f>
        <v>0.00224591855044468</v>
      </c>
      <c r="X274" s="236">
        <f ca="1">INDEX(Photobiology!$21:$421,1+$H274-380,X$14)</f>
        <v>0.000253505421237436</v>
      </c>
      <c r="Y274" s="236">
        <f ca="1" t="shared" si="74"/>
        <v>15.2884473089901</v>
      </c>
      <c r="Z274" s="236">
        <f ca="1" t="shared" si="88"/>
        <v>7.69687406583957e-6</v>
      </c>
      <c r="AA274" s="236">
        <f ca="1" t="shared" si="75"/>
        <v>1.10423213277869</v>
      </c>
      <c r="AB274" s="236">
        <f ca="1" t="shared" si="76"/>
        <v>5.6581099274959</v>
      </c>
      <c r="AC274" s="236">
        <f ca="1" t="shared" si="77"/>
        <v>0.0426400181431843</v>
      </c>
      <c r="AD274" s="236">
        <f ca="1" t="shared" si="78"/>
        <v>0.00501930262211853</v>
      </c>
      <c r="AE274" s="236"/>
      <c r="AF274" s="236"/>
      <c r="AG274" s="236"/>
      <c r="AH274" s="236">
        <f t="shared" si="89"/>
        <v>633</v>
      </c>
      <c r="AI274" s="236">
        <f>IF($AH274&gt;$AH273,INDEX(Spectra!274:274,1,MATCH($AI$20,Spectra!$20:$20,0)),AI273)</f>
        <v>1</v>
      </c>
      <c r="AJ274" s="236">
        <f>((Physics!$C$9*Physics!$C$10)/(Physics!$C$11*Physics!$C$12*$AH274))^($AJ$17-$AJ$18)</f>
        <v>3.18748803407497e+18</v>
      </c>
      <c r="AK274" s="236">
        <f t="shared" si="90"/>
        <v>1</v>
      </c>
      <c r="AL274" s="236">
        <f ca="1">INDEX(Photobiology!$21:$421,1+$AH274-380,10)</f>
        <v>0.2353344</v>
      </c>
      <c r="AM274" s="236">
        <f ca="1" t="shared" si="91"/>
        <v>13.3319879209511</v>
      </c>
      <c r="AN274" s="236">
        <f ca="1">INDEX(Photobiology!$21:$421,1+$AH274-380,AN$14)</f>
        <v>5.0344380369572e-7</v>
      </c>
      <c r="AO274" s="236">
        <f ca="1">INDEX(Photobiology!$21:$421,1+$AH274-380,AO$14)</f>
        <v>0.0722265715060134</v>
      </c>
      <c r="AP274" s="236">
        <f ca="1">INDEX(Photobiology!$21:$421,1+$AH274-380,AP$14)</f>
        <v>0.37009055354946</v>
      </c>
      <c r="AQ274" s="236">
        <f ca="1">INDEX(Photobiology!$21:$421,1+$AH274-380,AQ$14)</f>
        <v>0.00278903522911124</v>
      </c>
      <c r="AR274" s="236">
        <f ca="1">INDEX(Photobiology!$21:$421,1+$AH274-380,AR$14)</f>
        <v>0.000328306892169947</v>
      </c>
      <c r="AS274" s="236">
        <f ca="1" t="shared" si="92"/>
        <v>4.24955519684638e+19</v>
      </c>
      <c r="AT274" s="236">
        <f ca="1">INDEX(Photobiology!$21:$421,1+$AH274-380,AT$14)</f>
        <v>3.49945140009663e-7</v>
      </c>
      <c r="AU274" s="236">
        <f ca="1">INDEX(Photobiology!$21:$421,1+$AH274-380,AU$14)</f>
        <v>0.0619610195154393</v>
      </c>
      <c r="AV274" s="236">
        <f ca="1">INDEX(Photobiology!$21:$421,1+$AH274-380,AV$14)</f>
        <v>0.332833742876674</v>
      </c>
      <c r="AW274" s="236">
        <f ca="1">INDEX(Photobiology!$21:$421,1+$AH274-380,AW$14)</f>
        <v>0.00224591855044468</v>
      </c>
      <c r="AX274" s="236">
        <f ca="1">INDEX(Photobiology!$21:$421,1+$AH274-380,AX$14)</f>
        <v>0.000253505421237436</v>
      </c>
      <c r="AY274" s="236">
        <f ca="1" t="shared" si="79"/>
        <v>13.3319879209511</v>
      </c>
      <c r="AZ274" s="236">
        <f ca="1" t="shared" si="93"/>
        <v>6.71190670974904e-6</v>
      </c>
      <c r="BA274" s="236">
        <f ca="1" t="shared" si="80"/>
        <v>0.962923778889885</v>
      </c>
      <c r="BB274" s="236">
        <f ca="1" t="shared" si="81"/>
        <v>4.93404278957952</v>
      </c>
      <c r="BC274" s="236">
        <f ca="1" t="shared" si="82"/>
        <v>0.0371833839856182</v>
      </c>
      <c r="BD274" s="236">
        <f ca="1" t="shared" si="83"/>
        <v>0.00437698352077474</v>
      </c>
    </row>
    <row r="275" s="234" customFormat="1" ht="0.2" customHeight="1" spans="7:56">
      <c r="G275" s="236"/>
      <c r="H275" s="236">
        <f t="shared" si="84"/>
        <v>634</v>
      </c>
      <c r="I275" s="236">
        <f>IF($H275&gt;$H274,INDEX(Spectra!275:275,1,MATCH($I$20,Spectra!$20:$20,0)),I274)</f>
        <v>14.6724315615107</v>
      </c>
      <c r="J275" s="236">
        <f>((Physics!$C$9*Physics!$C$10)/(Physics!$C$11*Physics!$C$12*$H275))^($J$17-$J$18)</f>
        <v>3.19252356019515e+18</v>
      </c>
      <c r="K275" s="236">
        <f t="shared" si="85"/>
        <v>1</v>
      </c>
      <c r="L275" s="236">
        <f ca="1">INDEX(Photobiology!$21:$421,1+$H275-380,10)</f>
        <v>0.2260528</v>
      </c>
      <c r="M275" s="236">
        <f ca="1" t="shared" si="86"/>
        <v>14.6724315615107</v>
      </c>
      <c r="N275" s="236">
        <f ca="1">INDEX(Photobiology!$21:$421,1+$H275-380,N$14)</f>
        <v>4.69284272935161e-7</v>
      </c>
      <c r="O275" s="236">
        <f ca="1">INDEX(Photobiology!$21:$421,1+$H275-380,O$14)</f>
        <v>0.0675312828776587</v>
      </c>
      <c r="P275" s="236">
        <f ca="1">INDEX(Photobiology!$21:$421,1+$H275-380,P$14)</f>
        <v>0.356515979290164</v>
      </c>
      <c r="Q275" s="236">
        <f ca="1">INDEX(Photobiology!$21:$421,1+$H275-380,Q$14)</f>
        <v>0.00257199428946494</v>
      </c>
      <c r="R275" s="236">
        <f ca="1">INDEX(Photobiology!$21:$421,1+$H275-380,R$14)</f>
        <v>0.000303051892193743</v>
      </c>
      <c r="S275" s="236">
        <f ca="1" t="shared" si="87"/>
        <v>4.68420834454738e+19</v>
      </c>
      <c r="T275" s="236">
        <f ca="1">INDEX(Photobiology!$21:$421,1+$H275-380,T$14)</f>
        <v>3.25686246201058e-7</v>
      </c>
      <c r="U275" s="236">
        <f ca="1">INDEX(Photobiology!$21:$421,1+$H275-380,U$14)</f>
        <v>0.0578416944851131</v>
      </c>
      <c r="V275" s="236">
        <f ca="1">INDEX(Photobiology!$21:$421,1+$H275-380,V$14)</f>
        <v>0.320119994684933</v>
      </c>
      <c r="W275" s="236">
        <f ca="1">INDEX(Photobiology!$21:$421,1+$H275-380,W$14)</f>
        <v>0.00206787581729986</v>
      </c>
      <c r="X275" s="236">
        <f ca="1">INDEX(Photobiology!$21:$421,1+$H275-380,X$14)</f>
        <v>0.000233635430350412</v>
      </c>
      <c r="Y275" s="236">
        <f ca="1" t="shared" si="74"/>
        <v>14.6724315615107</v>
      </c>
      <c r="Z275" s="236">
        <f ca="1" t="shared" si="88"/>
        <v>6.88554137753446e-6</v>
      </c>
      <c r="AA275" s="236">
        <f ca="1" t="shared" si="75"/>
        <v>0.990848126283467</v>
      </c>
      <c r="AB275" s="236">
        <f ca="1" t="shared" si="76"/>
        <v>5.2309563067199</v>
      </c>
      <c r="AC275" s="236">
        <f ca="1" t="shared" si="77"/>
        <v>0.0377374101887707</v>
      </c>
      <c r="AD275" s="236">
        <f ca="1" t="shared" si="78"/>
        <v>0.00444650814779901</v>
      </c>
      <c r="AE275" s="236"/>
      <c r="AF275" s="236"/>
      <c r="AG275" s="236"/>
      <c r="AH275" s="236">
        <f t="shared" si="89"/>
        <v>634</v>
      </c>
      <c r="AI275" s="236">
        <f>IF($AH275&gt;$AH274,INDEX(Spectra!275:275,1,MATCH($AI$20,Spectra!$20:$20,0)),AI274)</f>
        <v>1</v>
      </c>
      <c r="AJ275" s="236">
        <f>((Physics!$C$9*Physics!$C$10)/(Physics!$C$11*Physics!$C$12*$AH275))^($AJ$17-$AJ$18)</f>
        <v>3.19252356019515e+18</v>
      </c>
      <c r="AK275" s="236">
        <f t="shared" si="90"/>
        <v>1</v>
      </c>
      <c r="AL275" s="236">
        <f ca="1">INDEX(Photobiology!$21:$421,1+$AH275-380,10)</f>
        <v>0.2260528</v>
      </c>
      <c r="AM275" s="236">
        <f ca="1" t="shared" si="91"/>
        <v>13.3319879209511</v>
      </c>
      <c r="AN275" s="236">
        <f ca="1">INDEX(Photobiology!$21:$421,1+$AH275-380,AN$14)</f>
        <v>4.69284272935161e-7</v>
      </c>
      <c r="AO275" s="236">
        <f ca="1">INDEX(Photobiology!$21:$421,1+$AH275-380,AO$14)</f>
        <v>0.0675312828776587</v>
      </c>
      <c r="AP275" s="236">
        <f ca="1">INDEX(Photobiology!$21:$421,1+$AH275-380,AP$14)</f>
        <v>0.356515979290164</v>
      </c>
      <c r="AQ275" s="236">
        <f ca="1">INDEX(Photobiology!$21:$421,1+$AH275-380,AQ$14)</f>
        <v>0.00257199428946494</v>
      </c>
      <c r="AR275" s="236">
        <f ca="1">INDEX(Photobiology!$21:$421,1+$AH275-380,AR$14)</f>
        <v>0.000303051892193743</v>
      </c>
      <c r="AS275" s="236">
        <f ca="1" t="shared" si="92"/>
        <v>4.25626855418736e+19</v>
      </c>
      <c r="AT275" s="236">
        <f ca="1">INDEX(Photobiology!$21:$421,1+$AH275-380,AT$14)</f>
        <v>3.25686246201058e-7</v>
      </c>
      <c r="AU275" s="236">
        <f ca="1">INDEX(Photobiology!$21:$421,1+$AH275-380,AU$14)</f>
        <v>0.0578416944851131</v>
      </c>
      <c r="AV275" s="236">
        <f ca="1">INDEX(Photobiology!$21:$421,1+$AH275-380,AV$14)</f>
        <v>0.320119994684933</v>
      </c>
      <c r="AW275" s="236">
        <f ca="1">INDEX(Photobiology!$21:$421,1+$AH275-380,AW$14)</f>
        <v>0.00206787581729986</v>
      </c>
      <c r="AX275" s="236">
        <f ca="1">INDEX(Photobiology!$21:$421,1+$AH275-380,AX$14)</f>
        <v>0.000233635430350412</v>
      </c>
      <c r="AY275" s="236">
        <f ca="1" t="shared" si="79"/>
        <v>13.3319879209511</v>
      </c>
      <c r="AZ275" s="236">
        <f ca="1" t="shared" si="93"/>
        <v>6.2564922582639e-6</v>
      </c>
      <c r="BA275" s="236">
        <f ca="1" t="shared" si="80"/>
        <v>0.90032624761128</v>
      </c>
      <c r="BB275" s="236">
        <f ca="1" t="shared" si="81"/>
        <v>4.75306672952253</v>
      </c>
      <c r="BC275" s="236">
        <f ca="1" t="shared" si="82"/>
        <v>0.0342897967999019</v>
      </c>
      <c r="BD275" s="236">
        <f ca="1" t="shared" si="83"/>
        <v>0.00404028416614837</v>
      </c>
    </row>
    <row r="276" s="234" customFormat="1" ht="0.2" customHeight="1" spans="7:56">
      <c r="G276" s="236"/>
      <c r="H276" s="236">
        <f t="shared" si="84"/>
        <v>635</v>
      </c>
      <c r="I276" s="236">
        <f>IF($H276&gt;$H275,INDEX(Spectra!276:276,1,MATCH($I$20,Spectra!$20:$20,0)),I275)</f>
        <v>14.1859965749222</v>
      </c>
      <c r="J276" s="236">
        <f>((Physics!$C$9*Physics!$C$10)/(Physics!$C$11*Physics!$C$12*$H276))^($J$17-$J$18)</f>
        <v>3.19755908631533e+18</v>
      </c>
      <c r="K276" s="236">
        <f t="shared" si="85"/>
        <v>1</v>
      </c>
      <c r="L276" s="236">
        <f ca="1">INDEX(Photobiology!$21:$421,1+$H276-380,10)</f>
        <v>0.217</v>
      </c>
      <c r="M276" s="236">
        <f ca="1" t="shared" si="86"/>
        <v>14.1859965749222</v>
      </c>
      <c r="N276" s="236">
        <f ca="1">INDEX(Photobiology!$21:$421,1+$H276-380,N$14)</f>
        <v>4.3754124678263e-7</v>
      </c>
      <c r="O276" s="236">
        <f ca="1">INDEX(Photobiology!$21:$421,1+$H276-380,O$14)</f>
        <v>0.0631012554548627</v>
      </c>
      <c r="P276" s="236">
        <f ca="1">INDEX(Photobiology!$21:$421,1+$H276-380,P$14)</f>
        <v>0.343157898862144</v>
      </c>
      <c r="Q276" s="236">
        <f ca="1">INDEX(Photobiology!$21:$421,1+$H276-380,Q$14)</f>
        <v>0.0023721437315089</v>
      </c>
      <c r="R276" s="236">
        <f ca="1">INDEX(Photobiology!$21:$421,1+$H276-380,R$14)</f>
        <v>0.00027980083100052</v>
      </c>
      <c r="S276" s="236">
        <f ca="1" t="shared" si="87"/>
        <v>4.53605622465806e+19</v>
      </c>
      <c r="T276" s="236">
        <f ca="1">INDEX(Photobiology!$21:$421,1+$H276-380,T$14)</f>
        <v>3.03178186747019e-7</v>
      </c>
      <c r="U276" s="236">
        <f ca="1">INDEX(Photobiology!$21:$421,1+$H276-380,U$14)</f>
        <v>0.0539621866528896</v>
      </c>
      <c r="V276" s="236">
        <f ca="1">INDEX(Photobiology!$21:$421,1+$H276-380,V$14)</f>
        <v>0.307640376085165</v>
      </c>
      <c r="W276" s="236">
        <f ca="1">INDEX(Photobiology!$21:$421,1+$H276-380,W$14)</f>
        <v>0.00190419309942943</v>
      </c>
      <c r="X276" s="236">
        <f ca="1">INDEX(Photobiology!$21:$421,1+$H276-380,X$14)</f>
        <v>0.000215370509729252</v>
      </c>
      <c r="Y276" s="236">
        <f ca="1" t="shared" si="74"/>
        <v>14.1859965749222</v>
      </c>
      <c r="Z276" s="236">
        <f ca="1" t="shared" si="88"/>
        <v>6.20695862824558e-6</v>
      </c>
      <c r="AA276" s="236">
        <f ca="1" t="shared" si="75"/>
        <v>0.895154193755973</v>
      </c>
      <c r="AB276" s="236">
        <f ca="1" t="shared" si="76"/>
        <v>4.86803677791587</v>
      </c>
      <c r="AC276" s="236">
        <f ca="1" t="shared" si="77"/>
        <v>0.0336512228504084</v>
      </c>
      <c r="AD276" s="236">
        <f ca="1" t="shared" si="78"/>
        <v>0.00396925363023376</v>
      </c>
      <c r="AE276" s="236"/>
      <c r="AF276" s="236"/>
      <c r="AG276" s="236"/>
      <c r="AH276" s="236">
        <f t="shared" si="89"/>
        <v>635</v>
      </c>
      <c r="AI276" s="236">
        <f>IF($AH276&gt;$AH275,INDEX(Spectra!276:276,1,MATCH($AI$20,Spectra!$20:$20,0)),AI275)</f>
        <v>1</v>
      </c>
      <c r="AJ276" s="236">
        <f>((Physics!$C$9*Physics!$C$10)/(Physics!$C$11*Physics!$C$12*$AH276))^($AJ$17-$AJ$18)</f>
        <v>3.19755908631533e+18</v>
      </c>
      <c r="AK276" s="236">
        <f t="shared" si="90"/>
        <v>1</v>
      </c>
      <c r="AL276" s="236">
        <f ca="1">INDEX(Photobiology!$21:$421,1+$AH276-380,10)</f>
        <v>0.217</v>
      </c>
      <c r="AM276" s="236">
        <f ca="1" t="shared" si="91"/>
        <v>13.3319879209511</v>
      </c>
      <c r="AN276" s="236">
        <f ca="1">INDEX(Photobiology!$21:$421,1+$AH276-380,AN$14)</f>
        <v>4.3754124678263e-7</v>
      </c>
      <c r="AO276" s="236">
        <f ca="1">INDEX(Photobiology!$21:$421,1+$AH276-380,AO$14)</f>
        <v>0.0631012554548627</v>
      </c>
      <c r="AP276" s="236">
        <f ca="1">INDEX(Photobiology!$21:$421,1+$AH276-380,AP$14)</f>
        <v>0.343157898862144</v>
      </c>
      <c r="AQ276" s="236">
        <f ca="1">INDEX(Photobiology!$21:$421,1+$AH276-380,AQ$14)</f>
        <v>0.0023721437315089</v>
      </c>
      <c r="AR276" s="236">
        <f ca="1">INDEX(Photobiology!$21:$421,1+$AH276-380,AR$14)</f>
        <v>0.00027980083100052</v>
      </c>
      <c r="AS276" s="236">
        <f ca="1" t="shared" si="92"/>
        <v>4.26298191152836e+19</v>
      </c>
      <c r="AT276" s="236">
        <f ca="1">INDEX(Photobiology!$21:$421,1+$AH276-380,AT$14)</f>
        <v>3.03178186747019e-7</v>
      </c>
      <c r="AU276" s="236">
        <f ca="1">INDEX(Photobiology!$21:$421,1+$AH276-380,AU$14)</f>
        <v>0.0539621866528896</v>
      </c>
      <c r="AV276" s="236">
        <f ca="1">INDEX(Photobiology!$21:$421,1+$AH276-380,AV$14)</f>
        <v>0.307640376085165</v>
      </c>
      <c r="AW276" s="236">
        <f ca="1">INDEX(Photobiology!$21:$421,1+$AH276-380,AW$14)</f>
        <v>0.00190419309942943</v>
      </c>
      <c r="AX276" s="236">
        <f ca="1">INDEX(Photobiology!$21:$421,1+$AH276-380,AX$14)</f>
        <v>0.000215370509729252</v>
      </c>
      <c r="AY276" s="236">
        <f ca="1" t="shared" si="79"/>
        <v>13.3319879209511</v>
      </c>
      <c r="AZ276" s="236">
        <f ca="1" t="shared" si="93"/>
        <v>5.83329461702393e-6</v>
      </c>
      <c r="BA276" s="236">
        <f ca="1" t="shared" si="80"/>
        <v>0.841265175521082</v>
      </c>
      <c r="BB276" s="236">
        <f ca="1" t="shared" si="81"/>
        <v>4.57497696260908</v>
      </c>
      <c r="BC276" s="236">
        <f ca="1" t="shared" si="82"/>
        <v>0.0316253915752366</v>
      </c>
      <c r="BD276" s="236">
        <f ca="1" t="shared" si="83"/>
        <v>0.00373030129917102</v>
      </c>
    </row>
    <row r="277" s="234" customFormat="1" ht="0.2" customHeight="1" spans="7:56">
      <c r="G277" s="236"/>
      <c r="H277" s="236">
        <f t="shared" si="84"/>
        <v>636</v>
      </c>
      <c r="I277" s="236">
        <f>IF($H277&gt;$H276,INDEX(Spectra!277:277,1,MATCH($I$20,Spectra!$20:$20,0)),I276)</f>
        <v>13.7480624799047</v>
      </c>
      <c r="J277" s="236">
        <f>((Physics!$C$9*Physics!$C$10)/(Physics!$C$11*Physics!$C$12*$H277))^($J$17-$J$18)</f>
        <v>3.20259461243551e+18</v>
      </c>
      <c r="K277" s="236">
        <f t="shared" si="85"/>
        <v>1</v>
      </c>
      <c r="L277" s="236">
        <f ca="1">INDEX(Photobiology!$21:$421,1+$H277-380,10)</f>
        <v>0.2081616</v>
      </c>
      <c r="M277" s="236">
        <f ca="1" t="shared" si="86"/>
        <v>13.7480624799047</v>
      </c>
      <c r="N277" s="236">
        <f ca="1">INDEX(Photobiology!$21:$421,1+$H277-380,N$14)</f>
        <v>4.08036487149855e-7</v>
      </c>
      <c r="O277" s="236">
        <f ca="1">INDEX(Photobiology!$21:$421,1+$H277-380,O$14)</f>
        <v>0.0589258695517823</v>
      </c>
      <c r="P277" s="236">
        <f ca="1">INDEX(Photobiology!$21:$421,1+$H277-380,P$14)</f>
        <v>0.330025121791805</v>
      </c>
      <c r="Q277" s="236">
        <f ca="1">INDEX(Photobiology!$21:$421,1+$H277-380,Q$14)</f>
        <v>0.00218812435454234</v>
      </c>
      <c r="R277" s="236">
        <f ca="1">INDEX(Photobiology!$21:$421,1+$H277-380,R$14)</f>
        <v>0.000258390772303853</v>
      </c>
      <c r="S277" s="236">
        <f ca="1" t="shared" si="87"/>
        <v>4.40294708295696e+19</v>
      </c>
      <c r="T277" s="236">
        <f ca="1">INDEX(Photobiology!$21:$421,1+$H277-380,T$14)</f>
        <v>2.82289393625686e-7</v>
      </c>
      <c r="U277" s="236">
        <f ca="1">INDEX(Photobiology!$21:$421,1+$H277-380,U$14)</f>
        <v>0.0503122974672824</v>
      </c>
      <c r="V277" s="236">
        <f ca="1">INDEX(Photobiology!$21:$421,1+$H277-380,V$14)</f>
        <v>0.295401667997657</v>
      </c>
      <c r="W277" s="236">
        <f ca="1">INDEX(Photobiology!$21:$421,1+$H277-380,W$14)</f>
        <v>0.00175371330401772</v>
      </c>
      <c r="X277" s="236">
        <f ca="1">INDEX(Photobiology!$21:$421,1+$H277-380,X$14)</f>
        <v>0.000198577868876002</v>
      </c>
      <c r="Y277" s="236">
        <f ca="1" t="shared" ref="Y277:Y340" si="94">IF(TRUE,M277,S277)</f>
        <v>13.7480624799047</v>
      </c>
      <c r="Z277" s="236">
        <f ca="1" t="shared" si="88"/>
        <v>5.60971111941704e-6</v>
      </c>
      <c r="AA277" s="236">
        <f ca="1" t="shared" ref="AA277:AA340" si="95">$Y277*O277</f>
        <v>0.810116536280617</v>
      </c>
      <c r="AB277" s="236">
        <f ca="1" t="shared" ref="AB277:AB340" si="96">$Y277*P277</f>
        <v>4.53720599433189</v>
      </c>
      <c r="AC277" s="236">
        <f ca="1" t="shared" ref="AC277:AC340" si="97">$Y277*Q277</f>
        <v>0.0300824703400492</v>
      </c>
      <c r="AD277" s="236">
        <f ca="1" t="shared" ref="AD277:AD340" si="98">$Y277*R277</f>
        <v>0.0035523724818642</v>
      </c>
      <c r="AE277" s="236"/>
      <c r="AF277" s="236"/>
      <c r="AG277" s="236"/>
      <c r="AH277" s="236">
        <f t="shared" si="89"/>
        <v>636</v>
      </c>
      <c r="AI277" s="236">
        <f>IF($AH277&gt;$AH276,INDEX(Spectra!277:277,1,MATCH($AI$20,Spectra!$20:$20,0)),AI276)</f>
        <v>1</v>
      </c>
      <c r="AJ277" s="236">
        <f>((Physics!$C$9*Physics!$C$10)/(Physics!$C$11*Physics!$C$12*$AH277))^($AJ$17-$AJ$18)</f>
        <v>3.20259461243551e+18</v>
      </c>
      <c r="AK277" s="236">
        <f t="shared" si="90"/>
        <v>1</v>
      </c>
      <c r="AL277" s="236">
        <f ca="1">INDEX(Photobiology!$21:$421,1+$AH277-380,10)</f>
        <v>0.2081616</v>
      </c>
      <c r="AM277" s="236">
        <f ca="1" t="shared" si="91"/>
        <v>13.3319879209511</v>
      </c>
      <c r="AN277" s="236">
        <f ca="1">INDEX(Photobiology!$21:$421,1+$AH277-380,AN$14)</f>
        <v>4.08036487149855e-7</v>
      </c>
      <c r="AO277" s="236">
        <f ca="1">INDEX(Photobiology!$21:$421,1+$AH277-380,AO$14)</f>
        <v>0.0589258695517823</v>
      </c>
      <c r="AP277" s="236">
        <f ca="1">INDEX(Photobiology!$21:$421,1+$AH277-380,AP$14)</f>
        <v>0.330025121791805</v>
      </c>
      <c r="AQ277" s="236">
        <f ca="1">INDEX(Photobiology!$21:$421,1+$AH277-380,AQ$14)</f>
        <v>0.00218812435454234</v>
      </c>
      <c r="AR277" s="236">
        <f ca="1">INDEX(Photobiology!$21:$421,1+$AH277-380,AR$14)</f>
        <v>0.000258390772303853</v>
      </c>
      <c r="AS277" s="236">
        <f ca="1" t="shared" si="92"/>
        <v>4.26969526886934e+19</v>
      </c>
      <c r="AT277" s="236">
        <f ca="1">INDEX(Photobiology!$21:$421,1+$AH277-380,AT$14)</f>
        <v>2.82289393625686e-7</v>
      </c>
      <c r="AU277" s="236">
        <f ca="1">INDEX(Photobiology!$21:$421,1+$AH277-380,AU$14)</f>
        <v>0.0503122974672824</v>
      </c>
      <c r="AV277" s="236">
        <f ca="1">INDEX(Photobiology!$21:$421,1+$AH277-380,AV$14)</f>
        <v>0.295401667997657</v>
      </c>
      <c r="AW277" s="236">
        <f ca="1">INDEX(Photobiology!$21:$421,1+$AH277-380,AW$14)</f>
        <v>0.00175371330401772</v>
      </c>
      <c r="AX277" s="236">
        <f ca="1">INDEX(Photobiology!$21:$421,1+$AH277-380,AX$14)</f>
        <v>0.000198577868876002</v>
      </c>
      <c r="AY277" s="236">
        <f ca="1" t="shared" ref="AY277:AY340" si="99">IF(TRUE,AM277,AS277)</f>
        <v>13.3319879209511</v>
      </c>
      <c r="AZ277" s="236">
        <f ca="1" t="shared" si="93"/>
        <v>5.4399375179892e-6</v>
      </c>
      <c r="BA277" s="236">
        <f ca="1" t="shared" ref="BA277:BA340" si="100">$AY277*AO277</f>
        <v>0.785598981095904</v>
      </c>
      <c r="BB277" s="236">
        <f ca="1" t="shared" ref="BB277:BB340" si="101">$AY277*AP277</f>
        <v>4.39989093733877</v>
      </c>
      <c r="BC277" s="236">
        <f ca="1" t="shared" ref="BC277:BC340" si="102">$AY277*AQ277</f>
        <v>0.0291720474642975</v>
      </c>
      <c r="BD277" s="236">
        <f ca="1" t="shared" ref="BD277:BD340" si="103">$AY277*AR277</f>
        <v>0.0034448626552402</v>
      </c>
    </row>
    <row r="278" s="234" customFormat="1" ht="0.2" customHeight="1" spans="7:56">
      <c r="G278" s="236"/>
      <c r="H278" s="236">
        <f t="shared" ref="H278:H341" si="104">MIN(780,H277+$J$14)</f>
        <v>637</v>
      </c>
      <c r="I278" s="236">
        <f>IF($H278&gt;$H277,INDEX(Spectra!278:278,1,MATCH($I$20,Spectra!$20:$20,0)),I277)</f>
        <v>13.3647557349541</v>
      </c>
      <c r="J278" s="236">
        <f>((Physics!$C$9*Physics!$C$10)/(Physics!$C$11*Physics!$C$12*$H278))^($J$17-$J$18)</f>
        <v>3.20763013855569e+18</v>
      </c>
      <c r="K278" s="236">
        <f t="shared" ref="K278:K341" si="105">(H278&lt;&gt;H277)*1</f>
        <v>1</v>
      </c>
      <c r="L278" s="236">
        <f ca="1">INDEX(Photobiology!$21:$421,1+$H278-380,10)</f>
        <v>0.1995488</v>
      </c>
      <c r="M278" s="236">
        <f ca="1" t="shared" ref="M278:M341" si="106">$I278*$J$15*IF($J$18,1,$J278)</f>
        <v>13.3647557349541</v>
      </c>
      <c r="N278" s="236">
        <f ca="1">INDEX(Photobiology!$21:$421,1+$H278-380,N$14)</f>
        <v>3.80607200316739e-7</v>
      </c>
      <c r="O278" s="236">
        <f ca="1">INDEX(Photobiology!$21:$421,1+$H278-380,O$14)</f>
        <v>0.0549948472351288</v>
      </c>
      <c r="P278" s="236">
        <f ca="1">INDEX(Photobiology!$21:$421,1+$H278-380,P$14)</f>
        <v>0.317129760819524</v>
      </c>
      <c r="Q278" s="236">
        <f ca="1">INDEX(Photobiology!$21:$421,1+$H278-380,Q$14)</f>
        <v>0.00201866847120849</v>
      </c>
      <c r="R278" s="236">
        <f ca="1">INDEX(Photobiology!$21:$421,1+$H278-380,R$14)</f>
        <v>0.000238670641273904</v>
      </c>
      <c r="S278" s="236">
        <f ca="1" t="shared" ref="S278:S341" si="107">$I278*$J$15*IF($J$17,1,$J278)</f>
        <v>4.28691932898738e+19</v>
      </c>
      <c r="T278" s="236">
        <f ca="1">INDEX(Photobiology!$21:$421,1+$H278-380,T$14)</f>
        <v>2.62899792997434e-7</v>
      </c>
      <c r="U278" s="236">
        <f ca="1">INDEX(Photobiology!$21:$421,1+$H278-380,U$14)</f>
        <v>0.0468821837562578</v>
      </c>
      <c r="V278" s="236">
        <f ca="1">INDEX(Photobiology!$21:$421,1+$H278-380,V$14)</f>
        <v>0.283413560789405</v>
      </c>
      <c r="W278" s="236">
        <f ca="1">INDEX(Photobiology!$21:$421,1+$H278-380,W$14)</f>
        <v>0.00161535983408255</v>
      </c>
      <c r="X278" s="236">
        <f ca="1">INDEX(Photobiology!$21:$421,1+$H278-380,X$14)</f>
        <v>0.000183134652570299</v>
      </c>
      <c r="Y278" s="236">
        <f ca="1" t="shared" si="94"/>
        <v>13.3647557349541</v>
      </c>
      <c r="Z278" s="236">
        <f ca="1" t="shared" ref="Z278:Z341" si="108">$Y278*N278</f>
        <v>5.08672226319796e-6</v>
      </c>
      <c r="AA278" s="236">
        <f ca="1" t="shared" si="95"/>
        <v>0.734992699978612</v>
      </c>
      <c r="AB278" s="236">
        <f ca="1" t="shared" si="96"/>
        <v>4.23836178963735</v>
      </c>
      <c r="AC278" s="236">
        <f ca="1" t="shared" si="97"/>
        <v>0.0269790110275547</v>
      </c>
      <c r="AD278" s="236">
        <f ca="1" t="shared" si="98"/>
        <v>0.00318977482173058</v>
      </c>
      <c r="AE278" s="236"/>
      <c r="AF278" s="236"/>
      <c r="AG278" s="236"/>
      <c r="AH278" s="236">
        <f t="shared" ref="AH278:AH341" si="109">MIN(780,AH277+$AJ$14)</f>
        <v>637</v>
      </c>
      <c r="AI278" s="236">
        <f>IF($AH278&gt;$AH277,INDEX(Spectra!278:278,1,MATCH($AI$20,Spectra!$20:$20,0)),AI277)</f>
        <v>1</v>
      </c>
      <c r="AJ278" s="236">
        <f>((Physics!$C$9*Physics!$C$10)/(Physics!$C$11*Physics!$C$12*$AH278))^($AJ$17-$AJ$18)</f>
        <v>3.20763013855569e+18</v>
      </c>
      <c r="AK278" s="236">
        <f t="shared" ref="AK278:AK341" si="110">(AH278&lt;&gt;AH277)*1</f>
        <v>1</v>
      </c>
      <c r="AL278" s="236">
        <f ca="1">INDEX(Photobiology!$21:$421,1+$AH278-380,10)</f>
        <v>0.1995488</v>
      </c>
      <c r="AM278" s="236">
        <f ca="1" t="shared" ref="AM278:AM341" si="111">$AI278*$AJ$15*IF($AJ$18,1,$AJ278)</f>
        <v>13.3319879209511</v>
      </c>
      <c r="AN278" s="236">
        <f ca="1">INDEX(Photobiology!$21:$421,1+$AH278-380,AN$14)</f>
        <v>3.80607200316739e-7</v>
      </c>
      <c r="AO278" s="236">
        <f ca="1">INDEX(Photobiology!$21:$421,1+$AH278-380,AO$14)</f>
        <v>0.0549948472351288</v>
      </c>
      <c r="AP278" s="236">
        <f ca="1">INDEX(Photobiology!$21:$421,1+$AH278-380,AP$14)</f>
        <v>0.317129760819524</v>
      </c>
      <c r="AQ278" s="236">
        <f ca="1">INDEX(Photobiology!$21:$421,1+$AH278-380,AQ$14)</f>
        <v>0.00201866847120849</v>
      </c>
      <c r="AR278" s="236">
        <f ca="1">INDEX(Photobiology!$21:$421,1+$AH278-380,AR$14)</f>
        <v>0.000238670641273904</v>
      </c>
      <c r="AS278" s="236">
        <f ca="1" t="shared" ref="AS278:AS341" si="112">$AI278*$AJ$15*IF($AJ$17,1,$AJ278)</f>
        <v>4.27640862621033e+19</v>
      </c>
      <c r="AT278" s="236">
        <f ca="1">INDEX(Photobiology!$21:$421,1+$AH278-380,AT$14)</f>
        <v>2.62899792997434e-7</v>
      </c>
      <c r="AU278" s="236">
        <f ca="1">INDEX(Photobiology!$21:$421,1+$AH278-380,AU$14)</f>
        <v>0.0468821837562578</v>
      </c>
      <c r="AV278" s="236">
        <f ca="1">INDEX(Photobiology!$21:$421,1+$AH278-380,AV$14)</f>
        <v>0.283413560789405</v>
      </c>
      <c r="AW278" s="236">
        <f ca="1">INDEX(Photobiology!$21:$421,1+$AH278-380,AW$14)</f>
        <v>0.00161535983408255</v>
      </c>
      <c r="AX278" s="236">
        <f ca="1">INDEX(Photobiology!$21:$421,1+$AH278-380,AX$14)</f>
        <v>0.000183134652570299</v>
      </c>
      <c r="AY278" s="236">
        <f ca="1" t="shared" si="99"/>
        <v>13.3319879209511</v>
      </c>
      <c r="AZ278" s="236">
        <f ca="1" t="shared" ref="AZ278:AZ341" si="113">$AY278*AN278</f>
        <v>5.0742505972498e-6</v>
      </c>
      <c r="BA278" s="236">
        <f ca="1" t="shared" si="100"/>
        <v>0.73319063905329</v>
      </c>
      <c r="BB278" s="236">
        <f ca="1" t="shared" si="101"/>
        <v>4.22797014062002</v>
      </c>
      <c r="BC278" s="236">
        <f ca="1" t="shared" si="102"/>
        <v>0.0269128636745565</v>
      </c>
      <c r="BD278" s="236">
        <f ca="1" t="shared" si="103"/>
        <v>0.00318195410654935</v>
      </c>
    </row>
    <row r="279" s="234" customFormat="1" ht="0.2" customHeight="1" spans="7:56">
      <c r="G279" s="236"/>
      <c r="H279" s="236">
        <f t="shared" si="104"/>
        <v>638</v>
      </c>
      <c r="I279" s="236">
        <f>IF($H279&gt;$H278,INDEX(Spectra!279:279,1,MATCH($I$20,Spectra!$20:$20,0)),I278)</f>
        <v>13.0140648813602</v>
      </c>
      <c r="J279" s="236">
        <f>((Physics!$C$9*Physics!$C$10)/(Physics!$C$11*Physics!$C$12*$H279))^($J$17-$J$18)</f>
        <v>3.21266566467587e+18</v>
      </c>
      <c r="K279" s="236">
        <f t="shared" si="105"/>
        <v>1</v>
      </c>
      <c r="L279" s="236">
        <f ca="1">INDEX(Photobiology!$21:$421,1+$H279-380,10)</f>
        <v>0.1911552</v>
      </c>
      <c r="M279" s="236">
        <f ca="1" t="shared" si="106"/>
        <v>13.0140648813602</v>
      </c>
      <c r="N279" s="236">
        <f ca="1">INDEX(Photobiology!$21:$421,1+$H279-380,N$14)</f>
        <v>3.55101085591543e-7</v>
      </c>
      <c r="O279" s="236">
        <f ca="1">INDEX(Photobiology!$21:$421,1+$H279-380,O$14)</f>
        <v>0.0512974763591924</v>
      </c>
      <c r="P279" s="236">
        <f ca="1">INDEX(Photobiology!$21:$421,1+$H279-380,P$14)</f>
        <v>0.304480861682193</v>
      </c>
      <c r="Q279" s="236">
        <f ca="1">INDEX(Photobiology!$21:$421,1+$H279-380,Q$14)</f>
        <v>0.00186260601024593</v>
      </c>
      <c r="R279" s="236">
        <f ca="1">INDEX(Photobiology!$21:$421,1+$H279-380,R$14)</f>
        <v>0.000220504775765746</v>
      </c>
      <c r="S279" s="236">
        <f ca="1" t="shared" si="107"/>
        <v>4.180983940221e+19</v>
      </c>
      <c r="T279" s="236">
        <f ca="1">INDEX(Photobiology!$21:$421,1+$H279-380,T$14)</f>
        <v>2.44897300407961e-7</v>
      </c>
      <c r="U279" s="236">
        <f ca="1">INDEX(Photobiology!$21:$421,1+$H279-380,U$14)</f>
        <v>0.0436616944818487</v>
      </c>
      <c r="V279" s="236">
        <f ca="1">INDEX(Photobiology!$21:$421,1+$H279-380,V$14)</f>
        <v>0.271682947439185</v>
      </c>
      <c r="W279" s="236">
        <f ca="1">INDEX(Photobiology!$21:$421,1+$H279-380,W$14)</f>
        <v>0.00148814083346187</v>
      </c>
      <c r="X279" s="236">
        <f ca="1">INDEX(Photobiology!$21:$421,1+$H279-380,X$14)</f>
        <v>0.000168930583632907</v>
      </c>
      <c r="Y279" s="236">
        <f ca="1" t="shared" si="94"/>
        <v>13.0140648813602</v>
      </c>
      <c r="Z279" s="236">
        <f ca="1" t="shared" si="108"/>
        <v>4.62130856732978e-6</v>
      </c>
      <c r="AA279" s="236">
        <f ca="1" t="shared" si="95"/>
        <v>0.667588685588571</v>
      </c>
      <c r="AB279" s="236">
        <f ca="1" t="shared" si="96"/>
        <v>3.96253368906452</v>
      </c>
      <c r="AC279" s="236">
        <f ca="1" t="shared" si="97"/>
        <v>0.024240075465752</v>
      </c>
      <c r="AD279" s="236">
        <f ca="1" t="shared" si="98"/>
        <v>0.0028696634584652</v>
      </c>
      <c r="AE279" s="236"/>
      <c r="AF279" s="236"/>
      <c r="AG279" s="236"/>
      <c r="AH279" s="236">
        <f t="shared" si="109"/>
        <v>638</v>
      </c>
      <c r="AI279" s="236">
        <f>IF($AH279&gt;$AH278,INDEX(Spectra!279:279,1,MATCH($AI$20,Spectra!$20:$20,0)),AI278)</f>
        <v>1</v>
      </c>
      <c r="AJ279" s="236">
        <f>((Physics!$C$9*Physics!$C$10)/(Physics!$C$11*Physics!$C$12*$AH279))^($AJ$17-$AJ$18)</f>
        <v>3.21266566467587e+18</v>
      </c>
      <c r="AK279" s="236">
        <f t="shared" si="110"/>
        <v>1</v>
      </c>
      <c r="AL279" s="236">
        <f ca="1">INDEX(Photobiology!$21:$421,1+$AH279-380,10)</f>
        <v>0.1911552</v>
      </c>
      <c r="AM279" s="236">
        <f ca="1" t="shared" si="111"/>
        <v>13.3319879209511</v>
      </c>
      <c r="AN279" s="236">
        <f ca="1">INDEX(Photobiology!$21:$421,1+$AH279-380,AN$14)</f>
        <v>3.55101085591543e-7</v>
      </c>
      <c r="AO279" s="236">
        <f ca="1">INDEX(Photobiology!$21:$421,1+$AH279-380,AO$14)</f>
        <v>0.0512974763591924</v>
      </c>
      <c r="AP279" s="236">
        <f ca="1">INDEX(Photobiology!$21:$421,1+$AH279-380,AP$14)</f>
        <v>0.304480861682193</v>
      </c>
      <c r="AQ279" s="236">
        <f ca="1">INDEX(Photobiology!$21:$421,1+$AH279-380,AQ$14)</f>
        <v>0.00186260601024593</v>
      </c>
      <c r="AR279" s="236">
        <f ca="1">INDEX(Photobiology!$21:$421,1+$AH279-380,AR$14)</f>
        <v>0.000220504775765746</v>
      </c>
      <c r="AS279" s="236">
        <f ca="1" t="shared" si="112"/>
        <v>4.28312198355132e+19</v>
      </c>
      <c r="AT279" s="236">
        <f ca="1">INDEX(Photobiology!$21:$421,1+$AH279-380,AT$14)</f>
        <v>2.44897300407961e-7</v>
      </c>
      <c r="AU279" s="236">
        <f ca="1">INDEX(Photobiology!$21:$421,1+$AH279-380,AU$14)</f>
        <v>0.0436616944818487</v>
      </c>
      <c r="AV279" s="236">
        <f ca="1">INDEX(Photobiology!$21:$421,1+$AH279-380,AV$14)</f>
        <v>0.271682947439185</v>
      </c>
      <c r="AW279" s="236">
        <f ca="1">INDEX(Photobiology!$21:$421,1+$AH279-380,AW$14)</f>
        <v>0.00148814083346187</v>
      </c>
      <c r="AX279" s="236">
        <f ca="1">INDEX(Photobiology!$21:$421,1+$AH279-380,AX$14)</f>
        <v>0.000168930583632907</v>
      </c>
      <c r="AY279" s="236">
        <f ca="1" t="shared" si="99"/>
        <v>13.3319879209511</v>
      </c>
      <c r="AZ279" s="236">
        <f ca="1" t="shared" si="113"/>
        <v>4.73420338382309e-6</v>
      </c>
      <c r="BA279" s="236">
        <f ca="1" t="shared" si="100"/>
        <v>0.68389733519603</v>
      </c>
      <c r="BB279" s="236">
        <f ca="1" t="shared" si="101"/>
        <v>4.05933517010779</v>
      </c>
      <c r="BC279" s="236">
        <f ca="1" t="shared" si="102"/>
        <v>0.0248322408300897</v>
      </c>
      <c r="BD279" s="236">
        <f ca="1" t="shared" si="103"/>
        <v>0.00293976700702097</v>
      </c>
    </row>
    <row r="280" s="234" customFormat="1" ht="0.2" customHeight="1" spans="7:56">
      <c r="G280" s="236"/>
      <c r="H280" s="236">
        <f t="shared" si="104"/>
        <v>639</v>
      </c>
      <c r="I280" s="236">
        <f>IF($H280&gt;$H279,INDEX(Spectra!280:280,1,MATCH($I$20,Spectra!$20:$20,0)),I279)</f>
        <v>12.7172963092157</v>
      </c>
      <c r="J280" s="236">
        <f>((Physics!$C$9*Physics!$C$10)/(Physics!$C$11*Physics!$C$12*$H280))^($J$17-$J$18)</f>
        <v>3.21770119079606e+18</v>
      </c>
      <c r="K280" s="236">
        <f t="shared" si="105"/>
        <v>1</v>
      </c>
      <c r="L280" s="236">
        <f ca="1">INDEX(Photobiology!$21:$421,1+$H280-380,10)</f>
        <v>0.1829744</v>
      </c>
      <c r="M280" s="236">
        <f ca="1" t="shared" si="106"/>
        <v>12.7172963092157</v>
      </c>
      <c r="N280" s="236">
        <f ca="1">INDEX(Photobiology!$21:$421,1+$H280-380,N$14)</f>
        <v>3.3137824991194e-7</v>
      </c>
      <c r="O280" s="236">
        <f ca="1">INDEX(Photobiology!$21:$421,1+$H280-380,O$14)</f>
        <v>0.0478232404399097</v>
      </c>
      <c r="P280" s="236">
        <f ca="1">INDEX(Photobiology!$21:$421,1+$H280-380,P$14)</f>
        <v>0.292088864238466</v>
      </c>
      <c r="Q280" s="236">
        <f ca="1">INDEX(Photobiology!$21:$421,1+$H280-380,Q$14)</f>
        <v>0.00171886987427122</v>
      </c>
      <c r="R280" s="236">
        <f ca="1">INDEX(Photobiology!$21:$421,1+$H280-380,R$14)</f>
        <v>0.000203766600477976</v>
      </c>
      <c r="S280" s="236">
        <f ca="1" t="shared" si="107"/>
        <v>4.09204594778697e+19</v>
      </c>
      <c r="T280" s="236">
        <f ca="1">INDEX(Photobiology!$21:$421,1+$H280-380,T$14)</f>
        <v>2.2817907662168e-7</v>
      </c>
      <c r="U280" s="236">
        <f ca="1">INDEX(Photobiology!$21:$421,1+$H280-380,U$14)</f>
        <v>0.0406409084255691</v>
      </c>
      <c r="V280" s="236">
        <f ca="1">INDEX(Photobiology!$21:$421,1+$H280-380,V$14)</f>
        <v>0.260217919780988</v>
      </c>
      <c r="W280" s="236">
        <f ca="1">INDEX(Photobiology!$21:$421,1+$H280-380,W$14)</f>
        <v>0.00137115279767535</v>
      </c>
      <c r="X280" s="236">
        <f ca="1">INDEX(Photobiology!$21:$421,1+$H280-380,X$14)</f>
        <v>0.000155863025809278</v>
      </c>
      <c r="Y280" s="236">
        <f ca="1" t="shared" si="94"/>
        <v>12.7172963092157</v>
      </c>
      <c r="Z280" s="236">
        <f ca="1" t="shared" si="108"/>
        <v>4.21423539455947e-6</v>
      </c>
      <c r="AA280" s="236">
        <f ca="1" t="shared" si="95"/>
        <v>0.608182319141199</v>
      </c>
      <c r="AB280" s="236">
        <f ca="1" t="shared" si="96"/>
        <v>3.71458063514285</v>
      </c>
      <c r="AC280" s="236">
        <f ca="1" t="shared" si="97"/>
        <v>0.0218593775080914</v>
      </c>
      <c r="AD280" s="236">
        <f ca="1" t="shared" si="98"/>
        <v>0.00259136023619999</v>
      </c>
      <c r="AE280" s="236"/>
      <c r="AF280" s="236"/>
      <c r="AG280" s="236"/>
      <c r="AH280" s="236">
        <f t="shared" si="109"/>
        <v>639</v>
      </c>
      <c r="AI280" s="236">
        <f>IF($AH280&gt;$AH279,INDEX(Spectra!280:280,1,MATCH($AI$20,Spectra!$20:$20,0)),AI279)</f>
        <v>1</v>
      </c>
      <c r="AJ280" s="236">
        <f>((Physics!$C$9*Physics!$C$10)/(Physics!$C$11*Physics!$C$12*$AH280))^($AJ$17-$AJ$18)</f>
        <v>3.21770119079606e+18</v>
      </c>
      <c r="AK280" s="236">
        <f t="shared" si="110"/>
        <v>1</v>
      </c>
      <c r="AL280" s="236">
        <f ca="1">INDEX(Photobiology!$21:$421,1+$AH280-380,10)</f>
        <v>0.1829744</v>
      </c>
      <c r="AM280" s="236">
        <f ca="1" t="shared" si="111"/>
        <v>13.3319879209511</v>
      </c>
      <c r="AN280" s="236">
        <f ca="1">INDEX(Photobiology!$21:$421,1+$AH280-380,AN$14)</f>
        <v>3.3137824991194e-7</v>
      </c>
      <c r="AO280" s="236">
        <f ca="1">INDEX(Photobiology!$21:$421,1+$AH280-380,AO$14)</f>
        <v>0.0478232404399097</v>
      </c>
      <c r="AP280" s="236">
        <f ca="1">INDEX(Photobiology!$21:$421,1+$AH280-380,AP$14)</f>
        <v>0.292088864238466</v>
      </c>
      <c r="AQ280" s="236">
        <f ca="1">INDEX(Photobiology!$21:$421,1+$AH280-380,AQ$14)</f>
        <v>0.00171886987427122</v>
      </c>
      <c r="AR280" s="236">
        <f ca="1">INDEX(Photobiology!$21:$421,1+$AH280-380,AR$14)</f>
        <v>0.000203766600477976</v>
      </c>
      <c r="AS280" s="236">
        <f ca="1" t="shared" si="112"/>
        <v>4.28983534089231e+19</v>
      </c>
      <c r="AT280" s="236">
        <f ca="1">INDEX(Photobiology!$21:$421,1+$AH280-380,AT$14)</f>
        <v>2.2817907662168e-7</v>
      </c>
      <c r="AU280" s="236">
        <f ca="1">INDEX(Photobiology!$21:$421,1+$AH280-380,AU$14)</f>
        <v>0.0406409084255691</v>
      </c>
      <c r="AV280" s="236">
        <f ca="1">INDEX(Photobiology!$21:$421,1+$AH280-380,AV$14)</f>
        <v>0.260217919780988</v>
      </c>
      <c r="AW280" s="236">
        <f ca="1">INDEX(Photobiology!$21:$421,1+$AH280-380,AW$14)</f>
        <v>0.00137115279767535</v>
      </c>
      <c r="AX280" s="236">
        <f ca="1">INDEX(Photobiology!$21:$421,1+$AH280-380,AX$14)</f>
        <v>0.000155863025809278</v>
      </c>
      <c r="AY280" s="236">
        <f ca="1" t="shared" si="99"/>
        <v>13.3319879209511</v>
      </c>
      <c r="AZ280" s="236">
        <f ca="1" t="shared" si="113"/>
        <v>4.41793082509191e-6</v>
      </c>
      <c r="BA280" s="236">
        <f ca="1" t="shared" si="100"/>
        <v>0.637578863885618</v>
      </c>
      <c r="BB280" s="236">
        <f ca="1" t="shared" si="101"/>
        <v>3.89412520987157</v>
      </c>
      <c r="BC280" s="236">
        <f ca="1" t="shared" si="102"/>
        <v>0.0229159524014707</v>
      </c>
      <c r="BD280" s="236">
        <f ca="1" t="shared" si="103"/>
        <v>0.00271661385626565</v>
      </c>
    </row>
    <row r="281" s="234" customFormat="1" ht="0.2" customHeight="1" spans="7:56">
      <c r="G281" s="236"/>
      <c r="H281" s="236">
        <f t="shared" si="104"/>
        <v>640</v>
      </c>
      <c r="I281" s="236">
        <f>IF($H281&gt;$H280,INDEX(Spectra!281:281,1,MATCH($I$20,Spectra!$20:$20,0)),I280)</f>
        <v>12.463739645725</v>
      </c>
      <c r="J281" s="236">
        <f>((Physics!$C$9*Physics!$C$10)/(Physics!$C$11*Physics!$C$12*$H281))^($J$17-$J$18)</f>
        <v>3.22273671691624e+18</v>
      </c>
      <c r="K281" s="236">
        <f t="shared" si="105"/>
        <v>1</v>
      </c>
      <c r="L281" s="236">
        <f ca="1">INDEX(Photobiology!$21:$421,1+$H281-380,10)</f>
        <v>0.175</v>
      </c>
      <c r="M281" s="236">
        <f ca="1" t="shared" si="106"/>
        <v>12.463739645725</v>
      </c>
      <c r="N281" s="236">
        <f ca="1">INDEX(Photobiology!$21:$421,1+$H281-380,N$14)</f>
        <v>3.09308603367384e-7</v>
      </c>
      <c r="O281" s="236">
        <f ca="1">INDEX(Photobiology!$21:$421,1+$H281-380,O$14)</f>
        <v>0.0445618282041746</v>
      </c>
      <c r="P281" s="236">
        <f ca="1">INDEX(Photobiology!$21:$421,1+$H281-380,P$14)</f>
        <v>0.279962588310584</v>
      </c>
      <c r="Q281" s="236">
        <f ca="1">INDEX(Photobiology!$21:$421,1+$H281-380,Q$14)</f>
        <v>0.00158647780262159</v>
      </c>
      <c r="R281" s="236">
        <f ca="1">INDEX(Photobiology!$21:$421,1+$H281-380,R$14)</f>
        <v>0.000188340621845903</v>
      </c>
      <c r="S281" s="236">
        <f ca="1" t="shared" si="107"/>
        <v>4.01673513863626e+19</v>
      </c>
      <c r="T281" s="236">
        <f ca="1">INDEX(Photobiology!$21:$421,1+$H281-380,T$14)</f>
        <v>2.12649664815077e-7</v>
      </c>
      <c r="U281" s="236">
        <f ca="1">INDEX(Photobiology!$21:$421,1+$H281-380,U$14)</f>
        <v>0.0378101404954174</v>
      </c>
      <c r="V281" s="236">
        <f ca="1">INDEX(Photobiology!$21:$421,1+$H281-380,V$14)</f>
        <v>0.249025078061964</v>
      </c>
      <c r="W281" s="236">
        <f ca="1">INDEX(Photobiology!$21:$421,1+$H281-380,W$14)</f>
        <v>0.00126356543816423</v>
      </c>
      <c r="X281" s="236">
        <f ca="1">INDEX(Photobiology!$21:$421,1+$H281-380,X$14)</f>
        <v>0.000143838447603515</v>
      </c>
      <c r="Y281" s="236">
        <f ca="1" t="shared" si="94"/>
        <v>12.463739645725</v>
      </c>
      <c r="Z281" s="236">
        <f ca="1" t="shared" si="108"/>
        <v>3.85514190255389e-6</v>
      </c>
      <c r="AA281" s="236">
        <f ca="1" t="shared" si="95"/>
        <v>0.555407024874357</v>
      </c>
      <c r="AB281" s="236">
        <f ca="1" t="shared" si="96"/>
        <v>3.48938081124641</v>
      </c>
      <c r="AC281" s="236">
        <f ca="1" t="shared" si="97"/>
        <v>0.0197734462855974</v>
      </c>
      <c r="AD281" s="236">
        <f ca="1" t="shared" si="98"/>
        <v>0.00234742847540128</v>
      </c>
      <c r="AE281" s="236"/>
      <c r="AF281" s="236"/>
      <c r="AG281" s="236"/>
      <c r="AH281" s="236">
        <f t="shared" si="109"/>
        <v>640</v>
      </c>
      <c r="AI281" s="236">
        <f>IF($AH281&gt;$AH280,INDEX(Spectra!281:281,1,MATCH($AI$20,Spectra!$20:$20,0)),AI280)</f>
        <v>1</v>
      </c>
      <c r="AJ281" s="236">
        <f>((Physics!$C$9*Physics!$C$10)/(Physics!$C$11*Physics!$C$12*$AH281))^($AJ$17-$AJ$18)</f>
        <v>3.22273671691624e+18</v>
      </c>
      <c r="AK281" s="236">
        <f t="shared" si="110"/>
        <v>1</v>
      </c>
      <c r="AL281" s="236">
        <f ca="1">INDEX(Photobiology!$21:$421,1+$AH281-380,10)</f>
        <v>0.175</v>
      </c>
      <c r="AM281" s="236">
        <f ca="1" t="shared" si="111"/>
        <v>13.3319879209511</v>
      </c>
      <c r="AN281" s="236">
        <f ca="1">INDEX(Photobiology!$21:$421,1+$AH281-380,AN$14)</f>
        <v>3.09308603367384e-7</v>
      </c>
      <c r="AO281" s="236">
        <f ca="1">INDEX(Photobiology!$21:$421,1+$AH281-380,AO$14)</f>
        <v>0.0445618282041746</v>
      </c>
      <c r="AP281" s="236">
        <f ca="1">INDEX(Photobiology!$21:$421,1+$AH281-380,AP$14)</f>
        <v>0.279962588310584</v>
      </c>
      <c r="AQ281" s="236">
        <f ca="1">INDEX(Photobiology!$21:$421,1+$AH281-380,AQ$14)</f>
        <v>0.00158647780262159</v>
      </c>
      <c r="AR281" s="236">
        <f ca="1">INDEX(Photobiology!$21:$421,1+$AH281-380,AR$14)</f>
        <v>0.000188340621845903</v>
      </c>
      <c r="AS281" s="236">
        <f ca="1" t="shared" si="112"/>
        <v>4.2965486982333e+19</v>
      </c>
      <c r="AT281" s="236">
        <f ca="1">INDEX(Photobiology!$21:$421,1+$AH281-380,AT$14)</f>
        <v>2.12649664815077e-7</v>
      </c>
      <c r="AU281" s="236">
        <f ca="1">INDEX(Photobiology!$21:$421,1+$AH281-380,AU$14)</f>
        <v>0.0378101404954174</v>
      </c>
      <c r="AV281" s="236">
        <f ca="1">INDEX(Photobiology!$21:$421,1+$AH281-380,AV$14)</f>
        <v>0.249025078061964</v>
      </c>
      <c r="AW281" s="236">
        <f ca="1">INDEX(Photobiology!$21:$421,1+$AH281-380,AW$14)</f>
        <v>0.00126356543816423</v>
      </c>
      <c r="AX281" s="236">
        <f ca="1">INDEX(Photobiology!$21:$421,1+$AH281-380,AX$14)</f>
        <v>0.000143838447603515</v>
      </c>
      <c r="AY281" s="236">
        <f ca="1" t="shared" si="99"/>
        <v>13.3319879209511</v>
      </c>
      <c r="AZ281" s="236">
        <f ca="1" t="shared" si="113"/>
        <v>4.12369856394023e-6</v>
      </c>
      <c r="BA281" s="236">
        <f ca="1" t="shared" si="100"/>
        <v>0.594097755353556</v>
      </c>
      <c r="BB281" s="236">
        <f ca="1" t="shared" si="101"/>
        <v>3.73245784567492</v>
      </c>
      <c r="BC281" s="236">
        <f ca="1" t="shared" si="102"/>
        <v>0.0211509029014081</v>
      </c>
      <c r="BD281" s="236">
        <f ca="1" t="shared" si="103"/>
        <v>0.00251095489547401</v>
      </c>
    </row>
    <row r="282" s="234" customFormat="1" ht="0.2" customHeight="1" spans="7:56">
      <c r="G282" s="236"/>
      <c r="H282" s="236">
        <f t="shared" si="104"/>
        <v>641</v>
      </c>
      <c r="I282" s="236">
        <f>IF($H282&gt;$H281,INDEX(Spectra!282:282,1,MATCH($I$20,Spectra!$20:$20,0)),I281)</f>
        <v>12.2005820328195</v>
      </c>
      <c r="J282" s="236">
        <f>((Physics!$C$9*Physics!$C$10)/(Physics!$C$11*Physics!$C$12*$H282))^($J$17-$J$18)</f>
        <v>3.22777224303642e+18</v>
      </c>
      <c r="K282" s="236">
        <f t="shared" si="105"/>
        <v>1</v>
      </c>
      <c r="L282" s="236">
        <f ca="1">INDEX(Photobiology!$21:$421,1+$H282-380,10)</f>
        <v>0.1672235</v>
      </c>
      <c r="M282" s="236">
        <f ca="1" t="shared" si="106"/>
        <v>12.2005820328195</v>
      </c>
      <c r="N282" s="236">
        <f ca="1">INDEX(Photobiology!$21:$421,1+$H282-380,N$14)</f>
        <v>2.8870546176885e-7</v>
      </c>
      <c r="O282" s="236">
        <f ca="1">INDEX(Photobiology!$21:$421,1+$H282-380,O$14)</f>
        <v>0.0414933978312615</v>
      </c>
      <c r="P282" s="236">
        <f ca="1">INDEX(Photobiology!$21:$421,1+$H282-380,P$14)</f>
        <v>0.268047647484432</v>
      </c>
      <c r="Q282" s="236">
        <f ca="1">INDEX(Photobiology!$21:$421,1+$H282-380,Q$14)</f>
        <v>0.00146418178582247</v>
      </c>
      <c r="R282" s="236">
        <f ca="1">INDEX(Photobiology!$21:$421,1+$H282-380,R$14)</f>
        <v>0.000174081251401037</v>
      </c>
      <c r="S282" s="236">
        <f ca="1" t="shared" si="107"/>
        <v>3.93807000344236e+19</v>
      </c>
      <c r="T282" s="236">
        <f ca="1">INDEX(Photobiology!$21:$421,1+$H282-380,T$14)</f>
        <v>1.98175355972378e-7</v>
      </c>
      <c r="U282" s="236">
        <f ca="1">INDEX(Photobiology!$21:$421,1+$H282-380,U$14)</f>
        <v>0.035151692104712</v>
      </c>
      <c r="V282" s="236">
        <f ca="1">INDEX(Photobiology!$21:$421,1+$H282-380,V$14)</f>
        <v>0.238054847475222</v>
      </c>
      <c r="W282" s="236">
        <f ca="1">INDEX(Photobiology!$21:$421,1+$H282-380,W$14)</f>
        <v>0.00116434231959162</v>
      </c>
      <c r="X282" s="236">
        <f ca="1">INDEX(Photobiology!$21:$421,1+$H282-380,X$14)</f>
        <v>0.000132740953124123</v>
      </c>
      <c r="Y282" s="236">
        <f ca="1" t="shared" si="94"/>
        <v>12.2005820328195</v>
      </c>
      <c r="Z282" s="236">
        <f ca="1" t="shared" si="108"/>
        <v>3.52237466963389e-6</v>
      </c>
      <c r="AA282" s="236">
        <f ca="1" t="shared" si="95"/>
        <v>0.506243604060721</v>
      </c>
      <c r="AB282" s="236">
        <f ca="1" t="shared" si="96"/>
        <v>3.2703373118381</v>
      </c>
      <c r="AC282" s="236">
        <f ca="1" t="shared" si="97"/>
        <v>0.0178638699888872</v>
      </c>
      <c r="AD282" s="236">
        <f ca="1" t="shared" si="98"/>
        <v>0.00212389258809423</v>
      </c>
      <c r="AE282" s="236"/>
      <c r="AF282" s="236"/>
      <c r="AG282" s="236"/>
      <c r="AH282" s="236">
        <f t="shared" si="109"/>
        <v>641</v>
      </c>
      <c r="AI282" s="236">
        <f>IF($AH282&gt;$AH281,INDEX(Spectra!282:282,1,MATCH($AI$20,Spectra!$20:$20,0)),AI281)</f>
        <v>1</v>
      </c>
      <c r="AJ282" s="236">
        <f>((Physics!$C$9*Physics!$C$10)/(Physics!$C$11*Physics!$C$12*$AH282))^($AJ$17-$AJ$18)</f>
        <v>3.22777224303642e+18</v>
      </c>
      <c r="AK282" s="236">
        <f t="shared" si="110"/>
        <v>1</v>
      </c>
      <c r="AL282" s="236">
        <f ca="1">INDEX(Photobiology!$21:$421,1+$AH282-380,10)</f>
        <v>0.1672235</v>
      </c>
      <c r="AM282" s="236">
        <f ca="1" t="shared" si="111"/>
        <v>13.3319879209511</v>
      </c>
      <c r="AN282" s="236">
        <f ca="1">INDEX(Photobiology!$21:$421,1+$AH282-380,AN$14)</f>
        <v>2.8870546176885e-7</v>
      </c>
      <c r="AO282" s="236">
        <f ca="1">INDEX(Photobiology!$21:$421,1+$AH282-380,AO$14)</f>
        <v>0.0414933978312615</v>
      </c>
      <c r="AP282" s="236">
        <f ca="1">INDEX(Photobiology!$21:$421,1+$AH282-380,AP$14)</f>
        <v>0.268047647484432</v>
      </c>
      <c r="AQ282" s="236">
        <f ca="1">INDEX(Photobiology!$21:$421,1+$AH282-380,AQ$14)</f>
        <v>0.00146418178582247</v>
      </c>
      <c r="AR282" s="236">
        <f ca="1">INDEX(Photobiology!$21:$421,1+$AH282-380,AR$14)</f>
        <v>0.000174081251401037</v>
      </c>
      <c r="AS282" s="236">
        <f ca="1" t="shared" si="112"/>
        <v>4.30326205557429e+19</v>
      </c>
      <c r="AT282" s="236">
        <f ca="1">INDEX(Photobiology!$21:$421,1+$AH282-380,AT$14)</f>
        <v>1.98175355972378e-7</v>
      </c>
      <c r="AU282" s="236">
        <f ca="1">INDEX(Photobiology!$21:$421,1+$AH282-380,AU$14)</f>
        <v>0.035151692104712</v>
      </c>
      <c r="AV282" s="236">
        <f ca="1">INDEX(Photobiology!$21:$421,1+$AH282-380,AV$14)</f>
        <v>0.238054847475222</v>
      </c>
      <c r="AW282" s="236">
        <f ca="1">INDEX(Photobiology!$21:$421,1+$AH282-380,AW$14)</f>
        <v>0.00116434231959162</v>
      </c>
      <c r="AX282" s="236">
        <f ca="1">INDEX(Photobiology!$21:$421,1+$AH282-380,AX$14)</f>
        <v>0.000132740953124123</v>
      </c>
      <c r="AY282" s="236">
        <f ca="1" t="shared" si="99"/>
        <v>13.3319879209511</v>
      </c>
      <c r="AZ282" s="236">
        <f ca="1" t="shared" si="113"/>
        <v>3.84901772901493e-6</v>
      </c>
      <c r="BA282" s="236">
        <f ca="1" t="shared" si="100"/>
        <v>0.553189478685599</v>
      </c>
      <c r="BB282" s="236">
        <f ca="1" t="shared" si="101"/>
        <v>3.57360799850182</v>
      </c>
      <c r="BC282" s="236">
        <f ca="1" t="shared" si="102"/>
        <v>0.0195204538826618</v>
      </c>
      <c r="BD282" s="236">
        <f ca="1" t="shared" si="103"/>
        <v>0.00232084914094268</v>
      </c>
    </row>
    <row r="283" s="234" customFormat="1" ht="0.2" customHeight="1" spans="7:56">
      <c r="G283" s="236"/>
      <c r="H283" s="236">
        <f t="shared" si="104"/>
        <v>642</v>
      </c>
      <c r="I283" s="236">
        <f>IF($H283&gt;$H282,INDEX(Spectra!283:283,1,MATCH($I$20,Spectra!$20:$20,0)),I282)</f>
        <v>11.9448026830897</v>
      </c>
      <c r="J283" s="236">
        <f>((Physics!$C$9*Physics!$C$10)/(Physics!$C$11*Physics!$C$12*$H283))^($J$17-$J$18)</f>
        <v>3.2328077691566e+18</v>
      </c>
      <c r="K283" s="236">
        <f t="shared" si="105"/>
        <v>1</v>
      </c>
      <c r="L283" s="236">
        <f ca="1">INDEX(Photobiology!$21:$421,1+$H283-380,10)</f>
        <v>0.1596464</v>
      </c>
      <c r="M283" s="236">
        <f ca="1" t="shared" si="106"/>
        <v>11.9448026830897</v>
      </c>
      <c r="N283" s="236">
        <f ca="1">INDEX(Photobiology!$21:$421,1+$H283-380,N$14)</f>
        <v>2.69533654643935e-7</v>
      </c>
      <c r="O283" s="236">
        <f ca="1">INDEX(Photobiology!$21:$421,1+$H283-380,O$14)</f>
        <v>0.0386187310986604</v>
      </c>
      <c r="P283" s="236">
        <f ca="1">INDEX(Photobiology!$21:$421,1+$H283-380,P$14)</f>
        <v>0.256419471064689</v>
      </c>
      <c r="Q283" s="236">
        <f ca="1">INDEX(Photobiology!$21:$421,1+$H283-380,Q$14)</f>
        <v>0.00135153407610556</v>
      </c>
      <c r="R283" s="236">
        <f ca="1">INDEX(Photobiology!$21:$421,1+$H283-380,R$14)</f>
        <v>0.000160937407089666</v>
      </c>
      <c r="S283" s="236">
        <f ca="1" t="shared" si="107"/>
        <v>3.8615250914935e+19</v>
      </c>
      <c r="T283" s="236">
        <f ca="1">INDEX(Photobiology!$21:$421,1+$H283-380,T$14)</f>
        <v>1.84727115332292e-7</v>
      </c>
      <c r="U283" s="236">
        <f ca="1">INDEX(Photobiology!$21:$421,1+$H283-380,U$14)</f>
        <v>0.0326654192837049</v>
      </c>
      <c r="V283" s="236">
        <f ca="1">INDEX(Photobiology!$21:$421,1+$H283-380,V$14)</f>
        <v>0.227373072689996</v>
      </c>
      <c r="W283" s="236">
        <f ca="1">INDEX(Photobiology!$21:$421,1+$H283-380,W$14)</f>
        <v>0.00107308885466566</v>
      </c>
      <c r="X283" s="236">
        <f ca="1">INDEX(Photobiology!$21:$421,1+$H283-380,X$14)</f>
        <v>0.000122527319636475</v>
      </c>
      <c r="Y283" s="236">
        <f ca="1" t="shared" si="94"/>
        <v>11.9448026830897</v>
      </c>
      <c r="Z283" s="236">
        <f ca="1" t="shared" si="108"/>
        <v>3.21952632117385e-6</v>
      </c>
      <c r="AA283" s="236">
        <f ca="1" t="shared" si="95"/>
        <v>0.461293122844798</v>
      </c>
      <c r="AB283" s="236">
        <f ca="1" t="shared" si="96"/>
        <v>3.06287998596994</v>
      </c>
      <c r="AC283" s="236">
        <f ca="1" t="shared" si="97"/>
        <v>0.0161438078585528</v>
      </c>
      <c r="AD283" s="236">
        <f ca="1" t="shared" si="98"/>
        <v>0.00192236557201414</v>
      </c>
      <c r="AE283" s="236"/>
      <c r="AF283" s="236"/>
      <c r="AG283" s="236"/>
      <c r="AH283" s="236">
        <f t="shared" si="109"/>
        <v>642</v>
      </c>
      <c r="AI283" s="236">
        <f>IF($AH283&gt;$AH282,INDEX(Spectra!283:283,1,MATCH($AI$20,Spectra!$20:$20,0)),AI282)</f>
        <v>1</v>
      </c>
      <c r="AJ283" s="236">
        <f>((Physics!$C$9*Physics!$C$10)/(Physics!$C$11*Physics!$C$12*$AH283))^($AJ$17-$AJ$18)</f>
        <v>3.2328077691566e+18</v>
      </c>
      <c r="AK283" s="236">
        <f t="shared" si="110"/>
        <v>1</v>
      </c>
      <c r="AL283" s="236">
        <f ca="1">INDEX(Photobiology!$21:$421,1+$AH283-380,10)</f>
        <v>0.1596464</v>
      </c>
      <c r="AM283" s="236">
        <f ca="1" t="shared" si="111"/>
        <v>13.3319879209511</v>
      </c>
      <c r="AN283" s="236">
        <f ca="1">INDEX(Photobiology!$21:$421,1+$AH283-380,AN$14)</f>
        <v>2.69533654643935e-7</v>
      </c>
      <c r="AO283" s="236">
        <f ca="1">INDEX(Photobiology!$21:$421,1+$AH283-380,AO$14)</f>
        <v>0.0386187310986604</v>
      </c>
      <c r="AP283" s="236">
        <f ca="1">INDEX(Photobiology!$21:$421,1+$AH283-380,AP$14)</f>
        <v>0.256419471064689</v>
      </c>
      <c r="AQ283" s="236">
        <f ca="1">INDEX(Photobiology!$21:$421,1+$AH283-380,AQ$14)</f>
        <v>0.00135153407610556</v>
      </c>
      <c r="AR283" s="236">
        <f ca="1">INDEX(Photobiology!$21:$421,1+$AH283-380,AR$14)</f>
        <v>0.000160937407089666</v>
      </c>
      <c r="AS283" s="236">
        <f ca="1" t="shared" si="112"/>
        <v>4.30997541291528e+19</v>
      </c>
      <c r="AT283" s="236">
        <f ca="1">INDEX(Photobiology!$21:$421,1+$AH283-380,AT$14)</f>
        <v>1.84727115332292e-7</v>
      </c>
      <c r="AU283" s="236">
        <f ca="1">INDEX(Photobiology!$21:$421,1+$AH283-380,AU$14)</f>
        <v>0.0326654192837049</v>
      </c>
      <c r="AV283" s="236">
        <f ca="1">INDEX(Photobiology!$21:$421,1+$AH283-380,AV$14)</f>
        <v>0.227373072689996</v>
      </c>
      <c r="AW283" s="236">
        <f ca="1">INDEX(Photobiology!$21:$421,1+$AH283-380,AW$14)</f>
        <v>0.00107308885466566</v>
      </c>
      <c r="AX283" s="236">
        <f ca="1">INDEX(Photobiology!$21:$421,1+$AH283-380,AX$14)</f>
        <v>0.000122527319636475</v>
      </c>
      <c r="AY283" s="236">
        <f ca="1" t="shared" si="99"/>
        <v>13.3319879209511</v>
      </c>
      <c r="AZ283" s="236">
        <f ca="1" t="shared" si="113"/>
        <v>3.59341942800276e-6</v>
      </c>
      <c r="BA283" s="236">
        <f ca="1" t="shared" si="100"/>
        <v>0.514864456529801</v>
      </c>
      <c r="BB283" s="236">
        <f ca="1" t="shared" si="101"/>
        <v>3.41858129093111</v>
      </c>
      <c r="BC283" s="236">
        <f ca="1" t="shared" si="102"/>
        <v>0.0180186359773932</v>
      </c>
      <c r="BD283" s="236">
        <f ca="1" t="shared" si="103"/>
        <v>0.00214561556734862</v>
      </c>
    </row>
    <row r="284" s="234" customFormat="1" ht="0.2" customHeight="1" spans="7:56">
      <c r="G284" s="236"/>
      <c r="H284" s="236">
        <f t="shared" si="104"/>
        <v>643</v>
      </c>
      <c r="I284" s="236">
        <f>IF($H284&gt;$H283,INDEX(Spectra!284:284,1,MATCH($I$20,Spectra!$20:$20,0)),I283)</f>
        <v>11.7845331165384</v>
      </c>
      <c r="J284" s="236">
        <f>((Physics!$C$9*Physics!$C$10)/(Physics!$C$11*Physics!$C$12*$H284))^($J$17-$J$18)</f>
        <v>3.23784329527678e+18</v>
      </c>
      <c r="K284" s="236">
        <f t="shared" si="105"/>
        <v>1</v>
      </c>
      <c r="L284" s="236">
        <f ca="1">INDEX(Photobiology!$21:$421,1+$H284-380,10)</f>
        <v>0.1522776</v>
      </c>
      <c r="M284" s="236">
        <f ca="1" t="shared" si="106"/>
        <v>11.7845331165384</v>
      </c>
      <c r="N284" s="236">
        <f ca="1">INDEX(Photobiology!$21:$421,1+$H284-380,N$14)</f>
        <v>2.51690022743044e-7</v>
      </c>
      <c r="O284" s="236">
        <f ca="1">INDEX(Photobiology!$21:$421,1+$H284-380,O$14)</f>
        <v>0.0359277483399823</v>
      </c>
      <c r="P284" s="236">
        <f ca="1">INDEX(Photobiology!$21:$421,1+$H284-380,P$14)</f>
        <v>0.245084022680458</v>
      </c>
      <c r="Q284" s="236">
        <f ca="1">INDEX(Photobiology!$21:$421,1+$H284-380,Q$14)</f>
        <v>0.00124776557623114</v>
      </c>
      <c r="R284" s="236">
        <f ca="1">INDEX(Photobiology!$21:$421,1+$H284-380,R$14)</f>
        <v>0.000148819211790386</v>
      </c>
      <c r="S284" s="236">
        <f ca="1" t="shared" si="107"/>
        <v>3.8156471539351e+19</v>
      </c>
      <c r="T284" s="236">
        <f ca="1">INDEX(Photobiology!$21:$421,1+$H284-380,T$14)</f>
        <v>1.72229564552005e-7</v>
      </c>
      <c r="U284" s="236">
        <f ca="1">INDEX(Photobiology!$21:$421,1+$H284-380,U$14)</f>
        <v>0.0303420061597326</v>
      </c>
      <c r="V284" s="236">
        <f ca="1">INDEX(Photobiology!$21:$421,1+$H284-380,V$14)</f>
        <v>0.216983687741987</v>
      </c>
      <c r="W284" s="236">
        <f ca="1">INDEX(Photobiology!$21:$421,1+$H284-380,W$14)</f>
        <v>0.000989158163025043</v>
      </c>
      <c r="X284" s="236">
        <f ca="1">INDEX(Photobiology!$21:$421,1+$H284-380,X$14)</f>
        <v>0.000113125103170199</v>
      </c>
      <c r="Y284" s="236">
        <f ca="1" t="shared" si="94"/>
        <v>11.7845331165384</v>
      </c>
      <c r="Z284" s="236">
        <f ca="1" t="shared" si="108"/>
        <v>2.96604940811771e-6</v>
      </c>
      <c r="AA284" s="236">
        <f ca="1" t="shared" si="95"/>
        <v>0.423391740115179</v>
      </c>
      <c r="AB284" s="236">
        <f ca="1" t="shared" si="96"/>
        <v>2.88820078161231</v>
      </c>
      <c r="AC284" s="236">
        <f ca="1" t="shared" si="97"/>
        <v>0.0147043347547725</v>
      </c>
      <c r="AD284" s="236">
        <f ca="1" t="shared" si="98"/>
        <v>0.00175376492972095</v>
      </c>
      <c r="AE284" s="236"/>
      <c r="AF284" s="236"/>
      <c r="AG284" s="236"/>
      <c r="AH284" s="236">
        <f t="shared" si="109"/>
        <v>643</v>
      </c>
      <c r="AI284" s="236">
        <f>IF($AH284&gt;$AH283,INDEX(Spectra!284:284,1,MATCH($AI$20,Spectra!$20:$20,0)),AI283)</f>
        <v>1</v>
      </c>
      <c r="AJ284" s="236">
        <f>((Physics!$C$9*Physics!$C$10)/(Physics!$C$11*Physics!$C$12*$AH284))^($AJ$17-$AJ$18)</f>
        <v>3.23784329527678e+18</v>
      </c>
      <c r="AK284" s="236">
        <f t="shared" si="110"/>
        <v>1</v>
      </c>
      <c r="AL284" s="236">
        <f ca="1">INDEX(Photobiology!$21:$421,1+$AH284-380,10)</f>
        <v>0.1522776</v>
      </c>
      <c r="AM284" s="236">
        <f ca="1" t="shared" si="111"/>
        <v>13.3319879209511</v>
      </c>
      <c r="AN284" s="236">
        <f ca="1">INDEX(Photobiology!$21:$421,1+$AH284-380,AN$14)</f>
        <v>2.51690022743044e-7</v>
      </c>
      <c r="AO284" s="236">
        <f ca="1">INDEX(Photobiology!$21:$421,1+$AH284-380,AO$14)</f>
        <v>0.0359277483399823</v>
      </c>
      <c r="AP284" s="236">
        <f ca="1">INDEX(Photobiology!$21:$421,1+$AH284-380,AP$14)</f>
        <v>0.245084022680458</v>
      </c>
      <c r="AQ284" s="236">
        <f ca="1">INDEX(Photobiology!$21:$421,1+$AH284-380,AQ$14)</f>
        <v>0.00124776557623114</v>
      </c>
      <c r="AR284" s="236">
        <f ca="1">INDEX(Photobiology!$21:$421,1+$AH284-380,AR$14)</f>
        <v>0.000148819211790386</v>
      </c>
      <c r="AS284" s="236">
        <f ca="1" t="shared" si="112"/>
        <v>4.31668877025627e+19</v>
      </c>
      <c r="AT284" s="236">
        <f ca="1">INDEX(Photobiology!$21:$421,1+$AH284-380,AT$14)</f>
        <v>1.72229564552005e-7</v>
      </c>
      <c r="AU284" s="236">
        <f ca="1">INDEX(Photobiology!$21:$421,1+$AH284-380,AU$14)</f>
        <v>0.0303420061597326</v>
      </c>
      <c r="AV284" s="236">
        <f ca="1">INDEX(Photobiology!$21:$421,1+$AH284-380,AV$14)</f>
        <v>0.216983687741987</v>
      </c>
      <c r="AW284" s="236">
        <f ca="1">INDEX(Photobiology!$21:$421,1+$AH284-380,AW$14)</f>
        <v>0.000989158163025043</v>
      </c>
      <c r="AX284" s="236">
        <f ca="1">INDEX(Photobiology!$21:$421,1+$AH284-380,AX$14)</f>
        <v>0.000113125103170199</v>
      </c>
      <c r="AY284" s="236">
        <f ca="1" t="shared" si="99"/>
        <v>13.3319879209511</v>
      </c>
      <c r="AZ284" s="236">
        <f ca="1" t="shared" si="113"/>
        <v>3.35552834303418e-6</v>
      </c>
      <c r="BA284" s="236">
        <f ca="1" t="shared" si="100"/>
        <v>0.478988306895616</v>
      </c>
      <c r="BB284" s="236">
        <f ca="1" t="shared" si="101"/>
        <v>3.26745722999398</v>
      </c>
      <c r="BC284" s="236">
        <f ca="1" t="shared" si="102"/>
        <v>0.0166351955904922</v>
      </c>
      <c r="BD284" s="236">
        <f ca="1" t="shared" si="103"/>
        <v>0.0019840559339949</v>
      </c>
    </row>
    <row r="285" s="234" customFormat="1" ht="0.2" customHeight="1" spans="7:56">
      <c r="G285" s="236"/>
      <c r="H285" s="236">
        <f t="shared" si="104"/>
        <v>644</v>
      </c>
      <c r="I285" s="236">
        <f>IF($H285&gt;$H284,INDEX(Spectra!285:285,1,MATCH($I$20,Spectra!$20:$20,0)),I284)</f>
        <v>11.5593619678365</v>
      </c>
      <c r="J285" s="236">
        <f>((Physics!$C$9*Physics!$C$10)/(Physics!$C$11*Physics!$C$12*$H285))^($J$17-$J$18)</f>
        <v>3.24287882139696e+18</v>
      </c>
      <c r="K285" s="236">
        <f t="shared" si="105"/>
        <v>1</v>
      </c>
      <c r="L285" s="236">
        <f ca="1">INDEX(Photobiology!$21:$421,1+$H285-380,10)</f>
        <v>0.1451259</v>
      </c>
      <c r="M285" s="236">
        <f ca="1" t="shared" si="106"/>
        <v>11.5593619678365</v>
      </c>
      <c r="N285" s="236">
        <f ca="1">INDEX(Photobiology!$21:$421,1+$H285-380,N$14)</f>
        <v>2.35079089526187e-7</v>
      </c>
      <c r="O285" s="236">
        <f ca="1">INDEX(Photobiology!$21:$421,1+$H285-380,O$14)</f>
        <v>0.0334107327111731</v>
      </c>
      <c r="P285" s="236">
        <f ca="1">INDEX(Photobiology!$21:$421,1+$H285-380,P$14)</f>
        <v>0.234047496480031</v>
      </c>
      <c r="Q285" s="236">
        <f ca="1">INDEX(Photobiology!$21:$421,1+$H285-380,Q$14)</f>
        <v>0.00115216320058051</v>
      </c>
      <c r="R285" s="236">
        <f ca="1">INDEX(Photobiology!$21:$421,1+$H285-380,R$14)</f>
        <v>0.000137644226630395</v>
      </c>
      <c r="S285" s="236">
        <f ca="1" t="shared" si="107"/>
        <v>3.74856101143585e+19</v>
      </c>
      <c r="T285" s="236">
        <f ca="1">INDEX(Photobiology!$21:$421,1+$H285-380,T$14)</f>
        <v>1.6061304253342e-7</v>
      </c>
      <c r="U285" s="236">
        <f ca="1">INDEX(Photobiology!$21:$421,1+$H285-380,U$14)</f>
        <v>0.0281725006606868</v>
      </c>
      <c r="V285" s="236">
        <f ca="1">INDEX(Photobiology!$21:$421,1+$H285-380,V$14)</f>
        <v>0.206890806003781</v>
      </c>
      <c r="W285" s="236">
        <f ca="1">INDEX(Photobiology!$21:$421,1+$H285-380,W$14)</f>
        <v>0.00091195171610395</v>
      </c>
      <c r="X285" s="236">
        <f ca="1">INDEX(Photobiology!$21:$421,1+$H285-380,X$14)</f>
        <v>0.000104467955131305</v>
      </c>
      <c r="Y285" s="236">
        <f ca="1" t="shared" si="94"/>
        <v>11.5593619678365</v>
      </c>
      <c r="Z285" s="236">
        <f ca="1" t="shared" si="108"/>
        <v>2.71736428690264e-6</v>
      </c>
      <c r="AA285" s="236">
        <f ca="1" t="shared" si="95"/>
        <v>0.386206753019085</v>
      </c>
      <c r="AB285" s="236">
        <f ca="1" t="shared" si="96"/>
        <v>2.70543972947862</v>
      </c>
      <c r="AC285" s="236">
        <f ca="1" t="shared" si="97"/>
        <v>0.0133182714815311</v>
      </c>
      <c r="AD285" s="236">
        <f ca="1" t="shared" si="98"/>
        <v>0.00159107943840366</v>
      </c>
      <c r="AE285" s="236"/>
      <c r="AF285" s="236"/>
      <c r="AG285" s="236"/>
      <c r="AH285" s="236">
        <f t="shared" si="109"/>
        <v>644</v>
      </c>
      <c r="AI285" s="236">
        <f>IF($AH285&gt;$AH284,INDEX(Spectra!285:285,1,MATCH($AI$20,Spectra!$20:$20,0)),AI284)</f>
        <v>1</v>
      </c>
      <c r="AJ285" s="236">
        <f>((Physics!$C$9*Physics!$C$10)/(Physics!$C$11*Physics!$C$12*$AH285))^($AJ$17-$AJ$18)</f>
        <v>3.24287882139696e+18</v>
      </c>
      <c r="AK285" s="236">
        <f t="shared" si="110"/>
        <v>1</v>
      </c>
      <c r="AL285" s="236">
        <f ca="1">INDEX(Photobiology!$21:$421,1+$AH285-380,10)</f>
        <v>0.1451259</v>
      </c>
      <c r="AM285" s="236">
        <f ca="1" t="shared" si="111"/>
        <v>13.3319879209511</v>
      </c>
      <c r="AN285" s="236">
        <f ca="1">INDEX(Photobiology!$21:$421,1+$AH285-380,AN$14)</f>
        <v>2.35079089526187e-7</v>
      </c>
      <c r="AO285" s="236">
        <f ca="1">INDEX(Photobiology!$21:$421,1+$AH285-380,AO$14)</f>
        <v>0.0334107327111731</v>
      </c>
      <c r="AP285" s="236">
        <f ca="1">INDEX(Photobiology!$21:$421,1+$AH285-380,AP$14)</f>
        <v>0.234047496480031</v>
      </c>
      <c r="AQ285" s="236">
        <f ca="1">INDEX(Photobiology!$21:$421,1+$AH285-380,AQ$14)</f>
        <v>0.00115216320058051</v>
      </c>
      <c r="AR285" s="236">
        <f ca="1">INDEX(Photobiology!$21:$421,1+$AH285-380,AR$14)</f>
        <v>0.000137644226630395</v>
      </c>
      <c r="AS285" s="236">
        <f ca="1" t="shared" si="112"/>
        <v>4.32340212759726e+19</v>
      </c>
      <c r="AT285" s="236">
        <f ca="1">INDEX(Photobiology!$21:$421,1+$AH285-380,AT$14)</f>
        <v>1.6061304253342e-7</v>
      </c>
      <c r="AU285" s="236">
        <f ca="1">INDEX(Photobiology!$21:$421,1+$AH285-380,AU$14)</f>
        <v>0.0281725006606868</v>
      </c>
      <c r="AV285" s="236">
        <f ca="1">INDEX(Photobiology!$21:$421,1+$AH285-380,AV$14)</f>
        <v>0.206890806003781</v>
      </c>
      <c r="AW285" s="236">
        <f ca="1">INDEX(Photobiology!$21:$421,1+$AH285-380,AW$14)</f>
        <v>0.00091195171610395</v>
      </c>
      <c r="AX285" s="236">
        <f ca="1">INDEX(Photobiology!$21:$421,1+$AH285-380,AX$14)</f>
        <v>0.000104467955131305</v>
      </c>
      <c r="AY285" s="236">
        <f ca="1" t="shared" si="99"/>
        <v>13.3319879209511</v>
      </c>
      <c r="AZ285" s="236">
        <f ca="1" t="shared" si="113"/>
        <v>3.13407158203132e-6</v>
      </c>
      <c r="BA285" s="236">
        <f ca="1" t="shared" si="100"/>
        <v>0.445431484935487</v>
      </c>
      <c r="BB285" s="236">
        <f ca="1" t="shared" si="101"/>
        <v>3.12031839600063</v>
      </c>
      <c r="BC285" s="236">
        <f ca="1" t="shared" si="102"/>
        <v>0.0153606258731038</v>
      </c>
      <c r="BD285" s="236">
        <f ca="1" t="shared" si="103"/>
        <v>0.00183507116682509</v>
      </c>
    </row>
    <row r="286" s="234" customFormat="1" ht="0.2" customHeight="1" spans="7:56">
      <c r="G286" s="236"/>
      <c r="H286" s="236">
        <f t="shared" si="104"/>
        <v>645</v>
      </c>
      <c r="I286" s="236">
        <f>IF($H286&gt;$H285,INDEX(Spectra!286:286,1,MATCH($I$20,Spectra!$20:$20,0)),I285)</f>
        <v>11.385670506693</v>
      </c>
      <c r="J286" s="236">
        <f>((Physics!$C$9*Physics!$C$10)/(Physics!$C$11*Physics!$C$12*$H286))^($J$17-$J$18)</f>
        <v>3.24791434751715e+18</v>
      </c>
      <c r="K286" s="236">
        <f t="shared" si="105"/>
        <v>1</v>
      </c>
      <c r="L286" s="236">
        <f ca="1">INDEX(Photobiology!$21:$421,1+$H286-380,10)</f>
        <v>0.1382</v>
      </c>
      <c r="M286" s="236">
        <f ca="1" t="shared" si="106"/>
        <v>11.385670506693</v>
      </c>
      <c r="N286" s="236">
        <f ca="1">INDEX(Photobiology!$21:$421,1+$H286-380,N$14)</f>
        <v>2.19611460410427e-7</v>
      </c>
      <c r="O286" s="236">
        <f ca="1">INDEX(Photobiology!$21:$421,1+$H286-380,O$14)</f>
        <v>0.0310583228417201</v>
      </c>
      <c r="P286" s="236">
        <f ca="1">INDEX(Photobiology!$21:$421,1+$H286-380,P$14)</f>
        <v>0.22331556794779</v>
      </c>
      <c r="Q286" s="236">
        <f ca="1">INDEX(Photobiology!$21:$421,1+$H286-380,Q$14)</f>
        <v>0.00106407196248105</v>
      </c>
      <c r="R286" s="236">
        <f ca="1">INDEX(Photobiology!$21:$421,1+$H286-380,R$14)</f>
        <v>0.000127336820009634</v>
      </c>
      <c r="S286" s="236">
        <f ca="1" t="shared" si="107"/>
        <v>3.69796825947911e+19</v>
      </c>
      <c r="T286" s="236">
        <f ca="1">INDEX(Photobiology!$21:$421,1+$H286-380,T$14)</f>
        <v>1.49812469117191e-7</v>
      </c>
      <c r="U286" s="236">
        <f ca="1">INDEX(Photobiology!$21:$421,1+$H286-380,U$14)</f>
        <v>0.0261483055078337</v>
      </c>
      <c r="V286" s="236">
        <f ca="1">INDEX(Photobiology!$21:$421,1+$H286-380,V$14)</f>
        <v>0.197098057566522</v>
      </c>
      <c r="W286" s="236">
        <f ca="1">INDEX(Photobiology!$21:$421,1+$H286-380,W$14)</f>
        <v>0.000840920611894565</v>
      </c>
      <c r="X286" s="236">
        <f ca="1">INDEX(Photobiology!$21:$421,1+$H286-380,X$14)</f>
        <v>9.6495096901394e-5</v>
      </c>
      <c r="Y286" s="236">
        <f ca="1" t="shared" si="94"/>
        <v>11.385670506693</v>
      </c>
      <c r="Z286" s="236">
        <f ca="1" t="shared" si="108"/>
        <v>2.50042372772678e-6</v>
      </c>
      <c r="AA286" s="236">
        <f ca="1" t="shared" si="95"/>
        <v>0.353619830366322</v>
      </c>
      <c r="AB286" s="236">
        <f ca="1" t="shared" si="96"/>
        <v>2.54259747566855</v>
      </c>
      <c r="AC286" s="236">
        <f ca="1" t="shared" si="97"/>
        <v>0.0121151727602194</v>
      </c>
      <c r="AD286" s="236">
        <f ca="1" t="shared" si="98"/>
        <v>0.00144981507599976</v>
      </c>
      <c r="AE286" s="236"/>
      <c r="AF286" s="236"/>
      <c r="AG286" s="236"/>
      <c r="AH286" s="236">
        <f t="shared" si="109"/>
        <v>645</v>
      </c>
      <c r="AI286" s="236">
        <f>IF($AH286&gt;$AH285,INDEX(Spectra!286:286,1,MATCH($AI$20,Spectra!$20:$20,0)),AI285)</f>
        <v>1</v>
      </c>
      <c r="AJ286" s="236">
        <f>((Physics!$C$9*Physics!$C$10)/(Physics!$C$11*Physics!$C$12*$AH286))^($AJ$17-$AJ$18)</f>
        <v>3.24791434751715e+18</v>
      </c>
      <c r="AK286" s="236">
        <f t="shared" si="110"/>
        <v>1</v>
      </c>
      <c r="AL286" s="236">
        <f ca="1">INDEX(Photobiology!$21:$421,1+$AH286-380,10)</f>
        <v>0.1382</v>
      </c>
      <c r="AM286" s="236">
        <f ca="1" t="shared" si="111"/>
        <v>13.3319879209511</v>
      </c>
      <c r="AN286" s="236">
        <f ca="1">INDEX(Photobiology!$21:$421,1+$AH286-380,AN$14)</f>
        <v>2.19611460410427e-7</v>
      </c>
      <c r="AO286" s="236">
        <f ca="1">INDEX(Photobiology!$21:$421,1+$AH286-380,AO$14)</f>
        <v>0.0310583228417201</v>
      </c>
      <c r="AP286" s="236">
        <f ca="1">INDEX(Photobiology!$21:$421,1+$AH286-380,AP$14)</f>
        <v>0.22331556794779</v>
      </c>
      <c r="AQ286" s="236">
        <f ca="1">INDEX(Photobiology!$21:$421,1+$AH286-380,AQ$14)</f>
        <v>0.00106407196248105</v>
      </c>
      <c r="AR286" s="236">
        <f ca="1">INDEX(Photobiology!$21:$421,1+$AH286-380,AR$14)</f>
        <v>0.000127336820009634</v>
      </c>
      <c r="AS286" s="236">
        <f ca="1" t="shared" si="112"/>
        <v>4.33011548493825e+19</v>
      </c>
      <c r="AT286" s="236">
        <f ca="1">INDEX(Photobiology!$21:$421,1+$AH286-380,AT$14)</f>
        <v>1.49812469117191e-7</v>
      </c>
      <c r="AU286" s="236">
        <f ca="1">INDEX(Photobiology!$21:$421,1+$AH286-380,AU$14)</f>
        <v>0.0261483055078337</v>
      </c>
      <c r="AV286" s="236">
        <f ca="1">INDEX(Photobiology!$21:$421,1+$AH286-380,AV$14)</f>
        <v>0.197098057566522</v>
      </c>
      <c r="AW286" s="236">
        <f ca="1">INDEX(Photobiology!$21:$421,1+$AH286-380,AW$14)</f>
        <v>0.000840920611894565</v>
      </c>
      <c r="AX286" s="236">
        <f ca="1">INDEX(Photobiology!$21:$421,1+$AH286-380,AX$14)</f>
        <v>9.6495096901394e-5</v>
      </c>
      <c r="AY286" s="236">
        <f ca="1" t="shared" si="99"/>
        <v>13.3319879209511</v>
      </c>
      <c r="AZ286" s="236">
        <f ca="1" t="shared" si="113"/>
        <v>2.92785733749425e-6</v>
      </c>
      <c r="BA286" s="236">
        <f ca="1" t="shared" si="100"/>
        <v>0.414069184970813</v>
      </c>
      <c r="BB286" s="236">
        <f ca="1" t="shared" si="101"/>
        <v>2.97724045444028</v>
      </c>
      <c r="BC286" s="236">
        <f ca="1" t="shared" si="102"/>
        <v>0.0141861945508201</v>
      </c>
      <c r="BD286" s="236">
        <f ca="1" t="shared" si="103"/>
        <v>0.00169765294626077</v>
      </c>
    </row>
    <row r="287" s="234" customFormat="1" ht="0.2" customHeight="1" spans="7:56">
      <c r="G287" s="236"/>
      <c r="H287" s="236">
        <f t="shared" si="104"/>
        <v>646</v>
      </c>
      <c r="I287" s="236">
        <f>IF($H287&gt;$H286,INDEX(Spectra!287:287,1,MATCH($I$20,Spectra!$20:$20,0)),I286)</f>
        <v>11.2307899844429</v>
      </c>
      <c r="J287" s="236">
        <f>((Physics!$C$9*Physics!$C$10)/(Physics!$C$11*Physics!$C$12*$H287))^($J$17-$J$18)</f>
        <v>3.25294987363733e+18</v>
      </c>
      <c r="K287" s="236">
        <f t="shared" si="105"/>
        <v>1</v>
      </c>
      <c r="L287" s="236">
        <f ca="1">INDEX(Photobiology!$21:$421,1+$H287-380,10)</f>
        <v>0.1315003</v>
      </c>
      <c r="M287" s="236">
        <f ca="1" t="shared" si="106"/>
        <v>11.2307899844429</v>
      </c>
      <c r="N287" s="236">
        <f ca="1">INDEX(Photobiology!$21:$421,1+$H287-380,N$14)</f>
        <v>2.05205974048559e-7</v>
      </c>
      <c r="O287" s="236">
        <f ca="1">INDEX(Photobiology!$21:$421,1+$H287-380,O$14)</f>
        <v>0.0288612409123016</v>
      </c>
      <c r="P287" s="236">
        <f ca="1">INDEX(Photobiology!$21:$421,1+$H287-380,P$14)</f>
        <v>0.212891342179281</v>
      </c>
      <c r="Q287" s="236">
        <f ca="1">INDEX(Photobiology!$21:$421,1+$H287-380,Q$14)</f>
        <v>0.000982892452067279</v>
      </c>
      <c r="R287" s="236">
        <f ca="1">INDEX(Photobiology!$21:$421,1+$H287-380,R$14)</f>
        <v>0.000117827591388933</v>
      </c>
      <c r="S287" s="236">
        <f ca="1" t="shared" si="107"/>
        <v>3.65331968607409e+19</v>
      </c>
      <c r="T287" s="236">
        <f ca="1">INDEX(Photobiology!$21:$421,1+$H287-380,T$14)</f>
        <v>1.39768774893755e-7</v>
      </c>
      <c r="U287" s="236">
        <f ca="1">INDEX(Photobiology!$21:$421,1+$H287-380,U$14)</f>
        <v>0.0242609468900381</v>
      </c>
      <c r="V287" s="236">
        <f ca="1">INDEX(Photobiology!$21:$421,1+$H287-380,V$14)</f>
        <v>0.187606784933642</v>
      </c>
      <c r="W287" s="236">
        <f ca="1">INDEX(Photobiology!$21:$421,1+$H287-380,W$14)</f>
        <v>0.000775563200716313</v>
      </c>
      <c r="X287" s="236">
        <f ca="1">INDEX(Photobiology!$21:$421,1+$H287-380,X$14)</f>
        <v>8.91508407523489e-5</v>
      </c>
      <c r="Y287" s="236">
        <f ca="1" t="shared" si="94"/>
        <v>11.2307899844429</v>
      </c>
      <c r="Z287" s="236">
        <f ca="1" t="shared" si="108"/>
        <v>2.30462519809241e-6</v>
      </c>
      <c r="AA287" s="236">
        <f ca="1" t="shared" si="95"/>
        <v>0.32413453537647</v>
      </c>
      <c r="AB287" s="236">
        <f ca="1" t="shared" si="96"/>
        <v>2.39093795352168</v>
      </c>
      <c r="AC287" s="236">
        <f ca="1" t="shared" si="97"/>
        <v>0.0110386587064617</v>
      </c>
      <c r="AD287" s="236">
        <f ca="1" t="shared" si="98"/>
        <v>0.00132329693326186</v>
      </c>
      <c r="AE287" s="236"/>
      <c r="AF287" s="236"/>
      <c r="AG287" s="236"/>
      <c r="AH287" s="236">
        <f t="shared" si="109"/>
        <v>646</v>
      </c>
      <c r="AI287" s="236">
        <f>IF($AH287&gt;$AH286,INDEX(Spectra!287:287,1,MATCH($AI$20,Spectra!$20:$20,0)),AI286)</f>
        <v>1</v>
      </c>
      <c r="AJ287" s="236">
        <f>((Physics!$C$9*Physics!$C$10)/(Physics!$C$11*Physics!$C$12*$AH287))^($AJ$17-$AJ$18)</f>
        <v>3.25294987363733e+18</v>
      </c>
      <c r="AK287" s="236">
        <f t="shared" si="110"/>
        <v>1</v>
      </c>
      <c r="AL287" s="236">
        <f ca="1">INDEX(Photobiology!$21:$421,1+$AH287-380,10)</f>
        <v>0.1315003</v>
      </c>
      <c r="AM287" s="236">
        <f ca="1" t="shared" si="111"/>
        <v>13.3319879209511</v>
      </c>
      <c r="AN287" s="236">
        <f ca="1">INDEX(Photobiology!$21:$421,1+$AH287-380,AN$14)</f>
        <v>2.05205974048559e-7</v>
      </c>
      <c r="AO287" s="236">
        <f ca="1">INDEX(Photobiology!$21:$421,1+$AH287-380,AO$14)</f>
        <v>0.0288612409123016</v>
      </c>
      <c r="AP287" s="236">
        <f ca="1">INDEX(Photobiology!$21:$421,1+$AH287-380,AP$14)</f>
        <v>0.212891342179281</v>
      </c>
      <c r="AQ287" s="236">
        <f ca="1">INDEX(Photobiology!$21:$421,1+$AH287-380,AQ$14)</f>
        <v>0.000982892452067279</v>
      </c>
      <c r="AR287" s="236">
        <f ca="1">INDEX(Photobiology!$21:$421,1+$AH287-380,AR$14)</f>
        <v>0.000117827591388933</v>
      </c>
      <c r="AS287" s="236">
        <f ca="1" t="shared" si="112"/>
        <v>4.33682884227924e+19</v>
      </c>
      <c r="AT287" s="236">
        <f ca="1">INDEX(Photobiology!$21:$421,1+$AH287-380,AT$14)</f>
        <v>1.39768774893755e-7</v>
      </c>
      <c r="AU287" s="236">
        <f ca="1">INDEX(Photobiology!$21:$421,1+$AH287-380,AU$14)</f>
        <v>0.0242609468900381</v>
      </c>
      <c r="AV287" s="236">
        <f ca="1">INDEX(Photobiology!$21:$421,1+$AH287-380,AV$14)</f>
        <v>0.187606784933642</v>
      </c>
      <c r="AW287" s="236">
        <f ca="1">INDEX(Photobiology!$21:$421,1+$AH287-380,AW$14)</f>
        <v>0.000775563200716313</v>
      </c>
      <c r="AX287" s="236">
        <f ca="1">INDEX(Photobiology!$21:$421,1+$AH287-380,AX$14)</f>
        <v>8.91508407523489e-5</v>
      </c>
      <c r="AY287" s="236">
        <f ca="1" t="shared" si="99"/>
        <v>13.3319879209511</v>
      </c>
      <c r="AZ287" s="236">
        <f ca="1" t="shared" si="113"/>
        <v>2.7358035673224e-6</v>
      </c>
      <c r="BA287" s="236">
        <f ca="1" t="shared" si="100"/>
        <v>0.384777715226466</v>
      </c>
      <c r="BB287" s="236">
        <f ca="1" t="shared" si="101"/>
        <v>2.83826480240925</v>
      </c>
      <c r="BC287" s="236">
        <f ca="1" t="shared" si="102"/>
        <v>0.013103910298555</v>
      </c>
      <c r="BD287" s="236">
        <f ca="1" t="shared" si="103"/>
        <v>0.00157087602515202</v>
      </c>
    </row>
    <row r="288" s="234" customFormat="1" ht="0.2" customHeight="1" spans="7:56">
      <c r="G288" s="236"/>
      <c r="H288" s="236">
        <f t="shared" si="104"/>
        <v>647</v>
      </c>
      <c r="I288" s="236">
        <f>IF($H288&gt;$H287,INDEX(Spectra!288:288,1,MATCH($I$20,Spectra!$20:$20,0)),I287)</f>
        <v>11.0731106761155</v>
      </c>
      <c r="J288" s="236">
        <f>((Physics!$C$9*Physics!$C$10)/(Physics!$C$11*Physics!$C$12*$H288))^($J$17-$J$18)</f>
        <v>3.25798539975751e+18</v>
      </c>
      <c r="K288" s="236">
        <f t="shared" si="105"/>
        <v>1</v>
      </c>
      <c r="L288" s="236">
        <f ca="1">INDEX(Photobiology!$21:$421,1+$H288-380,10)</f>
        <v>0.1250248</v>
      </c>
      <c r="M288" s="236">
        <f ca="1" t="shared" si="106"/>
        <v>11.0731106761155</v>
      </c>
      <c r="N288" s="236">
        <f ca="1">INDEX(Photobiology!$21:$421,1+$H288-380,N$14)</f>
        <v>1.91786485168173e-7</v>
      </c>
      <c r="O288" s="236">
        <f ca="1">INDEX(Photobiology!$21:$421,1+$H288-380,O$14)</f>
        <v>0.0268106905475287</v>
      </c>
      <c r="P288" s="236">
        <f ca="1">INDEX(Photobiology!$21:$421,1+$H288-380,P$14)</f>
        <v>0.202779010734093</v>
      </c>
      <c r="Q288" s="236">
        <f ca="1">INDEX(Photobiology!$21:$421,1+$H288-380,Q$14)</f>
        <v>0.000908071404918604</v>
      </c>
      <c r="R288" s="236">
        <f ca="1">INDEX(Photobiology!$21:$421,1+$H288-380,R$14)</f>
        <v>0.000109053096090195</v>
      </c>
      <c r="S288" s="236">
        <f ca="1" t="shared" si="107"/>
        <v>3.60760329126833e+19</v>
      </c>
      <c r="T288" s="236">
        <f ca="1">INDEX(Photobiology!$21:$421,1+$H288-380,T$14)</f>
        <v>1.30426666884074e-7</v>
      </c>
      <c r="U288" s="236">
        <f ca="1">INDEX(Photobiology!$21:$421,1+$H288-380,U$14)</f>
        <v>0.0225024074638798</v>
      </c>
      <c r="V288" s="236">
        <f ca="1">INDEX(Photobiology!$21:$421,1+$H288-380,V$14)</f>
        <v>0.178419278256416</v>
      </c>
      <c r="W288" s="236">
        <f ca="1">INDEX(Photobiology!$21:$421,1+$H288-380,W$14)</f>
        <v>0.00071541728962257</v>
      </c>
      <c r="X288" s="236">
        <f ca="1">INDEX(Photobiology!$21:$421,1+$H288-380,X$14)</f>
        <v>8.23843426039037e-5</v>
      </c>
      <c r="Y288" s="236">
        <f ca="1" t="shared" si="94"/>
        <v>11.0731106761155</v>
      </c>
      <c r="Z288" s="236">
        <f ca="1" t="shared" si="108"/>
        <v>2.12367297645036e-6</v>
      </c>
      <c r="AA288" s="236">
        <f ca="1" t="shared" si="95"/>
        <v>0.296877743735869</v>
      </c>
      <c r="AB288" s="236">
        <f ca="1" t="shared" si="96"/>
        <v>2.24539442865182</v>
      </c>
      <c r="AC288" s="236">
        <f ca="1" t="shared" si="97"/>
        <v>0.0100551751684794</v>
      </c>
      <c r="AD288" s="236">
        <f ca="1" t="shared" si="98"/>
        <v>0.00120755700257979</v>
      </c>
      <c r="AE288" s="236"/>
      <c r="AF288" s="236"/>
      <c r="AG288" s="236"/>
      <c r="AH288" s="236">
        <f t="shared" si="109"/>
        <v>647</v>
      </c>
      <c r="AI288" s="236">
        <f>IF($AH288&gt;$AH287,INDEX(Spectra!288:288,1,MATCH($AI$20,Spectra!$20:$20,0)),AI287)</f>
        <v>1</v>
      </c>
      <c r="AJ288" s="236">
        <f>((Physics!$C$9*Physics!$C$10)/(Physics!$C$11*Physics!$C$12*$AH288))^($AJ$17-$AJ$18)</f>
        <v>3.25798539975751e+18</v>
      </c>
      <c r="AK288" s="236">
        <f t="shared" si="110"/>
        <v>1</v>
      </c>
      <c r="AL288" s="236">
        <f ca="1">INDEX(Photobiology!$21:$421,1+$AH288-380,10)</f>
        <v>0.1250248</v>
      </c>
      <c r="AM288" s="236">
        <f ca="1" t="shared" si="111"/>
        <v>13.3319879209511</v>
      </c>
      <c r="AN288" s="236">
        <f ca="1">INDEX(Photobiology!$21:$421,1+$AH288-380,AN$14)</f>
        <v>1.91786485168173e-7</v>
      </c>
      <c r="AO288" s="236">
        <f ca="1">INDEX(Photobiology!$21:$421,1+$AH288-380,AO$14)</f>
        <v>0.0268106905475287</v>
      </c>
      <c r="AP288" s="236">
        <f ca="1">INDEX(Photobiology!$21:$421,1+$AH288-380,AP$14)</f>
        <v>0.202779010734093</v>
      </c>
      <c r="AQ288" s="236">
        <f ca="1">INDEX(Photobiology!$21:$421,1+$AH288-380,AQ$14)</f>
        <v>0.000908071404918604</v>
      </c>
      <c r="AR288" s="236">
        <f ca="1">INDEX(Photobiology!$21:$421,1+$AH288-380,AR$14)</f>
        <v>0.000109053096090195</v>
      </c>
      <c r="AS288" s="236">
        <f ca="1" t="shared" si="112"/>
        <v>4.34354219962023e+19</v>
      </c>
      <c r="AT288" s="236">
        <f ca="1">INDEX(Photobiology!$21:$421,1+$AH288-380,AT$14)</f>
        <v>1.30426666884074e-7</v>
      </c>
      <c r="AU288" s="236">
        <f ca="1">INDEX(Photobiology!$21:$421,1+$AH288-380,AU$14)</f>
        <v>0.0225024074638798</v>
      </c>
      <c r="AV288" s="236">
        <f ca="1">INDEX(Photobiology!$21:$421,1+$AH288-380,AV$14)</f>
        <v>0.178419278256416</v>
      </c>
      <c r="AW288" s="236">
        <f ca="1">INDEX(Photobiology!$21:$421,1+$AH288-380,AW$14)</f>
        <v>0.00071541728962257</v>
      </c>
      <c r="AX288" s="236">
        <f ca="1">INDEX(Photobiology!$21:$421,1+$AH288-380,AX$14)</f>
        <v>8.23843426039037e-5</v>
      </c>
      <c r="AY288" s="236">
        <f ca="1" t="shared" si="99"/>
        <v>13.3319879209511</v>
      </c>
      <c r="AZ288" s="236">
        <f ca="1" t="shared" si="113"/>
        <v>2.55689510366376e-6</v>
      </c>
      <c r="BA288" s="236">
        <f ca="1" t="shared" si="100"/>
        <v>0.357439802532012</v>
      </c>
      <c r="BB288" s="236">
        <f ca="1" t="shared" si="101"/>
        <v>2.70344732172935</v>
      </c>
      <c r="BC288" s="236">
        <f ca="1" t="shared" si="102"/>
        <v>0.012106397001736</v>
      </c>
      <c r="BD288" s="236">
        <f ca="1" t="shared" si="103"/>
        <v>0.0014538945598168</v>
      </c>
    </row>
    <row r="289" s="234" customFormat="1" ht="0.2" customHeight="1" spans="7:56">
      <c r="G289" s="236"/>
      <c r="H289" s="236">
        <f t="shared" si="104"/>
        <v>648</v>
      </c>
      <c r="I289" s="236">
        <f>IF($H289&gt;$H288,INDEX(Spectra!289:289,1,MATCH($I$20,Spectra!$20:$20,0)),I288)</f>
        <v>10.873154262209</v>
      </c>
      <c r="J289" s="236">
        <f>((Physics!$C$9*Physics!$C$10)/(Physics!$C$11*Physics!$C$12*$H289))^($J$17-$J$18)</f>
        <v>3.26302092587769e+18</v>
      </c>
      <c r="K289" s="236">
        <f t="shared" si="105"/>
        <v>1</v>
      </c>
      <c r="L289" s="236">
        <f ca="1">INDEX(Photobiology!$21:$421,1+$H289-380,10)</f>
        <v>0.1187792</v>
      </c>
      <c r="M289" s="236">
        <f ca="1" t="shared" si="106"/>
        <v>10.873154262209</v>
      </c>
      <c r="N289" s="236">
        <f ca="1">INDEX(Photobiology!$21:$421,1+$H289-380,N$14)</f>
        <v>1.79282541455965e-7</v>
      </c>
      <c r="O289" s="236">
        <f ca="1">INDEX(Photobiology!$21:$421,1+$H289-380,O$14)</f>
        <v>0.0248980881387157</v>
      </c>
      <c r="P289" s="236">
        <f ca="1">INDEX(Photobiology!$21:$421,1+$H289-380,P$14)</f>
        <v>0.192981643194478</v>
      </c>
      <c r="Q289" s="236">
        <f ca="1">INDEX(Photobiology!$21:$421,1+$H289-380,Q$14)</f>
        <v>0.000839100538879648</v>
      </c>
      <c r="R289" s="236">
        <f ca="1">INDEX(Photobiology!$21:$421,1+$H289-380,R$14)</f>
        <v>0.000100954573877865</v>
      </c>
      <c r="S289" s="236">
        <f ca="1" t="shared" si="107"/>
        <v>3.54793298878842e+19</v>
      </c>
      <c r="T289" s="236">
        <f ca="1">INDEX(Photobiology!$21:$421,1+$H289-380,T$14)</f>
        <v>1.2173505901331e-7</v>
      </c>
      <c r="U289" s="236">
        <f ca="1">INDEX(Photobiology!$21:$421,1+$H289-380,U$14)</f>
        <v>0.0208648976767721</v>
      </c>
      <c r="V289" s="236">
        <f ca="1">INDEX(Photobiology!$21:$421,1+$H289-380,V$14)</f>
        <v>0.169536827878023</v>
      </c>
      <c r="W289" s="236">
        <f ca="1">INDEX(Photobiology!$21:$421,1+$H289-380,W$14)</f>
        <v>0.000660058922962318</v>
      </c>
      <c r="X289" s="236">
        <f ca="1">INDEX(Photobiology!$21:$421,1+$H289-380,X$14)</f>
        <v>7.61486056368208e-5</v>
      </c>
      <c r="Y289" s="236">
        <f ca="1" t="shared" si="94"/>
        <v>10.873154262209</v>
      </c>
      <c r="Z289" s="236">
        <f ca="1" t="shared" si="108"/>
        <v>1.94936672977159e-6</v>
      </c>
      <c r="AA289" s="236">
        <f ca="1" t="shared" si="95"/>
        <v>0.270720753166332</v>
      </c>
      <c r="AB289" s="236">
        <f ca="1" t="shared" si="96"/>
        <v>2.09831917622814</v>
      </c>
      <c r="AC289" s="236">
        <f ca="1" t="shared" si="97"/>
        <v>0.00912366960074111</v>
      </c>
      <c r="AD289" s="236">
        <f ca="1" t="shared" si="98"/>
        <v>0.0010976946552496</v>
      </c>
      <c r="AE289" s="236"/>
      <c r="AF289" s="236"/>
      <c r="AG289" s="236"/>
      <c r="AH289" s="236">
        <f t="shared" si="109"/>
        <v>648</v>
      </c>
      <c r="AI289" s="236">
        <f>IF($AH289&gt;$AH288,INDEX(Spectra!289:289,1,MATCH($AI$20,Spectra!$20:$20,0)),AI288)</f>
        <v>1</v>
      </c>
      <c r="AJ289" s="236">
        <f>((Physics!$C$9*Physics!$C$10)/(Physics!$C$11*Physics!$C$12*$AH289))^($AJ$17-$AJ$18)</f>
        <v>3.26302092587769e+18</v>
      </c>
      <c r="AK289" s="236">
        <f t="shared" si="110"/>
        <v>1</v>
      </c>
      <c r="AL289" s="236">
        <f ca="1">INDEX(Photobiology!$21:$421,1+$AH289-380,10)</f>
        <v>0.1187792</v>
      </c>
      <c r="AM289" s="236">
        <f ca="1" t="shared" si="111"/>
        <v>13.3319879209511</v>
      </c>
      <c r="AN289" s="236">
        <f ca="1">INDEX(Photobiology!$21:$421,1+$AH289-380,AN$14)</f>
        <v>1.79282541455965e-7</v>
      </c>
      <c r="AO289" s="236">
        <f ca="1">INDEX(Photobiology!$21:$421,1+$AH289-380,AO$14)</f>
        <v>0.0248980881387157</v>
      </c>
      <c r="AP289" s="236">
        <f ca="1">INDEX(Photobiology!$21:$421,1+$AH289-380,AP$14)</f>
        <v>0.192981643194478</v>
      </c>
      <c r="AQ289" s="236">
        <f ca="1">INDEX(Photobiology!$21:$421,1+$AH289-380,AQ$14)</f>
        <v>0.000839100538879648</v>
      </c>
      <c r="AR289" s="236">
        <f ca="1">INDEX(Photobiology!$21:$421,1+$AH289-380,AR$14)</f>
        <v>0.000100954573877865</v>
      </c>
      <c r="AS289" s="236">
        <f ca="1" t="shared" si="112"/>
        <v>4.35025555696122e+19</v>
      </c>
      <c r="AT289" s="236">
        <f ca="1">INDEX(Photobiology!$21:$421,1+$AH289-380,AT$14)</f>
        <v>1.2173505901331e-7</v>
      </c>
      <c r="AU289" s="236">
        <f ca="1">INDEX(Photobiology!$21:$421,1+$AH289-380,AU$14)</f>
        <v>0.0208648976767721</v>
      </c>
      <c r="AV289" s="236">
        <f ca="1">INDEX(Photobiology!$21:$421,1+$AH289-380,AV$14)</f>
        <v>0.169536827878023</v>
      </c>
      <c r="AW289" s="236">
        <f ca="1">INDEX(Photobiology!$21:$421,1+$AH289-380,AW$14)</f>
        <v>0.000660058922962318</v>
      </c>
      <c r="AX289" s="236">
        <f ca="1">INDEX(Photobiology!$21:$421,1+$AH289-380,AX$14)</f>
        <v>7.61486056368208e-5</v>
      </c>
      <c r="AY289" s="236">
        <f ca="1" t="shared" si="99"/>
        <v>13.3319879209511</v>
      </c>
      <c r="AZ289" s="236">
        <f ca="1" t="shared" si="113"/>
        <v>2.39019267712835e-6</v>
      </c>
      <c r="BA289" s="236">
        <f ca="1" t="shared" si="100"/>
        <v>0.331941010320135</v>
      </c>
      <c r="BB289" s="236">
        <f ca="1" t="shared" si="101"/>
        <v>2.57282893603408</v>
      </c>
      <c r="BC289" s="236">
        <f ca="1" t="shared" si="102"/>
        <v>0.0111868782488071</v>
      </c>
      <c r="BD289" s="236">
        <f ca="1" t="shared" si="103"/>
        <v>0.00134592515950447</v>
      </c>
    </row>
    <row r="290" s="234" customFormat="1" ht="0.2" customHeight="1" spans="7:56">
      <c r="G290" s="236"/>
      <c r="H290" s="236">
        <f t="shared" si="104"/>
        <v>649</v>
      </c>
      <c r="I290" s="236">
        <f>IF($H290&gt;$H289,INDEX(Spectra!290:290,1,MATCH($I$20,Spectra!$20:$20,0)),I289)</f>
        <v>10.6907593014405</v>
      </c>
      <c r="J290" s="236">
        <f>((Physics!$C$9*Physics!$C$10)/(Physics!$C$11*Physics!$C$12*$H290))^($J$17-$J$18)</f>
        <v>3.26805645199787e+18</v>
      </c>
      <c r="K290" s="236">
        <f t="shared" si="105"/>
        <v>1</v>
      </c>
      <c r="L290" s="236">
        <f ca="1">INDEX(Photobiology!$21:$421,1+$H290-380,10)</f>
        <v>0.1127691</v>
      </c>
      <c r="M290" s="236">
        <f ca="1" t="shared" si="106"/>
        <v>10.6907593014405</v>
      </c>
      <c r="N290" s="236">
        <f ca="1">INDEX(Photobiology!$21:$421,1+$H290-380,N$14)</f>
        <v>1.67629326456993e-7</v>
      </c>
      <c r="O290" s="236">
        <f ca="1">INDEX(Photobiology!$21:$421,1+$H290-380,O$14)</f>
        <v>0.0231153247887056</v>
      </c>
      <c r="P290" s="236">
        <f ca="1">INDEX(Photobiology!$21:$421,1+$H290-380,P$14)</f>
        <v>0.183500816070397</v>
      </c>
      <c r="Q290" s="236">
        <f ca="1">INDEX(Photobiology!$21:$421,1+$H290-380,Q$14)</f>
        <v>0.00077551463866854</v>
      </c>
      <c r="R290" s="236">
        <f ca="1">INDEX(Photobiology!$21:$421,1+$H290-380,R$14)</f>
        <v>9.34783418224124e-5</v>
      </c>
      <c r="S290" s="236">
        <f ca="1" t="shared" si="107"/>
        <v>3.49380049118289e+19</v>
      </c>
      <c r="T290" s="236">
        <f ca="1">INDEX(Photobiology!$21:$421,1+$H290-380,T$14)</f>
        <v>1.13647000987792e-7</v>
      </c>
      <c r="U290" s="236">
        <f ca="1">INDEX(Photobiology!$21:$421,1+$H290-380,U$14)</f>
        <v>0.0193410731867102</v>
      </c>
      <c r="V290" s="236">
        <f ca="1">INDEX(Photobiology!$21:$421,1+$H290-380,V$14)</f>
        <v>0.160959406526919</v>
      </c>
      <c r="W290" s="236">
        <f ca="1">INDEX(Photobiology!$21:$421,1+$H290-380,W$14)</f>
        <v>0.00060910058341712</v>
      </c>
      <c r="X290" s="236">
        <f ca="1">INDEX(Photobiology!$21:$421,1+$H290-380,X$14)</f>
        <v>7.04007465277409e-5</v>
      </c>
      <c r="Y290" s="236">
        <f ca="1" t="shared" si="94"/>
        <v>10.6907593014405</v>
      </c>
      <c r="Z290" s="236">
        <f ca="1" t="shared" si="108"/>
        <v>1.7920847810143e-6</v>
      </c>
      <c r="AA290" s="236">
        <f ca="1" t="shared" si="95"/>
        <v>0.247120373490673</v>
      </c>
      <c r="AB290" s="236">
        <f ca="1" t="shared" si="96"/>
        <v>1.96176305622652</v>
      </c>
      <c r="AC290" s="236">
        <f ca="1" t="shared" si="97"/>
        <v>0.00829084033674896</v>
      </c>
      <c r="AD290" s="236">
        <f ca="1" t="shared" si="98"/>
        <v>0.00099935445232119</v>
      </c>
      <c r="AE290" s="236"/>
      <c r="AF290" s="236"/>
      <c r="AG290" s="236"/>
      <c r="AH290" s="236">
        <f t="shared" si="109"/>
        <v>649</v>
      </c>
      <c r="AI290" s="236">
        <f>IF($AH290&gt;$AH289,INDEX(Spectra!290:290,1,MATCH($AI$20,Spectra!$20:$20,0)),AI289)</f>
        <v>1</v>
      </c>
      <c r="AJ290" s="236">
        <f>((Physics!$C$9*Physics!$C$10)/(Physics!$C$11*Physics!$C$12*$AH290))^($AJ$17-$AJ$18)</f>
        <v>3.26805645199787e+18</v>
      </c>
      <c r="AK290" s="236">
        <f t="shared" si="110"/>
        <v>1</v>
      </c>
      <c r="AL290" s="236">
        <f ca="1">INDEX(Photobiology!$21:$421,1+$AH290-380,10)</f>
        <v>0.1127691</v>
      </c>
      <c r="AM290" s="236">
        <f ca="1" t="shared" si="111"/>
        <v>13.3319879209511</v>
      </c>
      <c r="AN290" s="236">
        <f ca="1">INDEX(Photobiology!$21:$421,1+$AH290-380,AN$14)</f>
        <v>1.67629326456993e-7</v>
      </c>
      <c r="AO290" s="236">
        <f ca="1">INDEX(Photobiology!$21:$421,1+$AH290-380,AO$14)</f>
        <v>0.0231153247887056</v>
      </c>
      <c r="AP290" s="236">
        <f ca="1">INDEX(Photobiology!$21:$421,1+$AH290-380,AP$14)</f>
        <v>0.183500816070397</v>
      </c>
      <c r="AQ290" s="236">
        <f ca="1">INDEX(Photobiology!$21:$421,1+$AH290-380,AQ$14)</f>
        <v>0.00077551463866854</v>
      </c>
      <c r="AR290" s="236">
        <f ca="1">INDEX(Photobiology!$21:$421,1+$AH290-380,AR$14)</f>
        <v>9.34783418224124e-5</v>
      </c>
      <c r="AS290" s="236">
        <f ca="1" t="shared" si="112"/>
        <v>4.35696891430221e+19</v>
      </c>
      <c r="AT290" s="236">
        <f ca="1">INDEX(Photobiology!$21:$421,1+$AH290-380,AT$14)</f>
        <v>1.13647000987792e-7</v>
      </c>
      <c r="AU290" s="236">
        <f ca="1">INDEX(Photobiology!$21:$421,1+$AH290-380,AU$14)</f>
        <v>0.0193410731867102</v>
      </c>
      <c r="AV290" s="236">
        <f ca="1">INDEX(Photobiology!$21:$421,1+$AH290-380,AV$14)</f>
        <v>0.160959406526919</v>
      </c>
      <c r="AW290" s="236">
        <f ca="1">INDEX(Photobiology!$21:$421,1+$AH290-380,AW$14)</f>
        <v>0.00060910058341712</v>
      </c>
      <c r="AX290" s="236">
        <f ca="1">INDEX(Photobiology!$21:$421,1+$AH290-380,AX$14)</f>
        <v>7.04007465277409e-5</v>
      </c>
      <c r="AY290" s="236">
        <f ca="1" t="shared" si="99"/>
        <v>13.3319879209511</v>
      </c>
      <c r="AZ290" s="236">
        <f ca="1" t="shared" si="113"/>
        <v>2.23483215552181e-6</v>
      </c>
      <c r="BA290" s="236">
        <f ca="1" t="shared" si="100"/>
        <v>0.308173230871886</v>
      </c>
      <c r="BB290" s="236">
        <f ca="1" t="shared" si="101"/>
        <v>2.44643066333521</v>
      </c>
      <c r="BC290" s="236">
        <f ca="1" t="shared" si="102"/>
        <v>0.0103391517952498</v>
      </c>
      <c r="BD290" s="236">
        <f ca="1" t="shared" si="103"/>
        <v>0.00124625212404694</v>
      </c>
    </row>
    <row r="291" s="234" customFormat="1" ht="0.2" customHeight="1" spans="7:56">
      <c r="G291" s="236"/>
      <c r="H291" s="236">
        <f t="shared" si="104"/>
        <v>650</v>
      </c>
      <c r="I291" s="236">
        <f>IF($H291&gt;$H290,INDEX(Spectra!291:291,1,MATCH($I$20,Spectra!$20:$20,0)),I290)</f>
        <v>10.5662873114981</v>
      </c>
      <c r="J291" s="236">
        <f>((Physics!$C$9*Physics!$C$10)/(Physics!$C$11*Physics!$C$12*$H291))^($J$17-$J$18)</f>
        <v>3.27309197811805e+18</v>
      </c>
      <c r="K291" s="236">
        <f t="shared" si="105"/>
        <v>1</v>
      </c>
      <c r="L291" s="236">
        <f ca="1">INDEX(Photobiology!$21:$421,1+$H291-380,10)</f>
        <v>0.107</v>
      </c>
      <c r="M291" s="236">
        <f ca="1" t="shared" si="106"/>
        <v>10.5662873114981</v>
      </c>
      <c r="N291" s="236">
        <f ca="1">INDEX(Photobiology!$21:$421,1+$H291-380,N$14)</f>
        <v>1.56766766284493e-7</v>
      </c>
      <c r="O291" s="236">
        <f ca="1">INDEX(Photobiology!$21:$421,1+$H291-380,O$14)</f>
        <v>0.0214544803535294</v>
      </c>
      <c r="P291" s="236">
        <f ca="1">INDEX(Photobiology!$21:$421,1+$H291-380,P$14)</f>
        <v>0.17433757470123</v>
      </c>
      <c r="Q291" s="236">
        <f ca="1">INDEX(Photobiology!$21:$421,1+$H291-380,Q$14)</f>
        <v>0.000716882534923488</v>
      </c>
      <c r="R291" s="236">
        <f ca="1">INDEX(Photobiology!$21:$421,1+$H291-380,R$14)</f>
        <v>8.65750996290546e-5</v>
      </c>
      <c r="S291" s="236">
        <f ca="1" t="shared" si="107"/>
        <v>3.4584430237755e+19</v>
      </c>
      <c r="T291" s="236">
        <f ca="1">INDEX(Photobiology!$21:$421,1+$H291-380,T$14)</f>
        <v>1.0611904179258e-7</v>
      </c>
      <c r="U291" s="236">
        <f ca="1">INDEX(Photobiology!$21:$421,1+$H291-380,U$14)</f>
        <v>0.0179237925383846</v>
      </c>
      <c r="V291" s="236">
        <f ca="1">INDEX(Photobiology!$21:$421,1+$H291-380,V$14)</f>
        <v>0.152686521895091</v>
      </c>
      <c r="W291" s="236">
        <f ca="1">INDEX(Photobiology!$21:$421,1+$H291-380,W$14)</f>
        <v>0.000562183837417284</v>
      </c>
      <c r="X291" s="236">
        <f ca="1">INDEX(Photobiology!$21:$421,1+$H291-380,X$14)</f>
        <v>6.51014414384478e-5</v>
      </c>
      <c r="Y291" s="236">
        <f ca="1" t="shared" si="94"/>
        <v>10.5662873114981</v>
      </c>
      <c r="Z291" s="236">
        <f ca="1" t="shared" si="108"/>
        <v>1.65644269345643e-6</v>
      </c>
      <c r="AA291" s="236">
        <f ca="1" t="shared" si="95"/>
        <v>0.226694203534283</v>
      </c>
      <c r="AB291" s="236">
        <f ca="1" t="shared" si="96"/>
        <v>1.84210090348296</v>
      </c>
      <c r="AC291" s="236">
        <f ca="1" t="shared" si="97"/>
        <v>0.00757478683259664</v>
      </c>
      <c r="AD291" s="236">
        <f ca="1" t="shared" si="98"/>
        <v>0.000914777376702163</v>
      </c>
      <c r="AE291" s="236"/>
      <c r="AF291" s="236"/>
      <c r="AG291" s="236"/>
      <c r="AH291" s="236">
        <f t="shared" si="109"/>
        <v>650</v>
      </c>
      <c r="AI291" s="236">
        <f>IF($AH291&gt;$AH290,INDEX(Spectra!291:291,1,MATCH($AI$20,Spectra!$20:$20,0)),AI290)</f>
        <v>1</v>
      </c>
      <c r="AJ291" s="236">
        <f>((Physics!$C$9*Physics!$C$10)/(Physics!$C$11*Physics!$C$12*$AH291))^($AJ$17-$AJ$18)</f>
        <v>3.27309197811805e+18</v>
      </c>
      <c r="AK291" s="236">
        <f t="shared" si="110"/>
        <v>1</v>
      </c>
      <c r="AL291" s="236">
        <f ca="1">INDEX(Photobiology!$21:$421,1+$AH291-380,10)</f>
        <v>0.107</v>
      </c>
      <c r="AM291" s="236">
        <f ca="1" t="shared" si="111"/>
        <v>13.3319879209511</v>
      </c>
      <c r="AN291" s="236">
        <f ca="1">INDEX(Photobiology!$21:$421,1+$AH291-380,AN$14)</f>
        <v>1.56766766284493e-7</v>
      </c>
      <c r="AO291" s="236">
        <f ca="1">INDEX(Photobiology!$21:$421,1+$AH291-380,AO$14)</f>
        <v>0.0214544803535294</v>
      </c>
      <c r="AP291" s="236">
        <f ca="1">INDEX(Photobiology!$21:$421,1+$AH291-380,AP$14)</f>
        <v>0.17433757470123</v>
      </c>
      <c r="AQ291" s="236">
        <f ca="1">INDEX(Photobiology!$21:$421,1+$AH291-380,AQ$14)</f>
        <v>0.000716882534923488</v>
      </c>
      <c r="AR291" s="236">
        <f ca="1">INDEX(Photobiology!$21:$421,1+$AH291-380,AR$14)</f>
        <v>8.65750996290546e-5</v>
      </c>
      <c r="AS291" s="236">
        <f ca="1" t="shared" si="112"/>
        <v>4.3636822716432e+19</v>
      </c>
      <c r="AT291" s="236">
        <f ca="1">INDEX(Photobiology!$21:$421,1+$AH291-380,AT$14)</f>
        <v>1.0611904179258e-7</v>
      </c>
      <c r="AU291" s="236">
        <f ca="1">INDEX(Photobiology!$21:$421,1+$AH291-380,AU$14)</f>
        <v>0.0179237925383846</v>
      </c>
      <c r="AV291" s="236">
        <f ca="1">INDEX(Photobiology!$21:$421,1+$AH291-380,AV$14)</f>
        <v>0.152686521895091</v>
      </c>
      <c r="AW291" s="236">
        <f ca="1">INDEX(Photobiology!$21:$421,1+$AH291-380,AW$14)</f>
        <v>0.000562183837417284</v>
      </c>
      <c r="AX291" s="236">
        <f ca="1">INDEX(Photobiology!$21:$421,1+$AH291-380,AX$14)</f>
        <v>6.51014414384478e-5</v>
      </c>
      <c r="AY291" s="236">
        <f ca="1" t="shared" si="99"/>
        <v>13.3319879209511</v>
      </c>
      <c r="AZ291" s="236">
        <f ca="1" t="shared" si="113"/>
        <v>2.09001263451143e-6</v>
      </c>
      <c r="BA291" s="236">
        <f ca="1" t="shared" si="100"/>
        <v>0.286030872923538</v>
      </c>
      <c r="BB291" s="236">
        <f ca="1" t="shared" si="101"/>
        <v>2.32426644008472</v>
      </c>
      <c r="BC291" s="236">
        <f ca="1" t="shared" si="102"/>
        <v>0.00955746929634078</v>
      </c>
      <c r="BD291" s="236">
        <f ca="1" t="shared" si="103"/>
        <v>0.0011542181825097</v>
      </c>
    </row>
    <row r="292" s="234" customFormat="1" ht="0.2" customHeight="1" spans="7:56">
      <c r="G292" s="236"/>
      <c r="H292" s="236">
        <f t="shared" si="104"/>
        <v>651</v>
      </c>
      <c r="I292" s="236">
        <f>IF($H292&gt;$H291,INDEX(Spectra!292:292,1,MATCH($I$20,Spectra!$20:$20,0)),I291)</f>
        <v>10.3765491849845</v>
      </c>
      <c r="J292" s="236">
        <f>((Physics!$C$9*Physics!$C$10)/(Physics!$C$11*Physics!$C$12*$H292))^($J$17-$J$18)</f>
        <v>3.27812750423824e+18</v>
      </c>
      <c r="K292" s="236">
        <f t="shared" si="105"/>
        <v>1</v>
      </c>
      <c r="L292" s="236">
        <f ca="1">INDEX(Photobiology!$21:$421,1+$H292-380,10)</f>
        <v>0.1014762</v>
      </c>
      <c r="M292" s="236">
        <f ca="1" t="shared" si="106"/>
        <v>10.3765491849845</v>
      </c>
      <c r="N292" s="236">
        <f ca="1">INDEX(Photobiology!$21:$421,1+$H292-380,N$14)</f>
        <v>1.46639172097371e-7</v>
      </c>
      <c r="O292" s="236">
        <f ca="1">INDEX(Photobiology!$21:$421,1+$H292-380,O$14)</f>
        <v>0.0199081085457941</v>
      </c>
      <c r="P292" s="236">
        <f ca="1">INDEX(Photobiology!$21:$421,1+$H292-380,P$14)</f>
        <v>0.165492379338374</v>
      </c>
      <c r="Q292" s="236">
        <f ca="1">INDEX(Photobiology!$21:$421,1+$H292-380,Q$14)</f>
        <v>0.000662809920456999</v>
      </c>
      <c r="R292" s="236">
        <f ca="1">INDEX(Photobiology!$21:$421,1+$H292-380,R$14)</f>
        <v>8.01995626564924e-5</v>
      </c>
      <c r="S292" s="236">
        <f ca="1" t="shared" si="107"/>
        <v>3.40156512823786e+19</v>
      </c>
      <c r="T292" s="236">
        <f ca="1">INDEX(Photobiology!$21:$421,1+$H292-380,T$14)</f>
        <v>9.91109611718022e-8</v>
      </c>
      <c r="U292" s="236">
        <f ca="1">INDEX(Photobiology!$21:$421,1+$H292-380,U$14)</f>
        <v>0.0166063534239702</v>
      </c>
      <c r="V292" s="236">
        <f ca="1">INDEX(Photobiology!$21:$421,1+$H292-380,V$14)</f>
        <v>0.144717173060922</v>
      </c>
      <c r="W292" s="236">
        <f ca="1">INDEX(Photobiology!$21:$421,1+$H292-380,W$14)</f>
        <v>0.000518981316896306</v>
      </c>
      <c r="X292" s="236">
        <f ca="1">INDEX(Photobiology!$21:$421,1+$H292-380,X$14)</f>
        <v>6.02146231441176e-5</v>
      </c>
      <c r="Y292" s="236">
        <f ca="1" t="shared" si="94"/>
        <v>10.3765491849845</v>
      </c>
      <c r="Z292" s="236">
        <f ca="1" t="shared" si="108"/>
        <v>1.52160858171378e-6</v>
      </c>
      <c r="AA292" s="236">
        <f ca="1" t="shared" si="95"/>
        <v>0.206577467505443</v>
      </c>
      <c r="AB292" s="236">
        <f ca="1" t="shared" si="96"/>
        <v>1.71723981394475</v>
      </c>
      <c r="AC292" s="236">
        <f ca="1" t="shared" si="97"/>
        <v>0.00687767973991771</v>
      </c>
      <c r="AD292" s="236">
        <f ca="1" t="shared" si="98"/>
        <v>0.00083219470651934</v>
      </c>
      <c r="AE292" s="236"/>
      <c r="AF292" s="236"/>
      <c r="AG292" s="236"/>
      <c r="AH292" s="236">
        <f t="shared" si="109"/>
        <v>651</v>
      </c>
      <c r="AI292" s="236">
        <f>IF($AH292&gt;$AH291,INDEX(Spectra!292:292,1,MATCH($AI$20,Spectra!$20:$20,0)),AI291)</f>
        <v>1</v>
      </c>
      <c r="AJ292" s="236">
        <f>((Physics!$C$9*Physics!$C$10)/(Physics!$C$11*Physics!$C$12*$AH292))^($AJ$17-$AJ$18)</f>
        <v>3.27812750423824e+18</v>
      </c>
      <c r="AK292" s="236">
        <f t="shared" si="110"/>
        <v>1</v>
      </c>
      <c r="AL292" s="236">
        <f ca="1">INDEX(Photobiology!$21:$421,1+$AH292-380,10)</f>
        <v>0.1014762</v>
      </c>
      <c r="AM292" s="236">
        <f ca="1" t="shared" si="111"/>
        <v>13.3319879209511</v>
      </c>
      <c r="AN292" s="236">
        <f ca="1">INDEX(Photobiology!$21:$421,1+$AH292-380,AN$14)</f>
        <v>1.46639172097371e-7</v>
      </c>
      <c r="AO292" s="236">
        <f ca="1">INDEX(Photobiology!$21:$421,1+$AH292-380,AO$14)</f>
        <v>0.0199081085457941</v>
      </c>
      <c r="AP292" s="236">
        <f ca="1">INDEX(Photobiology!$21:$421,1+$AH292-380,AP$14)</f>
        <v>0.165492379338374</v>
      </c>
      <c r="AQ292" s="236">
        <f ca="1">INDEX(Photobiology!$21:$421,1+$AH292-380,AQ$14)</f>
        <v>0.000662809920456999</v>
      </c>
      <c r="AR292" s="236">
        <f ca="1">INDEX(Photobiology!$21:$421,1+$AH292-380,AR$14)</f>
        <v>8.01995626564924e-5</v>
      </c>
      <c r="AS292" s="236">
        <f ca="1" t="shared" si="112"/>
        <v>4.37039562898419e+19</v>
      </c>
      <c r="AT292" s="236">
        <f ca="1">INDEX(Photobiology!$21:$421,1+$AH292-380,AT$14)</f>
        <v>9.91109611718022e-8</v>
      </c>
      <c r="AU292" s="236">
        <f ca="1">INDEX(Photobiology!$21:$421,1+$AH292-380,AU$14)</f>
        <v>0.0166063534239702</v>
      </c>
      <c r="AV292" s="236">
        <f ca="1">INDEX(Photobiology!$21:$421,1+$AH292-380,AV$14)</f>
        <v>0.144717173060922</v>
      </c>
      <c r="AW292" s="236">
        <f ca="1">INDEX(Photobiology!$21:$421,1+$AH292-380,AW$14)</f>
        <v>0.000518981316896306</v>
      </c>
      <c r="AX292" s="236">
        <f ca="1">INDEX(Photobiology!$21:$421,1+$AH292-380,AX$14)</f>
        <v>6.02146231441176e-5</v>
      </c>
      <c r="AY292" s="236">
        <f ca="1" t="shared" si="99"/>
        <v>13.3319879209511</v>
      </c>
      <c r="AZ292" s="236">
        <f ca="1" t="shared" si="113"/>
        <v>1.95499167114043e-6</v>
      </c>
      <c r="BA292" s="236">
        <f ca="1" t="shared" si="100"/>
        <v>0.265414662661511</v>
      </c>
      <c r="BB292" s="236">
        <f ca="1" t="shared" si="101"/>
        <v>2.20634240234867</v>
      </c>
      <c r="BC292" s="236">
        <f ca="1" t="shared" si="102"/>
        <v>0.0088365738534193</v>
      </c>
      <c r="BD292" s="236">
        <f ca="1" t="shared" si="103"/>
        <v>0.00106921960060192</v>
      </c>
    </row>
    <row r="293" s="234" customFormat="1" ht="0.2" customHeight="1" spans="7:56">
      <c r="G293" s="236"/>
      <c r="H293" s="236">
        <f t="shared" si="104"/>
        <v>652</v>
      </c>
      <c r="I293" s="236">
        <f>IF($H293&gt;$H292,INDEX(Spectra!293:293,1,MATCH($I$20,Spectra!$20:$20,0)),I292)</f>
        <v>10.2468707036746</v>
      </c>
      <c r="J293" s="236">
        <f>((Physics!$C$9*Physics!$C$10)/(Physics!$C$11*Physics!$C$12*$H293))^($J$17-$J$18)</f>
        <v>3.28316303035842e+18</v>
      </c>
      <c r="K293" s="236">
        <f t="shared" si="105"/>
        <v>1</v>
      </c>
      <c r="L293" s="236">
        <f ca="1">INDEX(Photobiology!$21:$421,1+$H293-380,10)</f>
        <v>0.09618864</v>
      </c>
      <c r="M293" s="236">
        <f ca="1" t="shared" si="106"/>
        <v>10.2468707036746</v>
      </c>
      <c r="N293" s="236">
        <f ca="1">INDEX(Photobiology!$21:$421,1+$H293-380,N$14)</f>
        <v>1.37194278471508e-7</v>
      </c>
      <c r="O293" s="236">
        <f ca="1">INDEX(Photobiology!$21:$421,1+$H293-380,O$14)</f>
        <v>0.0184690688378418</v>
      </c>
      <c r="P293" s="236">
        <f ca="1">INDEX(Photobiology!$21:$421,1+$H293-380,P$14)</f>
        <v>0.15696506347543</v>
      </c>
      <c r="Q293" s="236">
        <f ca="1">INDEX(Photobiology!$21:$421,1+$H293-380,Q$14)</f>
        <v>0.000612932994107832</v>
      </c>
      <c r="R293" s="236">
        <f ca="1">INDEX(Photobiology!$21:$421,1+$H293-380,R$14)</f>
        <v>7.43102975000889e-5</v>
      </c>
      <c r="S293" s="236">
        <f ca="1" t="shared" si="107"/>
        <v>3.36421470711672e+19</v>
      </c>
      <c r="T293" s="236">
        <f ca="1">INDEX(Photobiology!$21:$421,1+$H293-380,T$14)</f>
        <v>9.25850959010177e-8</v>
      </c>
      <c r="U293" s="236">
        <f ca="1">INDEX(Photobiology!$21:$421,1+$H293-380,U$14)</f>
        <v>0.0153823493124692</v>
      </c>
      <c r="V293" s="236">
        <f ca="1">INDEX(Photobiology!$21:$421,1+$H293-380,V$14)</f>
        <v>0.137049818006727</v>
      </c>
      <c r="W293" s="236">
        <f ca="1">INDEX(Photobiology!$21:$421,1+$H293-380,W$14)</f>
        <v>0.000479191511816788</v>
      </c>
      <c r="X293" s="236">
        <f ca="1">INDEX(Photobiology!$21:$421,1+$H293-380,X$14)</f>
        <v>5.57073328028512e-5</v>
      </c>
      <c r="Y293" s="236">
        <f ca="1" t="shared" si="94"/>
        <v>10.2468707036746</v>
      </c>
      <c r="Z293" s="236">
        <f ca="1" t="shared" si="108"/>
        <v>1.40581203278147e-6</v>
      </c>
      <c r="AA293" s="236">
        <f ca="1" t="shared" si="95"/>
        <v>0.189250160398631</v>
      </c>
      <c r="AB293" s="236">
        <f ca="1" t="shared" si="96"/>
        <v>1.60840071042681</v>
      </c>
      <c r="AC293" s="236">
        <f ca="1" t="shared" si="97"/>
        <v>0.0062806451406391</v>
      </c>
      <c r="AD293" s="236">
        <f ca="1" t="shared" si="98"/>
        <v>0.000761448010435005</v>
      </c>
      <c r="AE293" s="236"/>
      <c r="AF293" s="236"/>
      <c r="AG293" s="236"/>
      <c r="AH293" s="236">
        <f t="shared" si="109"/>
        <v>652</v>
      </c>
      <c r="AI293" s="236">
        <f>IF($AH293&gt;$AH292,INDEX(Spectra!293:293,1,MATCH($AI$20,Spectra!$20:$20,0)),AI292)</f>
        <v>1</v>
      </c>
      <c r="AJ293" s="236">
        <f>((Physics!$C$9*Physics!$C$10)/(Physics!$C$11*Physics!$C$12*$AH293))^($AJ$17-$AJ$18)</f>
        <v>3.28316303035842e+18</v>
      </c>
      <c r="AK293" s="236">
        <f t="shared" si="110"/>
        <v>1</v>
      </c>
      <c r="AL293" s="236">
        <f ca="1">INDEX(Photobiology!$21:$421,1+$AH293-380,10)</f>
        <v>0.09618864</v>
      </c>
      <c r="AM293" s="236">
        <f ca="1" t="shared" si="111"/>
        <v>13.3319879209511</v>
      </c>
      <c r="AN293" s="236">
        <f ca="1">INDEX(Photobiology!$21:$421,1+$AH293-380,AN$14)</f>
        <v>1.37194278471508e-7</v>
      </c>
      <c r="AO293" s="236">
        <f ca="1">INDEX(Photobiology!$21:$421,1+$AH293-380,AO$14)</f>
        <v>0.0184690688378418</v>
      </c>
      <c r="AP293" s="236">
        <f ca="1">INDEX(Photobiology!$21:$421,1+$AH293-380,AP$14)</f>
        <v>0.15696506347543</v>
      </c>
      <c r="AQ293" s="236">
        <f ca="1">INDEX(Photobiology!$21:$421,1+$AH293-380,AQ$14)</f>
        <v>0.000612932994107832</v>
      </c>
      <c r="AR293" s="236">
        <f ca="1">INDEX(Photobiology!$21:$421,1+$AH293-380,AR$14)</f>
        <v>7.43102975000889e-5</v>
      </c>
      <c r="AS293" s="236">
        <f ca="1" t="shared" si="112"/>
        <v>4.37710898632518e+19</v>
      </c>
      <c r="AT293" s="236">
        <f ca="1">INDEX(Photobiology!$21:$421,1+$AH293-380,AT$14)</f>
        <v>9.25850959010177e-8</v>
      </c>
      <c r="AU293" s="236">
        <f ca="1">INDEX(Photobiology!$21:$421,1+$AH293-380,AU$14)</f>
        <v>0.0153823493124692</v>
      </c>
      <c r="AV293" s="236">
        <f ca="1">INDEX(Photobiology!$21:$421,1+$AH293-380,AV$14)</f>
        <v>0.137049818006727</v>
      </c>
      <c r="AW293" s="236">
        <f ca="1">INDEX(Photobiology!$21:$421,1+$AH293-380,AW$14)</f>
        <v>0.000479191511816788</v>
      </c>
      <c r="AX293" s="236">
        <f ca="1">INDEX(Photobiology!$21:$421,1+$AH293-380,AX$14)</f>
        <v>5.57073328028512e-5</v>
      </c>
      <c r="AY293" s="236">
        <f ca="1" t="shared" si="99"/>
        <v>13.3319879209511</v>
      </c>
      <c r="AZ293" s="236">
        <f ca="1" t="shared" si="113"/>
        <v>1.82907246340575e-6</v>
      </c>
      <c r="BA293" s="236">
        <f ca="1" t="shared" si="100"/>
        <v>0.246229402657322</v>
      </c>
      <c r="BB293" s="236">
        <f ca="1" t="shared" si="101"/>
        <v>2.09265633026576</v>
      </c>
      <c r="BC293" s="236">
        <f ca="1" t="shared" si="102"/>
        <v>0.00817161527379803</v>
      </c>
      <c r="BD293" s="236">
        <f ca="1" t="shared" si="103"/>
        <v>0.000990703988673471</v>
      </c>
    </row>
    <row r="294" s="234" customFormat="1" ht="0.2" customHeight="1" spans="7:56">
      <c r="G294" s="236"/>
      <c r="H294" s="236">
        <f t="shared" si="104"/>
        <v>653</v>
      </c>
      <c r="I294" s="236">
        <f>IF($H294&gt;$H293,INDEX(Spectra!294:294,1,MATCH($I$20,Spectra!$20:$20,0)),I293)</f>
        <v>10.1322110413467</v>
      </c>
      <c r="J294" s="236">
        <f>((Physics!$C$9*Physics!$C$10)/(Physics!$C$11*Physics!$C$12*$H294))^($J$17-$J$18)</f>
        <v>3.2881985564786e+18</v>
      </c>
      <c r="K294" s="236">
        <f t="shared" si="105"/>
        <v>1</v>
      </c>
      <c r="L294" s="236">
        <f ca="1">INDEX(Photobiology!$21:$421,1+$H294-380,10)</f>
        <v>0.09112296</v>
      </c>
      <c r="M294" s="236">
        <f ca="1" t="shared" si="106"/>
        <v>10.1322110413467</v>
      </c>
      <c r="N294" s="236">
        <f ca="1">INDEX(Photobiology!$21:$421,1+$H294-380,N$14)</f>
        <v>1.28384620004389e-7</v>
      </c>
      <c r="O294" s="236">
        <f ca="1">INDEX(Photobiology!$21:$421,1+$H294-380,O$14)</f>
        <v>0.0171305773424175</v>
      </c>
      <c r="P294" s="236">
        <f ca="1">INDEX(Photobiology!$21:$421,1+$H294-380,P$14)</f>
        <v>0.14875411893946</v>
      </c>
      <c r="Q294" s="236">
        <f ca="1">INDEX(Photobiology!$21:$421,1+$H294-380,Q$14)</f>
        <v>0.000566921594588069</v>
      </c>
      <c r="R294" s="236">
        <f ca="1">INDEX(Photobiology!$21:$421,1+$H294-380,R$14)</f>
        <v>6.88687182199131e-5</v>
      </c>
      <c r="S294" s="236">
        <f ca="1" t="shared" si="107"/>
        <v>3.33167217200928e+19</v>
      </c>
      <c r="T294" s="236">
        <f ca="1">INDEX(Photobiology!$21:$421,1+$H294-380,T$14)</f>
        <v>8.65072477824367e-8</v>
      </c>
      <c r="U294" s="236">
        <f ca="1">INDEX(Photobiology!$21:$421,1+$H294-380,U$14)</f>
        <v>0.0142457094970874</v>
      </c>
      <c r="V294" s="236">
        <f ca="1">INDEX(Photobiology!$21:$421,1+$H294-380,V$14)</f>
        <v>0.129681754514497</v>
      </c>
      <c r="W294" s="236">
        <f ca="1">INDEX(Photobiology!$21:$421,1+$H294-380,W$14)</f>
        <v>0.000442541018468543</v>
      </c>
      <c r="X294" s="236">
        <f ca="1">INDEX(Photobiology!$21:$421,1+$H294-380,X$14)</f>
        <v>5.15489448212405e-5</v>
      </c>
      <c r="Y294" s="236">
        <f ca="1" t="shared" si="94"/>
        <v>10.1322110413467</v>
      </c>
      <c r="Z294" s="236">
        <f ca="1" t="shared" si="108"/>
        <v>1.30082006434757e-6</v>
      </c>
      <c r="AA294" s="236">
        <f ca="1" t="shared" si="95"/>
        <v>0.173570624893486</v>
      </c>
      <c r="AB294" s="236">
        <f ca="1" t="shared" si="96"/>
        <v>1.5072081263642</v>
      </c>
      <c r="AC294" s="236">
        <f ca="1" t="shared" si="97"/>
        <v>0.00574416924026311</v>
      </c>
      <c r="AD294" s="236">
        <f ca="1" t="shared" si="98"/>
        <v>0.000697792387151198</v>
      </c>
      <c r="AE294" s="236"/>
      <c r="AF294" s="236"/>
      <c r="AG294" s="236"/>
      <c r="AH294" s="236">
        <f t="shared" si="109"/>
        <v>653</v>
      </c>
      <c r="AI294" s="236">
        <f>IF($AH294&gt;$AH293,INDEX(Spectra!294:294,1,MATCH($AI$20,Spectra!$20:$20,0)),AI293)</f>
        <v>1</v>
      </c>
      <c r="AJ294" s="236">
        <f>((Physics!$C$9*Physics!$C$10)/(Physics!$C$11*Physics!$C$12*$AH294))^($AJ$17-$AJ$18)</f>
        <v>3.2881985564786e+18</v>
      </c>
      <c r="AK294" s="236">
        <f t="shared" si="110"/>
        <v>1</v>
      </c>
      <c r="AL294" s="236">
        <f ca="1">INDEX(Photobiology!$21:$421,1+$AH294-380,10)</f>
        <v>0.09112296</v>
      </c>
      <c r="AM294" s="236">
        <f ca="1" t="shared" si="111"/>
        <v>13.3319879209511</v>
      </c>
      <c r="AN294" s="236">
        <f ca="1">INDEX(Photobiology!$21:$421,1+$AH294-380,AN$14)</f>
        <v>1.28384620004389e-7</v>
      </c>
      <c r="AO294" s="236">
        <f ca="1">INDEX(Photobiology!$21:$421,1+$AH294-380,AO$14)</f>
        <v>0.0171305773424175</v>
      </c>
      <c r="AP294" s="236">
        <f ca="1">INDEX(Photobiology!$21:$421,1+$AH294-380,AP$14)</f>
        <v>0.14875411893946</v>
      </c>
      <c r="AQ294" s="236">
        <f ca="1">INDEX(Photobiology!$21:$421,1+$AH294-380,AQ$14)</f>
        <v>0.000566921594588069</v>
      </c>
      <c r="AR294" s="236">
        <f ca="1">INDEX(Photobiology!$21:$421,1+$AH294-380,AR$14)</f>
        <v>6.88687182199131e-5</v>
      </c>
      <c r="AS294" s="236">
        <f ca="1" t="shared" si="112"/>
        <v>4.38382234366617e+19</v>
      </c>
      <c r="AT294" s="236">
        <f ca="1">INDEX(Photobiology!$21:$421,1+$AH294-380,AT$14)</f>
        <v>8.65072477824367e-8</v>
      </c>
      <c r="AU294" s="236">
        <f ca="1">INDEX(Photobiology!$21:$421,1+$AH294-380,AU$14)</f>
        <v>0.0142457094970874</v>
      </c>
      <c r="AV294" s="236">
        <f ca="1">INDEX(Photobiology!$21:$421,1+$AH294-380,AV$14)</f>
        <v>0.129681754514497</v>
      </c>
      <c r="AW294" s="236">
        <f ca="1">INDEX(Photobiology!$21:$421,1+$AH294-380,AW$14)</f>
        <v>0.000442541018468543</v>
      </c>
      <c r="AX294" s="236">
        <f ca="1">INDEX(Photobiology!$21:$421,1+$AH294-380,AX$14)</f>
        <v>5.15489448212405e-5</v>
      </c>
      <c r="AY294" s="236">
        <f ca="1" t="shared" si="99"/>
        <v>13.3319879209511</v>
      </c>
      <c r="AZ294" s="236">
        <f ca="1" t="shared" si="113"/>
        <v>1.71162220313442e-6</v>
      </c>
      <c r="BA294" s="236">
        <f ca="1" t="shared" si="100"/>
        <v>0.228384650208029</v>
      </c>
      <c r="BB294" s="236">
        <f ca="1" t="shared" si="101"/>
        <v>1.98318811689261</v>
      </c>
      <c r="BC294" s="236">
        <f ca="1" t="shared" si="102"/>
        <v>0.0075581918511745</v>
      </c>
      <c r="BD294" s="236">
        <f ca="1" t="shared" si="103"/>
        <v>0.000918156919439269</v>
      </c>
    </row>
    <row r="295" s="234" customFormat="1" ht="0.2" customHeight="1" spans="7:56">
      <c r="G295" s="236"/>
      <c r="H295" s="236">
        <f t="shared" si="104"/>
        <v>654</v>
      </c>
      <c r="I295" s="236">
        <f>IF($H295&gt;$H294,INDEX(Spectra!295:295,1,MATCH($I$20,Spectra!$20:$20,0)),I294)</f>
        <v>9.97796679345373</v>
      </c>
      <c r="J295" s="236">
        <f>((Physics!$C$9*Physics!$C$10)/(Physics!$C$11*Physics!$C$12*$H295))^($J$17-$J$18)</f>
        <v>3.29323408259878e+18</v>
      </c>
      <c r="K295" s="236">
        <f t="shared" si="105"/>
        <v>1</v>
      </c>
      <c r="L295" s="236">
        <f ca="1">INDEX(Photobiology!$21:$421,1+$H295-380,10)</f>
        <v>0.08626485</v>
      </c>
      <c r="M295" s="236">
        <f ca="1" t="shared" si="106"/>
        <v>9.97796679345373</v>
      </c>
      <c r="N295" s="236">
        <f ca="1">INDEX(Photobiology!$21:$421,1+$H295-380,N$14)</f>
        <v>1.20165279238174e-7</v>
      </c>
      <c r="O295" s="236">
        <f ca="1">INDEX(Photobiology!$21:$421,1+$H295-380,O$14)</f>
        <v>0.0158861258971534</v>
      </c>
      <c r="P295" s="236">
        <f ca="1">INDEX(Photobiology!$21:$421,1+$H295-380,P$14)</f>
        <v>0.140857507758809</v>
      </c>
      <c r="Q295" s="236">
        <f ca="1">INDEX(Photobiology!$21:$421,1+$H295-380,Q$14)</f>
        <v>0.000524466798161252</v>
      </c>
      <c r="R295" s="236">
        <f ca="1">INDEX(Photobiology!$21:$421,1+$H295-380,R$14)</f>
        <v>6.38398708863642e-5</v>
      </c>
      <c r="S295" s="236">
        <f ca="1" t="shared" si="107"/>
        <v>3.28597803192407e+19</v>
      </c>
      <c r="T295" s="236">
        <f ca="1">INDEX(Photobiology!$21:$421,1+$H295-380,T$14)</f>
        <v>8.08451419951018e-8</v>
      </c>
      <c r="U295" s="236">
        <f ca="1">INDEX(Photobiology!$21:$421,1+$H295-380,U$14)</f>
        <v>0.013190629341688</v>
      </c>
      <c r="V295" s="236">
        <f ca="1">INDEX(Photobiology!$21:$421,1+$H295-380,V$14)</f>
        <v>0.122609835728681</v>
      </c>
      <c r="W295" s="236">
        <f ca="1">INDEX(Photobiology!$21:$421,1+$H295-380,W$14)</f>
        <v>0.000408774658094946</v>
      </c>
      <c r="X295" s="236">
        <f ca="1">INDEX(Photobiology!$21:$421,1+$H295-380,X$14)</f>
        <v>4.77117353586345e-5</v>
      </c>
      <c r="Y295" s="236">
        <f ca="1" t="shared" si="94"/>
        <v>9.97796679345373</v>
      </c>
      <c r="Z295" s="236">
        <f ca="1" t="shared" si="108"/>
        <v>1.1990051659646e-6</v>
      </c>
      <c r="AA295" s="236">
        <f ca="1" t="shared" si="95"/>
        <v>0.158511236678422</v>
      </c>
      <c r="AB295" s="236">
        <f ca="1" t="shared" si="96"/>
        <v>1.40547153502605</v>
      </c>
      <c r="AC295" s="236">
        <f ca="1" t="shared" si="97"/>
        <v>0.00523311229632197</v>
      </c>
      <c r="AD295" s="236">
        <f ca="1" t="shared" si="98"/>
        <v>0.000636992111802516</v>
      </c>
      <c r="AE295" s="236"/>
      <c r="AF295" s="236"/>
      <c r="AG295" s="236"/>
      <c r="AH295" s="236">
        <f t="shared" si="109"/>
        <v>654</v>
      </c>
      <c r="AI295" s="236">
        <f>IF($AH295&gt;$AH294,INDEX(Spectra!295:295,1,MATCH($AI$20,Spectra!$20:$20,0)),AI294)</f>
        <v>1</v>
      </c>
      <c r="AJ295" s="236">
        <f>((Physics!$C$9*Physics!$C$10)/(Physics!$C$11*Physics!$C$12*$AH295))^($AJ$17-$AJ$18)</f>
        <v>3.29323408259878e+18</v>
      </c>
      <c r="AK295" s="236">
        <f t="shared" si="110"/>
        <v>1</v>
      </c>
      <c r="AL295" s="236">
        <f ca="1">INDEX(Photobiology!$21:$421,1+$AH295-380,10)</f>
        <v>0.08626485</v>
      </c>
      <c r="AM295" s="236">
        <f ca="1" t="shared" si="111"/>
        <v>13.3319879209511</v>
      </c>
      <c r="AN295" s="236">
        <f ca="1">INDEX(Photobiology!$21:$421,1+$AH295-380,AN$14)</f>
        <v>1.20165279238174e-7</v>
      </c>
      <c r="AO295" s="236">
        <f ca="1">INDEX(Photobiology!$21:$421,1+$AH295-380,AO$14)</f>
        <v>0.0158861258971534</v>
      </c>
      <c r="AP295" s="236">
        <f ca="1">INDEX(Photobiology!$21:$421,1+$AH295-380,AP$14)</f>
        <v>0.140857507758809</v>
      </c>
      <c r="AQ295" s="236">
        <f ca="1">INDEX(Photobiology!$21:$421,1+$AH295-380,AQ$14)</f>
        <v>0.000524466798161252</v>
      </c>
      <c r="AR295" s="236">
        <f ca="1">INDEX(Photobiology!$21:$421,1+$AH295-380,AR$14)</f>
        <v>6.38398708863642e-5</v>
      </c>
      <c r="AS295" s="236">
        <f ca="1" t="shared" si="112"/>
        <v>4.39053570100716e+19</v>
      </c>
      <c r="AT295" s="236">
        <f ca="1">INDEX(Photobiology!$21:$421,1+$AH295-380,AT$14)</f>
        <v>8.08451419951018e-8</v>
      </c>
      <c r="AU295" s="236">
        <f ca="1">INDEX(Photobiology!$21:$421,1+$AH295-380,AU$14)</f>
        <v>0.013190629341688</v>
      </c>
      <c r="AV295" s="236">
        <f ca="1">INDEX(Photobiology!$21:$421,1+$AH295-380,AV$14)</f>
        <v>0.122609835728681</v>
      </c>
      <c r="AW295" s="236">
        <f ca="1">INDEX(Photobiology!$21:$421,1+$AH295-380,AW$14)</f>
        <v>0.000408774658094946</v>
      </c>
      <c r="AX295" s="236">
        <f ca="1">INDEX(Photobiology!$21:$421,1+$AH295-380,AX$14)</f>
        <v>4.77117353586345e-5</v>
      </c>
      <c r="AY295" s="236">
        <f ca="1" t="shared" si="99"/>
        <v>13.3319879209511</v>
      </c>
      <c r="AZ295" s="236">
        <f ca="1" t="shared" si="113"/>
        <v>1.60204205132106e-6</v>
      </c>
      <c r="BA295" s="236">
        <f ca="1" t="shared" si="100"/>
        <v>0.211793638571558</v>
      </c>
      <c r="BB295" s="236">
        <f ca="1" t="shared" si="101"/>
        <v>1.87791059201572</v>
      </c>
      <c r="BC295" s="236">
        <f ca="1" t="shared" si="102"/>
        <v>0.00699218501802573</v>
      </c>
      <c r="BD295" s="236">
        <f ca="1" t="shared" si="103"/>
        <v>0.000851112387532088</v>
      </c>
    </row>
    <row r="296" s="234" customFormat="1" ht="0.2" customHeight="1" spans="7:56">
      <c r="G296" s="236"/>
      <c r="H296" s="236">
        <f t="shared" si="104"/>
        <v>655</v>
      </c>
      <c r="I296" s="236">
        <f>IF($H296&gt;$H295,INDEX(Spectra!296:296,1,MATCH($I$20,Spectra!$20:$20,0)),I295)</f>
        <v>9.79049514252479</v>
      </c>
      <c r="J296" s="236">
        <f>((Physics!$C$9*Physics!$C$10)/(Physics!$C$11*Physics!$C$12*$H296))^($J$17-$J$18)</f>
        <v>3.29826960871896e+18</v>
      </c>
      <c r="K296" s="236">
        <f t="shared" si="105"/>
        <v>1</v>
      </c>
      <c r="L296" s="236">
        <f ca="1">INDEX(Photobiology!$21:$421,1+$H296-380,10)</f>
        <v>0.0816</v>
      </c>
      <c r="M296" s="236">
        <f ca="1" t="shared" si="106"/>
        <v>9.79049514252479</v>
      </c>
      <c r="N296" s="236">
        <f ca="1">INDEX(Photobiology!$21:$421,1+$H296-380,N$14)</f>
        <v>1.12495720093046e-7</v>
      </c>
      <c r="O296" s="236">
        <f ca="1">INDEX(Photobiology!$21:$421,1+$H296-380,O$14)</f>
        <v>0.0147296355030056</v>
      </c>
      <c r="P296" s="236">
        <f ca="1">INDEX(Photobiology!$21:$421,1+$H296-380,P$14)</f>
        <v>0.133272946641167</v>
      </c>
      <c r="Q296" s="236">
        <f ca="1">INDEX(Photobiology!$21:$421,1+$H296-380,Q$14)</f>
        <v>0.000485287382745341</v>
      </c>
      <c r="R296" s="236">
        <f ca="1">INDEX(Photobiology!$21:$421,1+$H296-380,R$14)</f>
        <v>5.91913165799909e-5</v>
      </c>
      <c r="S296" s="236">
        <f ca="1" t="shared" si="107"/>
        <v>3.22916925829001e+19</v>
      </c>
      <c r="T296" s="236">
        <f ca="1">INDEX(Photobiology!$21:$421,1+$H296-380,T$14)</f>
        <v>7.55696440319698e-8</v>
      </c>
      <c r="U296" s="236">
        <f ca="1">INDEX(Photobiology!$21:$421,1+$H296-380,U$14)</f>
        <v>0.012211695458803</v>
      </c>
      <c r="V296" s="236">
        <f ca="1">INDEX(Photobiology!$21:$421,1+$H296-380,V$14)</f>
        <v>0.115830720797091</v>
      </c>
      <c r="W296" s="236">
        <f ca="1">INDEX(Photobiology!$21:$421,1+$H296-380,W$14)</f>
        <v>0.000377660368265639</v>
      </c>
      <c r="X296" s="236">
        <f ca="1">INDEX(Photobiology!$21:$421,1+$H296-380,X$14)</f>
        <v>4.41700266431515e-5</v>
      </c>
      <c r="Y296" s="236">
        <f ca="1" t="shared" si="94"/>
        <v>9.79049514252479</v>
      </c>
      <c r="Z296" s="236">
        <f ca="1" t="shared" si="108"/>
        <v>1.1013888011258e-6</v>
      </c>
      <c r="AA296" s="236">
        <f ca="1" t="shared" si="95"/>
        <v>0.144210424843337</v>
      </c>
      <c r="AB296" s="236">
        <f ca="1" t="shared" si="96"/>
        <v>1.30480813672031</v>
      </c>
      <c r="AC296" s="236">
        <f ca="1" t="shared" si="97"/>
        <v>0.00475120376349683</v>
      </c>
      <c r="AD296" s="236">
        <f ca="1" t="shared" si="98"/>
        <v>0.000579512297456048</v>
      </c>
      <c r="AE296" s="236"/>
      <c r="AF296" s="236"/>
      <c r="AG296" s="236"/>
      <c r="AH296" s="236">
        <f t="shared" si="109"/>
        <v>655</v>
      </c>
      <c r="AI296" s="236">
        <f>IF($AH296&gt;$AH295,INDEX(Spectra!296:296,1,MATCH($AI$20,Spectra!$20:$20,0)),AI295)</f>
        <v>1</v>
      </c>
      <c r="AJ296" s="236">
        <f>((Physics!$C$9*Physics!$C$10)/(Physics!$C$11*Physics!$C$12*$AH296))^($AJ$17-$AJ$18)</f>
        <v>3.29826960871896e+18</v>
      </c>
      <c r="AK296" s="236">
        <f t="shared" si="110"/>
        <v>1</v>
      </c>
      <c r="AL296" s="236">
        <f ca="1">INDEX(Photobiology!$21:$421,1+$AH296-380,10)</f>
        <v>0.0816</v>
      </c>
      <c r="AM296" s="236">
        <f ca="1" t="shared" si="111"/>
        <v>13.3319879209511</v>
      </c>
      <c r="AN296" s="236">
        <f ca="1">INDEX(Photobiology!$21:$421,1+$AH296-380,AN$14)</f>
        <v>1.12495720093046e-7</v>
      </c>
      <c r="AO296" s="236">
        <f ca="1">INDEX(Photobiology!$21:$421,1+$AH296-380,AO$14)</f>
        <v>0.0147296355030056</v>
      </c>
      <c r="AP296" s="236">
        <f ca="1">INDEX(Photobiology!$21:$421,1+$AH296-380,AP$14)</f>
        <v>0.133272946641167</v>
      </c>
      <c r="AQ296" s="236">
        <f ca="1">INDEX(Photobiology!$21:$421,1+$AH296-380,AQ$14)</f>
        <v>0.000485287382745341</v>
      </c>
      <c r="AR296" s="236">
        <f ca="1">INDEX(Photobiology!$21:$421,1+$AH296-380,AR$14)</f>
        <v>5.91913165799909e-5</v>
      </c>
      <c r="AS296" s="236">
        <f ca="1" t="shared" si="112"/>
        <v>4.39724905834815e+19</v>
      </c>
      <c r="AT296" s="236">
        <f ca="1">INDEX(Photobiology!$21:$421,1+$AH296-380,AT$14)</f>
        <v>7.55696440319698e-8</v>
      </c>
      <c r="AU296" s="236">
        <f ca="1">INDEX(Photobiology!$21:$421,1+$AH296-380,AU$14)</f>
        <v>0.012211695458803</v>
      </c>
      <c r="AV296" s="236">
        <f ca="1">INDEX(Photobiology!$21:$421,1+$AH296-380,AV$14)</f>
        <v>0.115830720797091</v>
      </c>
      <c r="AW296" s="236">
        <f ca="1">INDEX(Photobiology!$21:$421,1+$AH296-380,AW$14)</f>
        <v>0.000377660368265639</v>
      </c>
      <c r="AX296" s="236">
        <f ca="1">INDEX(Photobiology!$21:$421,1+$AH296-380,AX$14)</f>
        <v>4.41700266431515e-5</v>
      </c>
      <c r="AY296" s="236">
        <f ca="1" t="shared" si="99"/>
        <v>13.3319879209511</v>
      </c>
      <c r="AZ296" s="236">
        <f ca="1" t="shared" si="113"/>
        <v>1.49979158143919e-6</v>
      </c>
      <c r="BA296" s="236">
        <f ca="1" t="shared" si="100"/>
        <v>0.196375322606084</v>
      </c>
      <c r="BB296" s="236">
        <f ca="1" t="shared" si="101"/>
        <v>1.7767933148096</v>
      </c>
      <c r="BC296" s="236">
        <f ca="1" t="shared" si="102"/>
        <v>0.00646984552495088</v>
      </c>
      <c r="BD296" s="236">
        <f ca="1" t="shared" si="103"/>
        <v>0.000789137917669634</v>
      </c>
    </row>
    <row r="297" s="234" customFormat="1" ht="0.2" customHeight="1" spans="7:56">
      <c r="G297" s="236"/>
      <c r="H297" s="236">
        <f t="shared" si="104"/>
        <v>656</v>
      </c>
      <c r="I297" s="236">
        <f>IF($H297&gt;$H296,INDEX(Spectra!297:297,1,MATCH($I$20,Spectra!$20:$20,0)),I296)</f>
        <v>9.67364168086019</v>
      </c>
      <c r="J297" s="236">
        <f>((Physics!$C$9*Physics!$C$10)/(Physics!$C$11*Physics!$C$12*$H297))^($J$17-$J$18)</f>
        <v>3.30330513483914e+18</v>
      </c>
      <c r="K297" s="236">
        <f t="shared" si="105"/>
        <v>1</v>
      </c>
      <c r="L297" s="236">
        <f ca="1">INDEX(Photobiology!$21:$421,1+$H297-380,10)</f>
        <v>0.07712064</v>
      </c>
      <c r="M297" s="236">
        <f ca="1" t="shared" si="106"/>
        <v>9.67364168086019</v>
      </c>
      <c r="N297" s="236">
        <f ca="1">INDEX(Photobiology!$21:$421,1+$H297-380,N$14)</f>
        <v>1.05337013223319e-7</v>
      </c>
      <c r="O297" s="236">
        <f ca="1">INDEX(Photobiology!$21:$421,1+$H297-380,O$14)</f>
        <v>0.0136553237136456</v>
      </c>
      <c r="P297" s="236">
        <f ca="1">INDEX(Photobiology!$21:$421,1+$H297-380,P$14)</f>
        <v>0.125996650508956</v>
      </c>
      <c r="Q297" s="236">
        <f ca="1">INDEX(Photobiology!$21:$421,1+$H297-380,Q$14)</f>
        <v>0.000449124761925931</v>
      </c>
      <c r="R297" s="236">
        <f ca="1">INDEX(Photobiology!$21:$421,1+$H297-380,R$14)</f>
        <v>5.48936362301804e-5</v>
      </c>
      <c r="S297" s="236">
        <f ca="1" t="shared" si="107"/>
        <v>3.19549902369794e+19</v>
      </c>
      <c r="T297" s="236">
        <f ca="1">INDEX(Photobiology!$21:$421,1+$H297-380,T$14)</f>
        <v>7.06528747229579e-8</v>
      </c>
      <c r="U297" s="236">
        <f ca="1">INDEX(Photobiology!$21:$421,1+$H297-380,U$14)</f>
        <v>0.0113037729535035</v>
      </c>
      <c r="V297" s="236">
        <f ca="1">INDEX(Photobiology!$21:$421,1+$H297-380,V$14)</f>
        <v>0.109339785990613</v>
      </c>
      <c r="W297" s="236">
        <f ca="1">INDEX(Photobiology!$21:$421,1+$H297-380,W$14)</f>
        <v>0.000348985090242399</v>
      </c>
      <c r="X297" s="236">
        <f ca="1">INDEX(Photobiology!$21:$421,1+$H297-380,X$14)</f>
        <v>4.09005475255045e-5</v>
      </c>
      <c r="Y297" s="236">
        <f ca="1" t="shared" si="94"/>
        <v>9.67364168086019</v>
      </c>
      <c r="Z297" s="236">
        <f ca="1" t="shared" si="108"/>
        <v>1.01899252165442e-6</v>
      </c>
      <c r="AA297" s="236">
        <f ca="1" t="shared" si="95"/>
        <v>0.132096708641961</v>
      </c>
      <c r="AB297" s="236">
        <f ca="1" t="shared" si="96"/>
        <v>1.21884645001221</v>
      </c>
      <c r="AC297" s="236">
        <f ca="1" t="shared" si="97"/>
        <v>0.0043446720168731</v>
      </c>
      <c r="AD297" s="236">
        <f ca="1" t="shared" si="98"/>
        <v>0.00053102136745025</v>
      </c>
      <c r="AE297" s="236"/>
      <c r="AF297" s="236"/>
      <c r="AG297" s="236"/>
      <c r="AH297" s="236">
        <f t="shared" si="109"/>
        <v>656</v>
      </c>
      <c r="AI297" s="236">
        <f>IF($AH297&gt;$AH296,INDEX(Spectra!297:297,1,MATCH($AI$20,Spectra!$20:$20,0)),AI296)</f>
        <v>1</v>
      </c>
      <c r="AJ297" s="236">
        <f>((Physics!$C$9*Physics!$C$10)/(Physics!$C$11*Physics!$C$12*$AH297))^($AJ$17-$AJ$18)</f>
        <v>3.30330513483914e+18</v>
      </c>
      <c r="AK297" s="236">
        <f t="shared" si="110"/>
        <v>1</v>
      </c>
      <c r="AL297" s="236">
        <f ca="1">INDEX(Photobiology!$21:$421,1+$AH297-380,10)</f>
        <v>0.07712064</v>
      </c>
      <c r="AM297" s="236">
        <f ca="1" t="shared" si="111"/>
        <v>13.3319879209511</v>
      </c>
      <c r="AN297" s="236">
        <f ca="1">INDEX(Photobiology!$21:$421,1+$AH297-380,AN$14)</f>
        <v>1.05337013223319e-7</v>
      </c>
      <c r="AO297" s="236">
        <f ca="1">INDEX(Photobiology!$21:$421,1+$AH297-380,AO$14)</f>
        <v>0.0136553237136456</v>
      </c>
      <c r="AP297" s="236">
        <f ca="1">INDEX(Photobiology!$21:$421,1+$AH297-380,AP$14)</f>
        <v>0.125996650508956</v>
      </c>
      <c r="AQ297" s="236">
        <f ca="1">INDEX(Photobiology!$21:$421,1+$AH297-380,AQ$14)</f>
        <v>0.000449124761925931</v>
      </c>
      <c r="AR297" s="236">
        <f ca="1">INDEX(Photobiology!$21:$421,1+$AH297-380,AR$14)</f>
        <v>5.48936362301804e-5</v>
      </c>
      <c r="AS297" s="236">
        <f ca="1" t="shared" si="112"/>
        <v>4.40396241568914e+19</v>
      </c>
      <c r="AT297" s="236">
        <f ca="1">INDEX(Photobiology!$21:$421,1+$AH297-380,AT$14)</f>
        <v>7.06528747229579e-8</v>
      </c>
      <c r="AU297" s="236">
        <f ca="1">INDEX(Photobiology!$21:$421,1+$AH297-380,AU$14)</f>
        <v>0.0113037729535035</v>
      </c>
      <c r="AV297" s="236">
        <f ca="1">INDEX(Photobiology!$21:$421,1+$AH297-380,AV$14)</f>
        <v>0.109339785990613</v>
      </c>
      <c r="AW297" s="236">
        <f ca="1">INDEX(Photobiology!$21:$421,1+$AH297-380,AW$14)</f>
        <v>0.000348985090242399</v>
      </c>
      <c r="AX297" s="236">
        <f ca="1">INDEX(Photobiology!$21:$421,1+$AH297-380,AX$14)</f>
        <v>4.09005475255045e-5</v>
      </c>
      <c r="AY297" s="236">
        <f ca="1" t="shared" si="99"/>
        <v>13.3319879209511</v>
      </c>
      <c r="AZ297" s="236">
        <f ca="1" t="shared" si="113"/>
        <v>1.40435178792236e-6</v>
      </c>
      <c r="BA297" s="236">
        <f ca="1" t="shared" si="100"/>
        <v>0.182052610807001</v>
      </c>
      <c r="BB297" s="236">
        <f ca="1" t="shared" si="101"/>
        <v>1.6797858226657</v>
      </c>
      <c r="BC297" s="236">
        <f ca="1" t="shared" si="102"/>
        <v>0.00598772590099657</v>
      </c>
      <c r="BD297" s="236">
        <f ca="1" t="shared" si="103"/>
        <v>0.000731841295157851</v>
      </c>
    </row>
    <row r="298" s="234" customFormat="1" ht="0.2" customHeight="1" spans="7:56">
      <c r="G298" s="236"/>
      <c r="H298" s="236">
        <f t="shared" si="104"/>
        <v>657</v>
      </c>
      <c r="I298" s="236">
        <f>IF($H298&gt;$H297,INDEX(Spectra!298:298,1,MATCH($I$20,Spectra!$20:$20,0)),I297)</f>
        <v>9.52543825564907</v>
      </c>
      <c r="J298" s="236">
        <f>((Physics!$C$9*Physics!$C$10)/(Physics!$C$11*Physics!$C$12*$H298))^($J$17-$J$18)</f>
        <v>3.30834066095933e+18</v>
      </c>
      <c r="K298" s="236">
        <f t="shared" si="105"/>
        <v>1</v>
      </c>
      <c r="L298" s="236">
        <f ca="1">INDEX(Photobiology!$21:$421,1+$H298-380,10)</f>
        <v>0.07282552</v>
      </c>
      <c r="M298" s="236">
        <f ca="1" t="shared" si="106"/>
        <v>9.52543825564907</v>
      </c>
      <c r="N298" s="236">
        <f ca="1">INDEX(Photobiology!$21:$421,1+$H298-380,N$14)</f>
        <v>9.86542955939257e-8</v>
      </c>
      <c r="O298" s="236">
        <f ca="1">INDEX(Photobiology!$21:$421,1+$H298-380,O$14)</f>
        <v>0.0126577058800322</v>
      </c>
      <c r="P298" s="236">
        <f ca="1">INDEX(Photobiology!$21:$421,1+$H298-380,P$14)</f>
        <v>0.119024947887461</v>
      </c>
      <c r="Q298" s="236">
        <f ca="1">INDEX(Photobiology!$21:$421,1+$H298-380,Q$14)</f>
        <v>0.000415739222962883</v>
      </c>
      <c r="R298" s="236">
        <f ca="1">INDEX(Photobiology!$21:$421,1+$H298-380,R$14)</f>
        <v>5.09191329632915e-5</v>
      </c>
      <c r="S298" s="236">
        <f ca="1" t="shared" si="107"/>
        <v>3.15133946946213e+19</v>
      </c>
      <c r="T298" s="236">
        <f ca="1">INDEX(Photobiology!$21:$421,1+$H298-380,T$14)</f>
        <v>6.60698478863429e-8</v>
      </c>
      <c r="U298" s="236">
        <f ca="1">INDEX(Photobiology!$21:$421,1+$H298-380,U$14)</f>
        <v>0.010462004332653</v>
      </c>
      <c r="V298" s="236">
        <f ca="1">INDEX(Photobiology!$21:$421,1+$H298-380,V$14)</f>
        <v>0.103132534165106</v>
      </c>
      <c r="W298" s="236">
        <f ca="1">INDEX(Photobiology!$21:$421,1+$H298-380,W$14)</f>
        <v>0.000322551705607949</v>
      </c>
      <c r="X298" s="236">
        <f ca="1">INDEX(Photobiology!$21:$421,1+$H298-380,X$14)</f>
        <v>3.78814497715568e-5</v>
      </c>
      <c r="Y298" s="236">
        <f ca="1" t="shared" si="94"/>
        <v>9.52543825564907</v>
      </c>
      <c r="Z298" s="236">
        <f ca="1" t="shared" si="108"/>
        <v>9.39725401334491e-7</v>
      </c>
      <c r="AA298" s="236">
        <f ca="1" t="shared" si="95"/>
        <v>0.120570195818413</v>
      </c>
      <c r="AB298" s="236">
        <f ca="1" t="shared" si="96"/>
        <v>1.13376479198386</v>
      </c>
      <c r="AC298" s="236">
        <f ca="1" t="shared" si="97"/>
        <v>0.00396009829878446</v>
      </c>
      <c r="AD298" s="236">
        <f ca="1" t="shared" si="98"/>
        <v>0.000485027057073018</v>
      </c>
      <c r="AE298" s="236"/>
      <c r="AF298" s="236"/>
      <c r="AG298" s="236"/>
      <c r="AH298" s="236">
        <f t="shared" si="109"/>
        <v>657</v>
      </c>
      <c r="AI298" s="236">
        <f>IF($AH298&gt;$AH297,INDEX(Spectra!298:298,1,MATCH($AI$20,Spectra!$20:$20,0)),AI297)</f>
        <v>1</v>
      </c>
      <c r="AJ298" s="236">
        <f>((Physics!$C$9*Physics!$C$10)/(Physics!$C$11*Physics!$C$12*$AH298))^($AJ$17-$AJ$18)</f>
        <v>3.30834066095933e+18</v>
      </c>
      <c r="AK298" s="236">
        <f t="shared" si="110"/>
        <v>1</v>
      </c>
      <c r="AL298" s="236">
        <f ca="1">INDEX(Photobiology!$21:$421,1+$AH298-380,10)</f>
        <v>0.07282552</v>
      </c>
      <c r="AM298" s="236">
        <f ca="1" t="shared" si="111"/>
        <v>13.3319879209511</v>
      </c>
      <c r="AN298" s="236">
        <f ca="1">INDEX(Photobiology!$21:$421,1+$AH298-380,AN$14)</f>
        <v>9.86542955939257e-8</v>
      </c>
      <c r="AO298" s="236">
        <f ca="1">INDEX(Photobiology!$21:$421,1+$AH298-380,AO$14)</f>
        <v>0.0126577058800322</v>
      </c>
      <c r="AP298" s="236">
        <f ca="1">INDEX(Photobiology!$21:$421,1+$AH298-380,AP$14)</f>
        <v>0.119024947887461</v>
      </c>
      <c r="AQ298" s="236">
        <f ca="1">INDEX(Photobiology!$21:$421,1+$AH298-380,AQ$14)</f>
        <v>0.000415739222962883</v>
      </c>
      <c r="AR298" s="236">
        <f ca="1">INDEX(Photobiology!$21:$421,1+$AH298-380,AR$14)</f>
        <v>5.09191329632915e-5</v>
      </c>
      <c r="AS298" s="236">
        <f ca="1" t="shared" si="112"/>
        <v>4.41067577303012e+19</v>
      </c>
      <c r="AT298" s="236">
        <f ca="1">INDEX(Photobiology!$21:$421,1+$AH298-380,AT$14)</f>
        <v>6.60698478863429e-8</v>
      </c>
      <c r="AU298" s="236">
        <f ca="1">INDEX(Photobiology!$21:$421,1+$AH298-380,AU$14)</f>
        <v>0.010462004332653</v>
      </c>
      <c r="AV298" s="236">
        <f ca="1">INDEX(Photobiology!$21:$421,1+$AH298-380,AV$14)</f>
        <v>0.103132534165106</v>
      </c>
      <c r="AW298" s="236">
        <f ca="1">INDEX(Photobiology!$21:$421,1+$AH298-380,AW$14)</f>
        <v>0.000322551705607949</v>
      </c>
      <c r="AX298" s="236">
        <f ca="1">INDEX(Photobiology!$21:$421,1+$AH298-380,AX$14)</f>
        <v>3.78814497715568e-5</v>
      </c>
      <c r="AY298" s="236">
        <f ca="1" t="shared" si="99"/>
        <v>13.3319879209511</v>
      </c>
      <c r="AZ298" s="236">
        <f ca="1" t="shared" si="113"/>
        <v>1.31525787720816e-6</v>
      </c>
      <c r="BA298" s="236">
        <f ca="1" t="shared" si="100"/>
        <v>0.168752381899542</v>
      </c>
      <c r="BB298" s="236">
        <f ca="1" t="shared" si="101"/>
        <v>1.58683916752747</v>
      </c>
      <c r="BC298" s="236">
        <f ca="1" t="shared" si="102"/>
        <v>0.00554263029880677</v>
      </c>
      <c r="BD298" s="236">
        <f ca="1" t="shared" si="103"/>
        <v>0.000678853265611907</v>
      </c>
    </row>
    <row r="299" s="234" customFormat="1" ht="0.2" customHeight="1" spans="7:56">
      <c r="G299" s="236"/>
      <c r="H299" s="236">
        <f t="shared" si="104"/>
        <v>658</v>
      </c>
      <c r="I299" s="236">
        <f>IF($H299&gt;$H298,INDEX(Spectra!299:299,1,MATCH($I$20,Spectra!$20:$20,0)),I298)</f>
        <v>9.33661572303197</v>
      </c>
      <c r="J299" s="236">
        <f>((Physics!$C$9*Physics!$C$10)/(Physics!$C$11*Physics!$C$12*$H299))^($J$17-$J$18)</f>
        <v>3.31337618707951e+18</v>
      </c>
      <c r="K299" s="236">
        <f t="shared" si="105"/>
        <v>1</v>
      </c>
      <c r="L299" s="236">
        <f ca="1">INDEX(Photobiology!$21:$421,1+$H299-380,10)</f>
        <v>0.06871008</v>
      </c>
      <c r="M299" s="236">
        <f ca="1" t="shared" si="106"/>
        <v>9.33661572303197</v>
      </c>
      <c r="N299" s="236">
        <f ca="1">INDEX(Photobiology!$21:$421,1+$H299-380,N$14)</f>
        <v>9.24142620675427e-8</v>
      </c>
      <c r="O299" s="236">
        <f ca="1">INDEX(Photobiology!$21:$421,1+$H299-380,O$14)</f>
        <v>0.0117316203440604</v>
      </c>
      <c r="P299" s="236">
        <f ca="1">INDEX(Photobiology!$21:$421,1+$H299-380,P$14)</f>
        <v>0.112353084531358</v>
      </c>
      <c r="Q299" s="236">
        <f ca="1">INDEX(Photobiology!$21:$421,1+$H299-380,Q$14)</f>
        <v>0.000384914259297913</v>
      </c>
      <c r="R299" s="236">
        <f ca="1">INDEX(Photobiology!$21:$421,1+$H299-380,R$14)</f>
        <v>4.72429490735752e-5</v>
      </c>
      <c r="S299" s="236">
        <f ca="1" t="shared" si="107"/>
        <v>3.09357202046063e+19</v>
      </c>
      <c r="T299" s="236">
        <f ca="1">INDEX(Photobiology!$21:$421,1+$H299-380,T$14)</f>
        <v>6.17967709874146e-8</v>
      </c>
      <c r="U299" s="236">
        <f ca="1">INDEX(Photobiology!$21:$421,1+$H299-380,U$14)</f>
        <v>0.0096818281887122</v>
      </c>
      <c r="V299" s="236">
        <f ca="1">INDEX(Photobiology!$21:$421,1+$H299-380,V$14)</f>
        <v>0.0972035587432886</v>
      </c>
      <c r="W299" s="236">
        <f ca="1">INDEX(Photobiology!$21:$421,1+$H299-380,W$14)</f>
        <v>0.000298182271410903</v>
      </c>
      <c r="X299" s="236">
        <f ca="1">INDEX(Photobiology!$21:$421,1+$H299-380,X$14)</f>
        <v>3.50931269610613e-5</v>
      </c>
      <c r="Y299" s="236">
        <f ca="1" t="shared" si="94"/>
        <v>9.33661572303197</v>
      </c>
      <c r="Z299" s="236">
        <f ca="1" t="shared" si="108"/>
        <v>8.62836452252216e-7</v>
      </c>
      <c r="AA299" s="236">
        <f ca="1" t="shared" si="95"/>
        <v>0.109533630960996</v>
      </c>
      <c r="AB299" s="236">
        <f ca="1" t="shared" si="96"/>
        <v>1.04899757556662</v>
      </c>
      <c r="AC299" s="236">
        <f ca="1" t="shared" si="97"/>
        <v>0.0035937965253801</v>
      </c>
      <c r="AD299" s="236">
        <f ca="1" t="shared" si="98"/>
        <v>0.000441089261122741</v>
      </c>
      <c r="AE299" s="236"/>
      <c r="AF299" s="236"/>
      <c r="AG299" s="236"/>
      <c r="AH299" s="236">
        <f t="shared" si="109"/>
        <v>658</v>
      </c>
      <c r="AI299" s="236">
        <f>IF($AH299&gt;$AH298,INDEX(Spectra!299:299,1,MATCH($AI$20,Spectra!$20:$20,0)),AI298)</f>
        <v>1</v>
      </c>
      <c r="AJ299" s="236">
        <f>((Physics!$C$9*Physics!$C$10)/(Physics!$C$11*Physics!$C$12*$AH299))^($AJ$17-$AJ$18)</f>
        <v>3.31337618707951e+18</v>
      </c>
      <c r="AK299" s="236">
        <f t="shared" si="110"/>
        <v>1</v>
      </c>
      <c r="AL299" s="236">
        <f ca="1">INDEX(Photobiology!$21:$421,1+$AH299-380,10)</f>
        <v>0.06871008</v>
      </c>
      <c r="AM299" s="236">
        <f ca="1" t="shared" si="111"/>
        <v>13.3319879209511</v>
      </c>
      <c r="AN299" s="236">
        <f ca="1">INDEX(Photobiology!$21:$421,1+$AH299-380,AN$14)</f>
        <v>9.24142620675427e-8</v>
      </c>
      <c r="AO299" s="236">
        <f ca="1">INDEX(Photobiology!$21:$421,1+$AH299-380,AO$14)</f>
        <v>0.0117316203440604</v>
      </c>
      <c r="AP299" s="236">
        <f ca="1">INDEX(Photobiology!$21:$421,1+$AH299-380,AP$14)</f>
        <v>0.112353084531358</v>
      </c>
      <c r="AQ299" s="236">
        <f ca="1">INDEX(Photobiology!$21:$421,1+$AH299-380,AQ$14)</f>
        <v>0.000384914259297913</v>
      </c>
      <c r="AR299" s="236">
        <f ca="1">INDEX(Photobiology!$21:$421,1+$AH299-380,AR$14)</f>
        <v>4.72429490735752e-5</v>
      </c>
      <c r="AS299" s="236">
        <f ca="1" t="shared" si="112"/>
        <v>4.41738913037111e+19</v>
      </c>
      <c r="AT299" s="236">
        <f ca="1">INDEX(Photobiology!$21:$421,1+$AH299-380,AT$14)</f>
        <v>6.17967709874146e-8</v>
      </c>
      <c r="AU299" s="236">
        <f ca="1">INDEX(Photobiology!$21:$421,1+$AH299-380,AU$14)</f>
        <v>0.0096818281887122</v>
      </c>
      <c r="AV299" s="236">
        <f ca="1">INDEX(Photobiology!$21:$421,1+$AH299-380,AV$14)</f>
        <v>0.0972035587432886</v>
      </c>
      <c r="AW299" s="236">
        <f ca="1">INDEX(Photobiology!$21:$421,1+$AH299-380,AW$14)</f>
        <v>0.000298182271410903</v>
      </c>
      <c r="AX299" s="236">
        <f ca="1">INDEX(Photobiology!$21:$421,1+$AH299-380,AX$14)</f>
        <v>3.50931269610613e-5</v>
      </c>
      <c r="AY299" s="236">
        <f ca="1" t="shared" si="99"/>
        <v>13.3319879209511</v>
      </c>
      <c r="AZ299" s="236">
        <f ca="1" t="shared" si="113"/>
        <v>1.23206582560809e-6</v>
      </c>
      <c r="BA299" s="236">
        <f ca="1" t="shared" si="100"/>
        <v>0.156405820720198</v>
      </c>
      <c r="BB299" s="236">
        <f ca="1" t="shared" si="101"/>
        <v>1.49788996585367</v>
      </c>
      <c r="BC299" s="236">
        <f ca="1" t="shared" si="102"/>
        <v>0.00513167225556163</v>
      </c>
      <c r="BD299" s="236">
        <f ca="1" t="shared" si="103"/>
        <v>0.000629842426399014</v>
      </c>
    </row>
    <row r="300" s="234" customFormat="1" ht="0.2" customHeight="1" spans="7:56">
      <c r="G300" s="236"/>
      <c r="H300" s="236">
        <f t="shared" si="104"/>
        <v>659</v>
      </c>
      <c r="I300" s="236">
        <f>IF($H300&gt;$H299,INDEX(Spectra!300:300,1,MATCH($I$20,Spectra!$20:$20,0)),I299)</f>
        <v>9.18925548826821</v>
      </c>
      <c r="J300" s="236">
        <f>((Physics!$C$9*Physics!$C$10)/(Physics!$C$11*Physics!$C$12*$H300))^($J$17-$J$18)</f>
        <v>3.31841171319969e+18</v>
      </c>
      <c r="K300" s="236">
        <f t="shared" si="105"/>
        <v>1</v>
      </c>
      <c r="L300" s="236">
        <f ca="1">INDEX(Photobiology!$21:$421,1+$H300-380,10)</f>
        <v>0.06476976</v>
      </c>
      <c r="M300" s="236">
        <f ca="1" t="shared" si="106"/>
        <v>9.18925548826821</v>
      </c>
      <c r="N300" s="236">
        <f ca="1">INDEX(Photobiology!$21:$421,1+$H300-380,N$14)</f>
        <v>8.65862637547114e-8</v>
      </c>
      <c r="O300" s="236">
        <f ca="1">INDEX(Photobiology!$21:$421,1+$H300-380,O$14)</f>
        <v>0.0108722392316166</v>
      </c>
      <c r="P300" s="236">
        <f ca="1">INDEX(Photobiology!$21:$421,1+$H300-380,P$14)</f>
        <v>0.10597587230379</v>
      </c>
      <c r="Q300" s="236">
        <f ca="1">INDEX(Photobiology!$21:$421,1+$H300-380,Q$14)</f>
        <v>0.000356446208905864</v>
      </c>
      <c r="R300" s="236">
        <f ca="1">INDEX(Photobiology!$21:$421,1+$H300-380,R$14)</f>
        <v>4.38418629375731e-5</v>
      </c>
      <c r="S300" s="236">
        <f ca="1" t="shared" si="107"/>
        <v>3.04937330478538e+19</v>
      </c>
      <c r="T300" s="236">
        <f ca="1">INDEX(Photobiology!$21:$421,1+$H300-380,T$14)</f>
        <v>5.78117694265144e-8</v>
      </c>
      <c r="U300" s="236">
        <f ca="1">INDEX(Photobiology!$21:$421,1+$H300-380,U$14)</f>
        <v>0.00895898584699889</v>
      </c>
      <c r="V300" s="236">
        <f ca="1">INDEX(Photobiology!$21:$421,1+$H300-380,V$14)</f>
        <v>0.091547111148135</v>
      </c>
      <c r="W300" s="236">
        <f ca="1">INDEX(Photobiology!$21:$421,1+$H300-380,W$14)</f>
        <v>0.000275709859978643</v>
      </c>
      <c r="X300" s="236">
        <f ca="1">INDEX(Photobiology!$21:$421,1+$H300-380,X$14)</f>
        <v>3.25173051554747e-5</v>
      </c>
      <c r="Y300" s="236">
        <f ca="1" t="shared" si="94"/>
        <v>9.18925548826821</v>
      </c>
      <c r="Z300" s="236">
        <f ca="1" t="shared" si="108"/>
        <v>7.9566329941662e-7</v>
      </c>
      <c r="AA300" s="236">
        <f ca="1" t="shared" si="95"/>
        <v>0.0999077840288978</v>
      </c>
      <c r="AB300" s="236">
        <f ca="1" t="shared" si="96"/>
        <v>0.973839366191613</v>
      </c>
      <c r="AC300" s="236">
        <f ca="1" t="shared" si="97"/>
        <v>0.00327547528146061</v>
      </c>
      <c r="AD300" s="236">
        <f ca="1" t="shared" si="98"/>
        <v>0.000402874079614996</v>
      </c>
      <c r="AE300" s="236"/>
      <c r="AF300" s="236"/>
      <c r="AG300" s="236"/>
      <c r="AH300" s="236">
        <f t="shared" si="109"/>
        <v>659</v>
      </c>
      <c r="AI300" s="236">
        <f>IF($AH300&gt;$AH299,INDEX(Spectra!300:300,1,MATCH($AI$20,Spectra!$20:$20,0)),AI299)</f>
        <v>1</v>
      </c>
      <c r="AJ300" s="236">
        <f>((Physics!$C$9*Physics!$C$10)/(Physics!$C$11*Physics!$C$12*$AH300))^($AJ$17-$AJ$18)</f>
        <v>3.31841171319969e+18</v>
      </c>
      <c r="AK300" s="236">
        <f t="shared" si="110"/>
        <v>1</v>
      </c>
      <c r="AL300" s="236">
        <f ca="1">INDEX(Photobiology!$21:$421,1+$AH300-380,10)</f>
        <v>0.06476976</v>
      </c>
      <c r="AM300" s="236">
        <f ca="1" t="shared" si="111"/>
        <v>13.3319879209511</v>
      </c>
      <c r="AN300" s="236">
        <f ca="1">INDEX(Photobiology!$21:$421,1+$AH300-380,AN$14)</f>
        <v>8.65862637547114e-8</v>
      </c>
      <c r="AO300" s="236">
        <f ca="1">INDEX(Photobiology!$21:$421,1+$AH300-380,AO$14)</f>
        <v>0.0108722392316166</v>
      </c>
      <c r="AP300" s="236">
        <f ca="1">INDEX(Photobiology!$21:$421,1+$AH300-380,AP$14)</f>
        <v>0.10597587230379</v>
      </c>
      <c r="AQ300" s="236">
        <f ca="1">INDEX(Photobiology!$21:$421,1+$AH300-380,AQ$14)</f>
        <v>0.000356446208905864</v>
      </c>
      <c r="AR300" s="236">
        <f ca="1">INDEX(Photobiology!$21:$421,1+$AH300-380,AR$14)</f>
        <v>4.38418629375731e-5</v>
      </c>
      <c r="AS300" s="236">
        <f ca="1" t="shared" si="112"/>
        <v>4.4241024877121e+19</v>
      </c>
      <c r="AT300" s="236">
        <f ca="1">INDEX(Photobiology!$21:$421,1+$AH300-380,AT$14)</f>
        <v>5.78117694265144e-8</v>
      </c>
      <c r="AU300" s="236">
        <f ca="1">INDEX(Photobiology!$21:$421,1+$AH300-380,AU$14)</f>
        <v>0.00895898584699889</v>
      </c>
      <c r="AV300" s="236">
        <f ca="1">INDEX(Photobiology!$21:$421,1+$AH300-380,AV$14)</f>
        <v>0.091547111148135</v>
      </c>
      <c r="AW300" s="236">
        <f ca="1">INDEX(Photobiology!$21:$421,1+$AH300-380,AW$14)</f>
        <v>0.000275709859978643</v>
      </c>
      <c r="AX300" s="236">
        <f ca="1">INDEX(Photobiology!$21:$421,1+$AH300-380,AX$14)</f>
        <v>3.25173051554747e-5</v>
      </c>
      <c r="AY300" s="236">
        <f ca="1" t="shared" si="99"/>
        <v>13.3319879209511</v>
      </c>
      <c r="AZ300" s="236">
        <f ca="1" t="shared" si="113"/>
        <v>1.1543670224981e-6</v>
      </c>
      <c r="BA300" s="236">
        <f ca="1" t="shared" si="100"/>
        <v>0.144948562109604</v>
      </c>
      <c r="BB300" s="236">
        <f ca="1" t="shared" si="101"/>
        <v>1.41286904946639</v>
      </c>
      <c r="BC300" s="236">
        <f ca="1" t="shared" si="102"/>
        <v>0.00475213655160181</v>
      </c>
      <c r="BD300" s="236">
        <f ca="1" t="shared" si="103"/>
        <v>0.00058449918711572</v>
      </c>
    </row>
    <row r="301" s="234" customFormat="1" ht="0.2" customHeight="1" spans="7:56">
      <c r="G301" s="236"/>
      <c r="H301" s="236">
        <f t="shared" si="104"/>
        <v>660</v>
      </c>
      <c r="I301" s="236">
        <f>IF($H301&gt;$H300,INDEX(Spectra!301:301,1,MATCH($I$20,Spectra!$20:$20,0)),I300)</f>
        <v>9.06646280868406</v>
      </c>
      <c r="J301" s="236">
        <f>((Physics!$C$9*Physics!$C$10)/(Physics!$C$11*Physics!$C$12*$H301))^($J$17-$J$18)</f>
        <v>3.32344723931987e+18</v>
      </c>
      <c r="K301" s="236">
        <f t="shared" si="105"/>
        <v>1</v>
      </c>
      <c r="L301" s="236">
        <f ca="1">INDEX(Photobiology!$21:$421,1+$H301-380,10)</f>
        <v>0.061</v>
      </c>
      <c r="M301" s="236">
        <f ca="1" t="shared" si="106"/>
        <v>9.06646280868406</v>
      </c>
      <c r="N301" s="236">
        <f ca="1">INDEX(Photobiology!$21:$421,1+$H301-380,N$14)</f>
        <v>8.1142428219834e-8</v>
      </c>
      <c r="O301" s="236">
        <f ca="1">INDEX(Photobiology!$21:$421,1+$H301-380,O$14)</f>
        <v>0.0100749523314379</v>
      </c>
      <c r="P301" s="236">
        <f ca="1">INDEX(Photobiology!$21:$421,1+$H301-380,P$14)</f>
        <v>0.099887006957201</v>
      </c>
      <c r="Q301" s="236">
        <f ca="1">INDEX(Photobiology!$21:$421,1+$H301-380,Q$14)</f>
        <v>0.000330151291116739</v>
      </c>
      <c r="R301" s="236">
        <f ca="1">INDEX(Photobiology!$21:$421,1+$H301-380,R$14)</f>
        <v>4.06945265350781e-5</v>
      </c>
      <c r="S301" s="236">
        <f ca="1" t="shared" si="107"/>
        <v>3.01319107919173e+19</v>
      </c>
      <c r="T301" s="236">
        <f ca="1">INDEX(Photobiology!$21:$421,1+$H301-380,T$14)</f>
        <v>5.4094952146556e-8</v>
      </c>
      <c r="U301" s="236">
        <f ca="1">INDEX(Photobiology!$21:$421,1+$H301-380,U$14)</f>
        <v>0.00828942353063243</v>
      </c>
      <c r="V301" s="236">
        <f ca="1">INDEX(Photobiology!$21:$421,1+$H301-380,V$14)</f>
        <v>0.0861565149526264</v>
      </c>
      <c r="W301" s="236">
        <f ca="1">INDEX(Photobiology!$21:$421,1+$H301-380,W$14)</f>
        <v>0.000254983910177853</v>
      </c>
      <c r="X301" s="236">
        <f ca="1">INDEX(Photobiology!$21:$421,1+$H301-380,X$14)</f>
        <v>3.01372087046653e-5</v>
      </c>
      <c r="Y301" s="236">
        <f ca="1" t="shared" si="94"/>
        <v>9.06646280868406</v>
      </c>
      <c r="Z301" s="236">
        <f ca="1" t="shared" si="108"/>
        <v>7.35674807661441e-7</v>
      </c>
      <c r="AA301" s="236">
        <f ca="1" t="shared" si="95"/>
        <v>0.0913441806122465</v>
      </c>
      <c r="AB301" s="236">
        <f ca="1" t="shared" si="96"/>
        <v>0.905621833648229</v>
      </c>
      <c r="AC301" s="236">
        <f ca="1" t="shared" si="97"/>
        <v>0.00299330440214894</v>
      </c>
      <c r="AD301" s="236">
        <f ca="1" t="shared" si="98"/>
        <v>0.000368955411347292</v>
      </c>
      <c r="AE301" s="236"/>
      <c r="AF301" s="236"/>
      <c r="AG301" s="236"/>
      <c r="AH301" s="236">
        <f t="shared" si="109"/>
        <v>660</v>
      </c>
      <c r="AI301" s="236">
        <f>IF($AH301&gt;$AH300,INDEX(Spectra!301:301,1,MATCH($AI$20,Spectra!$20:$20,0)),AI300)</f>
        <v>1</v>
      </c>
      <c r="AJ301" s="236">
        <f>((Physics!$C$9*Physics!$C$10)/(Physics!$C$11*Physics!$C$12*$AH301))^($AJ$17-$AJ$18)</f>
        <v>3.32344723931987e+18</v>
      </c>
      <c r="AK301" s="236">
        <f t="shared" si="110"/>
        <v>1</v>
      </c>
      <c r="AL301" s="236">
        <f ca="1">INDEX(Photobiology!$21:$421,1+$AH301-380,10)</f>
        <v>0.061</v>
      </c>
      <c r="AM301" s="236">
        <f ca="1" t="shared" si="111"/>
        <v>13.3319879209511</v>
      </c>
      <c r="AN301" s="236">
        <f ca="1">INDEX(Photobiology!$21:$421,1+$AH301-380,AN$14)</f>
        <v>8.1142428219834e-8</v>
      </c>
      <c r="AO301" s="236">
        <f ca="1">INDEX(Photobiology!$21:$421,1+$AH301-380,AO$14)</f>
        <v>0.0100749523314379</v>
      </c>
      <c r="AP301" s="236">
        <f ca="1">INDEX(Photobiology!$21:$421,1+$AH301-380,AP$14)</f>
        <v>0.099887006957201</v>
      </c>
      <c r="AQ301" s="236">
        <f ca="1">INDEX(Photobiology!$21:$421,1+$AH301-380,AQ$14)</f>
        <v>0.000330151291116739</v>
      </c>
      <c r="AR301" s="236">
        <f ca="1">INDEX(Photobiology!$21:$421,1+$AH301-380,AR$14)</f>
        <v>4.06945265350781e-5</v>
      </c>
      <c r="AS301" s="236">
        <f ca="1" t="shared" si="112"/>
        <v>4.43081584505309e+19</v>
      </c>
      <c r="AT301" s="236">
        <f ca="1">INDEX(Photobiology!$21:$421,1+$AH301-380,AT$14)</f>
        <v>5.4094952146556e-8</v>
      </c>
      <c r="AU301" s="236">
        <f ca="1">INDEX(Photobiology!$21:$421,1+$AH301-380,AU$14)</f>
        <v>0.00828942353063243</v>
      </c>
      <c r="AV301" s="236">
        <f ca="1">INDEX(Photobiology!$21:$421,1+$AH301-380,AV$14)</f>
        <v>0.0861565149526264</v>
      </c>
      <c r="AW301" s="236">
        <f ca="1">INDEX(Photobiology!$21:$421,1+$AH301-380,AW$14)</f>
        <v>0.000254983910177853</v>
      </c>
      <c r="AX301" s="236">
        <f ca="1">INDEX(Photobiology!$21:$421,1+$AH301-380,AX$14)</f>
        <v>3.01372087046653e-5</v>
      </c>
      <c r="AY301" s="236">
        <f ca="1" t="shared" si="99"/>
        <v>13.3319879209511</v>
      </c>
      <c r="AZ301" s="236">
        <f ca="1" t="shared" si="113"/>
        <v>1.08178987290347e-6</v>
      </c>
      <c r="BA301" s="236">
        <f ca="1" t="shared" si="100"/>
        <v>0.134319142786889</v>
      </c>
      <c r="BB301" s="236">
        <f ca="1" t="shared" si="101"/>
        <v>1.33169237021337</v>
      </c>
      <c r="BC301" s="236">
        <f ca="1" t="shared" si="102"/>
        <v>0.00440157302525479</v>
      </c>
      <c r="BD301" s="236">
        <f ca="1" t="shared" si="103"/>
        <v>0.000542538936214487</v>
      </c>
    </row>
    <row r="302" s="234" customFormat="1" ht="0.2" customHeight="1" spans="7:56">
      <c r="G302" s="236"/>
      <c r="H302" s="236">
        <f t="shared" si="104"/>
        <v>661</v>
      </c>
      <c r="I302" s="236">
        <f>IF($H302&gt;$H301,INDEX(Spectra!302:302,1,MATCH($I$20,Spectra!$20:$20,0)),I301)</f>
        <v>8.92174159486832</v>
      </c>
      <c r="J302" s="236">
        <f>((Physics!$C$9*Physics!$C$10)/(Physics!$C$11*Physics!$C$12*$H302))^($J$17-$J$18)</f>
        <v>3.32848276544005e+18</v>
      </c>
      <c r="K302" s="236">
        <f t="shared" si="105"/>
        <v>1</v>
      </c>
      <c r="L302" s="236">
        <f ca="1">INDEX(Photobiology!$21:$421,1+$H302-380,10)</f>
        <v>0.05739621</v>
      </c>
      <c r="M302" s="236">
        <f ca="1" t="shared" si="106"/>
        <v>8.92174159486832</v>
      </c>
      <c r="N302" s="236">
        <f ca="1">INDEX(Photobiology!$21:$421,1+$H302-380,N$14)</f>
        <v>7.60559157819021e-8</v>
      </c>
      <c r="O302" s="236">
        <f ca="1">INDEX(Photobiology!$21:$421,1+$H302-380,O$14)</f>
        <v>0.00933550895763877</v>
      </c>
      <c r="P302" s="236">
        <f ca="1">INDEX(Photobiology!$21:$421,1+$H302-380,P$14)</f>
        <v>0.0940807996324563</v>
      </c>
      <c r="Q302" s="236">
        <f ca="1">INDEX(Photobiology!$21:$421,1+$H302-380,Q$14)</f>
        <v>0.00030585810961321</v>
      </c>
      <c r="R302" s="236">
        <f ca="1">INDEX(Photobiology!$21:$421,1+$H302-380,R$14)</f>
        <v>3.77814829250519e-5</v>
      </c>
      <c r="S302" s="236">
        <f ca="1" t="shared" si="107"/>
        <v>2.96958631362288e+19</v>
      </c>
      <c r="T302" s="236">
        <f ca="1">INDEX(Photobiology!$21:$421,1+$H302-380,T$14)</f>
        <v>5.06272359213872e-8</v>
      </c>
      <c r="U302" s="236">
        <f ca="1">INDEX(Photobiology!$21:$421,1+$H302-380,U$14)</f>
        <v>0.00766940735504901</v>
      </c>
      <c r="V302" s="236">
        <f ca="1">INDEX(Photobiology!$21:$421,1+$H302-380,V$14)</f>
        <v>0.0810256641256824</v>
      </c>
      <c r="W302" s="236">
        <f ca="1">INDEX(Photobiology!$21:$421,1+$H302-380,W$14)</f>
        <v>0.00023586432225457</v>
      </c>
      <c r="X302" s="236">
        <f ca="1">INDEX(Photobiology!$21:$421,1+$H302-380,X$14)</f>
        <v>2.79375618360031e-5</v>
      </c>
      <c r="Y302" s="236">
        <f ca="1" t="shared" si="94"/>
        <v>8.92174159486832</v>
      </c>
      <c r="Z302" s="236">
        <f ca="1" t="shared" si="108"/>
        <v>6.78551227367198e-7</v>
      </c>
      <c r="AA302" s="236">
        <f ca="1" t="shared" si="95"/>
        <v>0.0832889985766316</v>
      </c>
      <c r="AB302" s="236">
        <f ca="1" t="shared" si="96"/>
        <v>0.839364583359358</v>
      </c>
      <c r="AC302" s="236">
        <f ca="1" t="shared" si="97"/>
        <v>0.00272878701866397</v>
      </c>
      <c r="AD302" s="236">
        <f ca="1" t="shared" si="98"/>
        <v>0.000337076627728243</v>
      </c>
      <c r="AE302" s="236"/>
      <c r="AF302" s="236"/>
      <c r="AG302" s="236"/>
      <c r="AH302" s="236">
        <f t="shared" si="109"/>
        <v>661</v>
      </c>
      <c r="AI302" s="236">
        <f>IF($AH302&gt;$AH301,INDEX(Spectra!302:302,1,MATCH($AI$20,Spectra!$20:$20,0)),AI301)</f>
        <v>1</v>
      </c>
      <c r="AJ302" s="236">
        <f>((Physics!$C$9*Physics!$C$10)/(Physics!$C$11*Physics!$C$12*$AH302))^($AJ$17-$AJ$18)</f>
        <v>3.32848276544005e+18</v>
      </c>
      <c r="AK302" s="236">
        <f t="shared" si="110"/>
        <v>1</v>
      </c>
      <c r="AL302" s="236">
        <f ca="1">INDEX(Photobiology!$21:$421,1+$AH302-380,10)</f>
        <v>0.05739621</v>
      </c>
      <c r="AM302" s="236">
        <f ca="1" t="shared" si="111"/>
        <v>13.3319879209511</v>
      </c>
      <c r="AN302" s="236">
        <f ca="1">INDEX(Photobiology!$21:$421,1+$AH302-380,AN$14)</f>
        <v>7.60559157819021e-8</v>
      </c>
      <c r="AO302" s="236">
        <f ca="1">INDEX(Photobiology!$21:$421,1+$AH302-380,AO$14)</f>
        <v>0.00933550895763877</v>
      </c>
      <c r="AP302" s="236">
        <f ca="1">INDEX(Photobiology!$21:$421,1+$AH302-380,AP$14)</f>
        <v>0.0940807996324563</v>
      </c>
      <c r="AQ302" s="236">
        <f ca="1">INDEX(Photobiology!$21:$421,1+$AH302-380,AQ$14)</f>
        <v>0.00030585810961321</v>
      </c>
      <c r="AR302" s="236">
        <f ca="1">INDEX(Photobiology!$21:$421,1+$AH302-380,AR$14)</f>
        <v>3.77814829250519e-5</v>
      </c>
      <c r="AS302" s="236">
        <f ca="1" t="shared" si="112"/>
        <v>4.43752920239408e+19</v>
      </c>
      <c r="AT302" s="236">
        <f ca="1">INDEX(Photobiology!$21:$421,1+$AH302-380,AT$14)</f>
        <v>5.06272359213872e-8</v>
      </c>
      <c r="AU302" s="236">
        <f ca="1">INDEX(Photobiology!$21:$421,1+$AH302-380,AU$14)</f>
        <v>0.00766940735504901</v>
      </c>
      <c r="AV302" s="236">
        <f ca="1">INDEX(Photobiology!$21:$421,1+$AH302-380,AV$14)</f>
        <v>0.0810256641256824</v>
      </c>
      <c r="AW302" s="236">
        <f ca="1">INDEX(Photobiology!$21:$421,1+$AH302-380,AW$14)</f>
        <v>0.00023586432225457</v>
      </c>
      <c r="AX302" s="236">
        <f ca="1">INDEX(Photobiology!$21:$421,1+$AH302-380,AX$14)</f>
        <v>2.79375618360031e-5</v>
      </c>
      <c r="AY302" s="236">
        <f ca="1" t="shared" si="99"/>
        <v>13.3319879209511</v>
      </c>
      <c r="AZ302" s="236">
        <f ca="1" t="shared" si="113"/>
        <v>1.0139765505212e-6</v>
      </c>
      <c r="BA302" s="236">
        <f ca="1" t="shared" si="100"/>
        <v>0.124460892659171</v>
      </c>
      <c r="BB302" s="236">
        <f ca="1" t="shared" si="101"/>
        <v>1.25428408429333</v>
      </c>
      <c r="BC302" s="236">
        <f ca="1" t="shared" si="102"/>
        <v>0.00407769662288827</v>
      </c>
      <c r="BD302" s="236">
        <f ca="1" t="shared" si="103"/>
        <v>0.000503702273992414</v>
      </c>
    </row>
    <row r="303" s="234" customFormat="1" ht="0.2" customHeight="1" spans="7:56">
      <c r="G303" s="236"/>
      <c r="H303" s="236">
        <f t="shared" si="104"/>
        <v>662</v>
      </c>
      <c r="I303" s="236">
        <f>IF($H303&gt;$H302,INDEX(Spectra!303:303,1,MATCH($I$20,Spectra!$20:$20,0)),I302)</f>
        <v>8.78907077897767</v>
      </c>
      <c r="J303" s="236">
        <f>((Physics!$C$9*Physics!$C$10)/(Physics!$C$11*Physics!$C$12*$H303))^($J$17-$J$18)</f>
        <v>3.33351829156023e+18</v>
      </c>
      <c r="K303" s="236">
        <f t="shared" si="105"/>
        <v>1</v>
      </c>
      <c r="L303" s="236">
        <f ca="1">INDEX(Photobiology!$21:$421,1+$H303-380,10)</f>
        <v>0.05395504</v>
      </c>
      <c r="M303" s="236">
        <f ca="1" t="shared" si="106"/>
        <v>8.78907077897767</v>
      </c>
      <c r="N303" s="236">
        <f ca="1">INDEX(Photobiology!$21:$421,1+$H303-380,N$14)</f>
        <v>7.13027040265963e-8</v>
      </c>
      <c r="O303" s="236">
        <f ca="1">INDEX(Photobiology!$21:$421,1+$H303-380,O$14)</f>
        <v>0.00864985843921548</v>
      </c>
      <c r="P303" s="236">
        <f ca="1">INDEX(Photobiology!$21:$421,1+$H303-380,P$14)</f>
        <v>0.0885500885866279</v>
      </c>
      <c r="Q303" s="236">
        <f ca="1">INDEX(Photobiology!$21:$421,1+$H303-380,Q$14)</f>
        <v>0.000283411194166429</v>
      </c>
      <c r="R303" s="236">
        <f ca="1">INDEX(Photobiology!$21:$421,1+$H303-380,R$14)</f>
        <v>3.50846380098338e-5</v>
      </c>
      <c r="S303" s="236">
        <f ca="1" t="shared" si="107"/>
        <v>2.92985282075396e+19</v>
      </c>
      <c r="T303" s="236">
        <f ca="1">INDEX(Photobiology!$21:$421,1+$H303-380,T$14)</f>
        <v>4.73915253348978e-8</v>
      </c>
      <c r="U303" s="236">
        <f ca="1">INDEX(Photobiology!$21:$421,1+$H303-380,U$14)</f>
        <v>0.00709539006707481</v>
      </c>
      <c r="V303" s="236">
        <f ca="1">INDEX(Photobiology!$21:$421,1+$H303-380,V$14)</f>
        <v>0.076147222947967</v>
      </c>
      <c r="W303" s="236">
        <f ca="1">INDEX(Photobiology!$21:$421,1+$H303-380,W$14)</f>
        <v>0.000218224105925904</v>
      </c>
      <c r="X303" s="236">
        <f ca="1">INDEX(Photobiology!$21:$421,1+$H303-380,X$14)</f>
        <v>2.59041873114418e-5</v>
      </c>
      <c r="Y303" s="236">
        <f ca="1" t="shared" si="94"/>
        <v>8.78907077897767</v>
      </c>
      <c r="Z303" s="236">
        <f ca="1" t="shared" si="108"/>
        <v>6.26684512422251e-7</v>
      </c>
      <c r="AA303" s="236">
        <f ca="1" t="shared" si="95"/>
        <v>0.0760242180504022</v>
      </c>
      <c r="AB303" s="236">
        <f ca="1" t="shared" si="96"/>
        <v>0.778272996072615</v>
      </c>
      <c r="AC303" s="236">
        <f ca="1" t="shared" si="97"/>
        <v>0.00249092104508333</v>
      </c>
      <c r="AD303" s="236">
        <f ca="1" t="shared" si="98"/>
        <v>0.00030836136672324</v>
      </c>
      <c r="AE303" s="236"/>
      <c r="AF303" s="236"/>
      <c r="AG303" s="236"/>
      <c r="AH303" s="236">
        <f t="shared" si="109"/>
        <v>662</v>
      </c>
      <c r="AI303" s="236">
        <f>IF($AH303&gt;$AH302,INDEX(Spectra!303:303,1,MATCH($AI$20,Spectra!$20:$20,0)),AI302)</f>
        <v>1</v>
      </c>
      <c r="AJ303" s="236">
        <f>((Physics!$C$9*Physics!$C$10)/(Physics!$C$11*Physics!$C$12*$AH303))^($AJ$17-$AJ$18)</f>
        <v>3.33351829156023e+18</v>
      </c>
      <c r="AK303" s="236">
        <f t="shared" si="110"/>
        <v>1</v>
      </c>
      <c r="AL303" s="236">
        <f ca="1">INDEX(Photobiology!$21:$421,1+$AH303-380,10)</f>
        <v>0.05395504</v>
      </c>
      <c r="AM303" s="236">
        <f ca="1" t="shared" si="111"/>
        <v>13.3319879209511</v>
      </c>
      <c r="AN303" s="236">
        <f ca="1">INDEX(Photobiology!$21:$421,1+$AH303-380,AN$14)</f>
        <v>7.13027040265963e-8</v>
      </c>
      <c r="AO303" s="236">
        <f ca="1">INDEX(Photobiology!$21:$421,1+$AH303-380,AO$14)</f>
        <v>0.00864985843921548</v>
      </c>
      <c r="AP303" s="236">
        <f ca="1">INDEX(Photobiology!$21:$421,1+$AH303-380,AP$14)</f>
        <v>0.0885500885866279</v>
      </c>
      <c r="AQ303" s="236">
        <f ca="1">INDEX(Photobiology!$21:$421,1+$AH303-380,AQ$14)</f>
        <v>0.000283411194166429</v>
      </c>
      <c r="AR303" s="236">
        <f ca="1">INDEX(Photobiology!$21:$421,1+$AH303-380,AR$14)</f>
        <v>3.50846380098338e-5</v>
      </c>
      <c r="AS303" s="236">
        <f ca="1" t="shared" si="112"/>
        <v>4.44424255973507e+19</v>
      </c>
      <c r="AT303" s="236">
        <f ca="1">INDEX(Photobiology!$21:$421,1+$AH303-380,AT$14)</f>
        <v>4.73915253348978e-8</v>
      </c>
      <c r="AU303" s="236">
        <f ca="1">INDEX(Photobiology!$21:$421,1+$AH303-380,AU$14)</f>
        <v>0.00709539006707481</v>
      </c>
      <c r="AV303" s="236">
        <f ca="1">INDEX(Photobiology!$21:$421,1+$AH303-380,AV$14)</f>
        <v>0.076147222947967</v>
      </c>
      <c r="AW303" s="236">
        <f ca="1">INDEX(Photobiology!$21:$421,1+$AH303-380,AW$14)</f>
        <v>0.000218224105925904</v>
      </c>
      <c r="AX303" s="236">
        <f ca="1">INDEX(Photobiology!$21:$421,1+$AH303-380,AX$14)</f>
        <v>2.59041873114418e-5</v>
      </c>
      <c r="AY303" s="236">
        <f ca="1" t="shared" si="99"/>
        <v>13.3319879209511</v>
      </c>
      <c r="AZ303" s="236">
        <f ca="1" t="shared" si="113"/>
        <v>9.50606788813736e-7</v>
      </c>
      <c r="BA303" s="236">
        <f ca="1" t="shared" si="100"/>
        <v>0.115319808229558</v>
      </c>
      <c r="BB303" s="236">
        <f ca="1" t="shared" si="101"/>
        <v>1.18054871143608</v>
      </c>
      <c r="BC303" s="236">
        <f ca="1" t="shared" si="102"/>
        <v>0.00377843461728917</v>
      </c>
      <c r="BD303" s="236">
        <f ca="1" t="shared" si="103"/>
        <v>0.000467747970158048</v>
      </c>
    </row>
    <row r="304" s="234" customFormat="1" ht="0.2" customHeight="1" spans="7:56">
      <c r="G304" s="236"/>
      <c r="H304" s="236">
        <f t="shared" si="104"/>
        <v>663</v>
      </c>
      <c r="I304" s="236">
        <f>IF($H304&gt;$H303,INDEX(Spectra!304:304,1,MATCH($I$20,Spectra!$20:$20,0)),I303)</f>
        <v>8.65967164920324</v>
      </c>
      <c r="J304" s="236">
        <f>((Physics!$C$9*Physics!$C$10)/(Physics!$C$11*Physics!$C$12*$H304))^($J$17-$J$18)</f>
        <v>3.33855381768042e+18</v>
      </c>
      <c r="K304" s="236">
        <f t="shared" si="105"/>
        <v>1</v>
      </c>
      <c r="L304" s="236">
        <f ca="1">INDEX(Photobiology!$21:$421,1+$H304-380,10)</f>
        <v>0.05067376</v>
      </c>
      <c r="M304" s="236">
        <f ca="1" t="shared" si="106"/>
        <v>8.65967164920324</v>
      </c>
      <c r="N304" s="236">
        <f ca="1">INDEX(Photobiology!$21:$421,1+$H304-380,N$14)</f>
        <v>6.6859788740286e-8</v>
      </c>
      <c r="O304" s="236">
        <f ca="1">INDEX(Photobiology!$21:$421,1+$H304-380,O$14)</f>
        <v>0.00801423365245625</v>
      </c>
      <c r="P304" s="236">
        <f ca="1">INDEX(Photobiology!$21:$421,1+$H304-380,P$14)</f>
        <v>0.0832879168703085</v>
      </c>
      <c r="Q304" s="236">
        <f ca="1">INDEX(Photobiology!$21:$421,1+$H304-380,Q$14)</f>
        <v>0.000262664874752954</v>
      </c>
      <c r="R304" s="236">
        <f ca="1">INDEX(Photobiology!$21:$421,1+$H304-380,R$14)</f>
        <v>3.25874216498056e-5</v>
      </c>
      <c r="S304" s="236">
        <f ca="1" t="shared" si="107"/>
        <v>2.89107798443064e+19</v>
      </c>
      <c r="T304" s="236">
        <f ca="1">INDEX(Photobiology!$21:$421,1+$H304-380,T$14)</f>
        <v>4.43715038397072e-8</v>
      </c>
      <c r="U304" s="236">
        <f ca="1">INDEX(Photobiology!$21:$421,1+$H304-380,U$14)</f>
        <v>0.00656407805487821</v>
      </c>
      <c r="V304" s="236">
        <f ca="1">INDEX(Photobiology!$21:$421,1+$H304-380,V$14)</f>
        <v>0.0715140758011444</v>
      </c>
      <c r="W304" s="236">
        <f ca="1">INDEX(Photobiology!$21:$421,1+$H304-380,W$14)</f>
        <v>0.000201944571754054</v>
      </c>
      <c r="X304" s="236">
        <f ca="1">INDEX(Photobiology!$21:$421,1+$H304-380,X$14)</f>
        <v>2.40241169199863e-5</v>
      </c>
      <c r="Y304" s="236">
        <f ca="1" t="shared" si="94"/>
        <v>8.65967164920324</v>
      </c>
      <c r="Z304" s="236">
        <f ca="1" t="shared" si="108"/>
        <v>5.78983817025973e-7</v>
      </c>
      <c r="AA304" s="236">
        <f ca="1" t="shared" si="95"/>
        <v>0.0694006319502659</v>
      </c>
      <c r="AB304" s="236">
        <f ca="1" t="shared" si="96"/>
        <v>0.721246012443007</v>
      </c>
      <c r="AC304" s="236">
        <f ca="1" t="shared" si="97"/>
        <v>0.00227459156913968</v>
      </c>
      <c r="AD304" s="236">
        <f ca="1" t="shared" si="98"/>
        <v>0.000282196371381453</v>
      </c>
      <c r="AE304" s="236"/>
      <c r="AF304" s="236"/>
      <c r="AG304" s="236"/>
      <c r="AH304" s="236">
        <f t="shared" si="109"/>
        <v>663</v>
      </c>
      <c r="AI304" s="236">
        <f>IF($AH304&gt;$AH303,INDEX(Spectra!304:304,1,MATCH($AI$20,Spectra!$20:$20,0)),AI303)</f>
        <v>1</v>
      </c>
      <c r="AJ304" s="236">
        <f>((Physics!$C$9*Physics!$C$10)/(Physics!$C$11*Physics!$C$12*$AH304))^($AJ$17-$AJ$18)</f>
        <v>3.33855381768042e+18</v>
      </c>
      <c r="AK304" s="236">
        <f t="shared" si="110"/>
        <v>1</v>
      </c>
      <c r="AL304" s="236">
        <f ca="1">INDEX(Photobiology!$21:$421,1+$AH304-380,10)</f>
        <v>0.05067376</v>
      </c>
      <c r="AM304" s="236">
        <f ca="1" t="shared" si="111"/>
        <v>13.3319879209511</v>
      </c>
      <c r="AN304" s="236">
        <f ca="1">INDEX(Photobiology!$21:$421,1+$AH304-380,AN$14)</f>
        <v>6.6859788740286e-8</v>
      </c>
      <c r="AO304" s="236">
        <f ca="1">INDEX(Photobiology!$21:$421,1+$AH304-380,AO$14)</f>
        <v>0.00801423365245625</v>
      </c>
      <c r="AP304" s="236">
        <f ca="1">INDEX(Photobiology!$21:$421,1+$AH304-380,AP$14)</f>
        <v>0.0832879168703085</v>
      </c>
      <c r="AQ304" s="236">
        <f ca="1">INDEX(Photobiology!$21:$421,1+$AH304-380,AQ$14)</f>
        <v>0.000262664874752954</v>
      </c>
      <c r="AR304" s="236">
        <f ca="1">INDEX(Photobiology!$21:$421,1+$AH304-380,AR$14)</f>
        <v>3.25874216498056e-5</v>
      </c>
      <c r="AS304" s="236">
        <f ca="1" t="shared" si="112"/>
        <v>4.45095591707606e+19</v>
      </c>
      <c r="AT304" s="236">
        <f ca="1">INDEX(Photobiology!$21:$421,1+$AH304-380,AT$14)</f>
        <v>4.43715038397072e-8</v>
      </c>
      <c r="AU304" s="236">
        <f ca="1">INDEX(Photobiology!$21:$421,1+$AH304-380,AU$14)</f>
        <v>0.00656407805487821</v>
      </c>
      <c r="AV304" s="236">
        <f ca="1">INDEX(Photobiology!$21:$421,1+$AH304-380,AV$14)</f>
        <v>0.0715140758011444</v>
      </c>
      <c r="AW304" s="236">
        <f ca="1">INDEX(Photobiology!$21:$421,1+$AH304-380,AW$14)</f>
        <v>0.000201944571754054</v>
      </c>
      <c r="AX304" s="236">
        <f ca="1">INDEX(Photobiology!$21:$421,1+$AH304-380,AX$14)</f>
        <v>2.40241169199863e-5</v>
      </c>
      <c r="AY304" s="236">
        <f ca="1" t="shared" si="99"/>
        <v>13.3319879209511</v>
      </c>
      <c r="AZ304" s="236">
        <f ca="1" t="shared" si="113"/>
        <v>8.91373895882838e-7</v>
      </c>
      <c r="BA304" s="236">
        <f ca="1" t="shared" si="100"/>
        <v>0.106845666250227</v>
      </c>
      <c r="BB304" s="236">
        <f ca="1" t="shared" si="101"/>
        <v>1.11039350167614</v>
      </c>
      <c r="BC304" s="236">
        <f ca="1" t="shared" si="102"/>
        <v>0.00350184493746453</v>
      </c>
      <c r="BD304" s="236">
        <f ca="1" t="shared" si="103"/>
        <v>0.00043445511181015</v>
      </c>
    </row>
    <row r="305" s="234" customFormat="1" ht="0.2" customHeight="1" spans="7:56">
      <c r="G305" s="236"/>
      <c r="H305" s="236">
        <f t="shared" si="104"/>
        <v>664</v>
      </c>
      <c r="I305" s="236">
        <f>IF($H305&gt;$H304,INDEX(Spectra!305:305,1,MATCH($I$20,Spectra!$20:$20,0)),I304)</f>
        <v>8.50394272941239</v>
      </c>
      <c r="J305" s="236">
        <f>((Physics!$C$9*Physics!$C$10)/(Physics!$C$11*Physics!$C$12*$H305))^($J$17-$J$18)</f>
        <v>3.3435893438006e+18</v>
      </c>
      <c r="K305" s="236">
        <f t="shared" si="105"/>
        <v>1</v>
      </c>
      <c r="L305" s="236">
        <f ca="1">INDEX(Photobiology!$21:$421,1+$H305-380,10)</f>
        <v>0.04754965</v>
      </c>
      <c r="M305" s="236">
        <f ca="1" t="shared" si="106"/>
        <v>8.50394272941239</v>
      </c>
      <c r="N305" s="236">
        <f ca="1">INDEX(Photobiology!$21:$421,1+$H305-380,N$14)</f>
        <v>6.27059858324344e-8</v>
      </c>
      <c r="O305" s="236">
        <f ca="1">INDEX(Photobiology!$21:$421,1+$H305-380,O$14)</f>
        <v>0.00742511184760041</v>
      </c>
      <c r="P305" s="236">
        <f ca="1">INDEX(Photobiology!$21:$421,1+$H305-380,P$14)</f>
        <v>0.0782868826518908</v>
      </c>
      <c r="Q305" s="236">
        <f ca="1">INDEX(Photobiology!$21:$421,1+$H305-380,Q$14)</f>
        <v>0.000243488245329899</v>
      </c>
      <c r="R305" s="236">
        <f ca="1">INDEX(Photobiology!$21:$421,1+$H305-380,R$14)</f>
        <v>3.02745711553093e-5</v>
      </c>
      <c r="S305" s="236">
        <f ca="1" t="shared" si="107"/>
        <v>2.84336922903539e+19</v>
      </c>
      <c r="T305" s="236">
        <f ca="1">INDEX(Photobiology!$21:$421,1+$H305-380,T$14)</f>
        <v>4.15521592865529e-8</v>
      </c>
      <c r="U305" s="236">
        <f ca="1">INDEX(Photobiology!$21:$421,1+$H305-380,U$14)</f>
        <v>0.00607239740131828</v>
      </c>
      <c r="V305" s="236">
        <f ca="1">INDEX(Photobiology!$21:$421,1+$H305-380,V$14)</f>
        <v>0.0671187685150815</v>
      </c>
      <c r="W305" s="236">
        <f ca="1">INDEX(Photobiology!$21:$421,1+$H305-380,W$14)</f>
        <v>0.000186919079190552</v>
      </c>
      <c r="X305" s="236">
        <f ca="1">INDEX(Photobiology!$21:$421,1+$H305-380,X$14)</f>
        <v>2.22854229997487e-5</v>
      </c>
      <c r="Y305" s="236">
        <f ca="1" t="shared" si="94"/>
        <v>8.50394272941239</v>
      </c>
      <c r="Z305" s="236">
        <f ca="1" t="shared" si="108"/>
        <v>5.33248112310367e-7</v>
      </c>
      <c r="AA305" s="236">
        <f ca="1" t="shared" si="95"/>
        <v>0.0631427259114753</v>
      </c>
      <c r="AB305" s="236">
        <f ca="1" t="shared" si="96"/>
        <v>0.665747166535908</v>
      </c>
      <c r="AC305" s="236">
        <f ca="1" t="shared" si="97"/>
        <v>0.00207061009357057</v>
      </c>
      <c r="AD305" s="236">
        <f ca="1" t="shared" si="98"/>
        <v>0.000257453219262271</v>
      </c>
      <c r="AE305" s="236"/>
      <c r="AF305" s="236"/>
      <c r="AG305" s="236"/>
      <c r="AH305" s="236">
        <f t="shared" si="109"/>
        <v>664</v>
      </c>
      <c r="AI305" s="236">
        <f>IF($AH305&gt;$AH304,INDEX(Spectra!305:305,1,MATCH($AI$20,Spectra!$20:$20,0)),AI304)</f>
        <v>1</v>
      </c>
      <c r="AJ305" s="236">
        <f>((Physics!$C$9*Physics!$C$10)/(Physics!$C$11*Physics!$C$12*$AH305))^($AJ$17-$AJ$18)</f>
        <v>3.3435893438006e+18</v>
      </c>
      <c r="AK305" s="236">
        <f t="shared" si="110"/>
        <v>1</v>
      </c>
      <c r="AL305" s="236">
        <f ca="1">INDEX(Photobiology!$21:$421,1+$AH305-380,10)</f>
        <v>0.04754965</v>
      </c>
      <c r="AM305" s="236">
        <f ca="1" t="shared" si="111"/>
        <v>13.3319879209511</v>
      </c>
      <c r="AN305" s="236">
        <f ca="1">INDEX(Photobiology!$21:$421,1+$AH305-380,AN$14)</f>
        <v>6.27059858324344e-8</v>
      </c>
      <c r="AO305" s="236">
        <f ca="1">INDEX(Photobiology!$21:$421,1+$AH305-380,AO$14)</f>
        <v>0.00742511184760041</v>
      </c>
      <c r="AP305" s="236">
        <f ca="1">INDEX(Photobiology!$21:$421,1+$AH305-380,AP$14)</f>
        <v>0.0782868826518908</v>
      </c>
      <c r="AQ305" s="236">
        <f ca="1">INDEX(Photobiology!$21:$421,1+$AH305-380,AQ$14)</f>
        <v>0.000243488245329899</v>
      </c>
      <c r="AR305" s="236">
        <f ca="1">INDEX(Photobiology!$21:$421,1+$AH305-380,AR$14)</f>
        <v>3.02745711553093e-5</v>
      </c>
      <c r="AS305" s="236">
        <f ca="1" t="shared" si="112"/>
        <v>4.45766927441705e+19</v>
      </c>
      <c r="AT305" s="236">
        <f ca="1">INDEX(Photobiology!$21:$421,1+$AH305-380,AT$14)</f>
        <v>4.15521592865529e-8</v>
      </c>
      <c r="AU305" s="236">
        <f ca="1">INDEX(Photobiology!$21:$421,1+$AH305-380,AU$14)</f>
        <v>0.00607239740131828</v>
      </c>
      <c r="AV305" s="236">
        <f ca="1">INDEX(Photobiology!$21:$421,1+$AH305-380,AV$14)</f>
        <v>0.0671187685150815</v>
      </c>
      <c r="AW305" s="236">
        <f ca="1">INDEX(Photobiology!$21:$421,1+$AH305-380,AW$14)</f>
        <v>0.000186919079190552</v>
      </c>
      <c r="AX305" s="236">
        <f ca="1">INDEX(Photobiology!$21:$421,1+$AH305-380,AX$14)</f>
        <v>2.22854229997487e-5</v>
      </c>
      <c r="AY305" s="236">
        <f ca="1" t="shared" si="99"/>
        <v>13.3319879209511</v>
      </c>
      <c r="AZ305" s="236">
        <f ca="1" t="shared" si="113"/>
        <v>8.35995445689349e-7</v>
      </c>
      <c r="BA305" s="236">
        <f ca="1" t="shared" si="100"/>
        <v>0.0989915014639199</v>
      </c>
      <c r="BB305" s="236">
        <f ca="1" t="shared" si="101"/>
        <v>1.04371977388393</v>
      </c>
      <c r="BC305" s="236">
        <f ca="1" t="shared" si="102"/>
        <v>0.0032461823456318</v>
      </c>
      <c r="BD305" s="236">
        <f ca="1" t="shared" si="103"/>
        <v>0.000403620216954559</v>
      </c>
    </row>
    <row r="306" s="234" customFormat="1" ht="0.2" customHeight="1" spans="7:56">
      <c r="G306" s="236"/>
      <c r="H306" s="236">
        <f t="shared" si="104"/>
        <v>665</v>
      </c>
      <c r="I306" s="236">
        <f>IF($H306&gt;$H305,INDEX(Spectra!306:306,1,MATCH($I$20,Spectra!$20:$20,0)),I305)</f>
        <v>8.3482965478233</v>
      </c>
      <c r="J306" s="236">
        <f>((Physics!$C$9*Physics!$C$10)/(Physics!$C$11*Physics!$C$12*$H306))^($J$17-$J$18)</f>
        <v>3.34862486992078e+18</v>
      </c>
      <c r="K306" s="236">
        <f t="shared" si="105"/>
        <v>1</v>
      </c>
      <c r="L306" s="236">
        <f ca="1">INDEX(Photobiology!$21:$421,1+$H306-380,10)</f>
        <v>0.04458</v>
      </c>
      <c r="M306" s="236">
        <f ca="1" t="shared" si="106"/>
        <v>8.3482965478233</v>
      </c>
      <c r="N306" s="236">
        <f ca="1">INDEX(Photobiology!$21:$421,1+$H306-380,N$14)</f>
        <v>5.88220288738898e-8</v>
      </c>
      <c r="O306" s="236">
        <f ca="1">INDEX(Photobiology!$21:$421,1+$H306-380,O$14)</f>
        <v>0.00687916933487391</v>
      </c>
      <c r="P306" s="236">
        <f ca="1">INDEX(Photobiology!$21:$421,1+$H306-380,P$14)</f>
        <v>0.0735388780931165</v>
      </c>
      <c r="Q306" s="236">
        <f ca="1">INDEX(Photobiology!$21:$421,1+$H306-380,Q$14)</f>
        <v>0.000225757402722941</v>
      </c>
      <c r="R306" s="236">
        <f ca="1">INDEX(Photobiology!$21:$421,1+$H306-380,R$14)</f>
        <v>2.81320253443072e-5</v>
      </c>
      <c r="S306" s="236">
        <f ca="1" t="shared" si="107"/>
        <v>2.79553134415149e+19</v>
      </c>
      <c r="T306" s="236">
        <f ca="1">INDEX(Photobiology!$21:$421,1+$H306-380,T$14)</f>
        <v>3.89198386534008e-8</v>
      </c>
      <c r="U306" s="236">
        <f ca="1">INDEX(Photobiology!$21:$421,1+$H306-380,U$14)</f>
        <v>0.005617455229212</v>
      </c>
      <c r="V306" s="236">
        <f ca="1">INDEX(Photobiology!$21:$421,1+$H306-380,V$14)</f>
        <v>0.0629532873765896</v>
      </c>
      <c r="W306" s="236">
        <f ca="1">INDEX(Photobiology!$21:$421,1+$H306-380,W$14)</f>
        <v>0.000173046996955051</v>
      </c>
      <c r="X306" s="236">
        <f ca="1">INDEX(Photobiology!$21:$421,1+$H306-380,X$14)</f>
        <v>2.06771327462964e-5</v>
      </c>
      <c r="Y306" s="236">
        <f ca="1" t="shared" si="94"/>
        <v>8.3482965478233</v>
      </c>
      <c r="Z306" s="236">
        <f ca="1" t="shared" si="108"/>
        <v>4.91063740583857e-7</v>
      </c>
      <c r="AA306" s="236">
        <f ca="1" t="shared" si="95"/>
        <v>0.0574293456102198</v>
      </c>
      <c r="AB306" s="236">
        <f ca="1" t="shared" si="96"/>
        <v>0.613924362115563</v>
      </c>
      <c r="AC306" s="236">
        <f ca="1" t="shared" si="97"/>
        <v>0.00188468974579748</v>
      </c>
      <c r="AD306" s="236">
        <f ca="1" t="shared" si="98"/>
        <v>0.000234854490065157</v>
      </c>
      <c r="AE306" s="236"/>
      <c r="AF306" s="236"/>
      <c r="AG306" s="236"/>
      <c r="AH306" s="236">
        <f t="shared" si="109"/>
        <v>665</v>
      </c>
      <c r="AI306" s="236">
        <f>IF($AH306&gt;$AH305,INDEX(Spectra!306:306,1,MATCH($AI$20,Spectra!$20:$20,0)),AI305)</f>
        <v>1</v>
      </c>
      <c r="AJ306" s="236">
        <f>((Physics!$C$9*Physics!$C$10)/(Physics!$C$11*Physics!$C$12*$AH306))^($AJ$17-$AJ$18)</f>
        <v>3.34862486992078e+18</v>
      </c>
      <c r="AK306" s="236">
        <f t="shared" si="110"/>
        <v>1</v>
      </c>
      <c r="AL306" s="236">
        <f ca="1">INDEX(Photobiology!$21:$421,1+$AH306-380,10)</f>
        <v>0.04458</v>
      </c>
      <c r="AM306" s="236">
        <f ca="1" t="shared" si="111"/>
        <v>13.3319879209511</v>
      </c>
      <c r="AN306" s="236">
        <f ca="1">INDEX(Photobiology!$21:$421,1+$AH306-380,AN$14)</f>
        <v>5.88220288738898e-8</v>
      </c>
      <c r="AO306" s="236">
        <f ca="1">INDEX(Photobiology!$21:$421,1+$AH306-380,AO$14)</f>
        <v>0.00687916933487391</v>
      </c>
      <c r="AP306" s="236">
        <f ca="1">INDEX(Photobiology!$21:$421,1+$AH306-380,AP$14)</f>
        <v>0.0735388780931165</v>
      </c>
      <c r="AQ306" s="236">
        <f ca="1">INDEX(Photobiology!$21:$421,1+$AH306-380,AQ$14)</f>
        <v>0.000225757402722941</v>
      </c>
      <c r="AR306" s="236">
        <f ca="1">INDEX(Photobiology!$21:$421,1+$AH306-380,AR$14)</f>
        <v>2.81320253443072e-5</v>
      </c>
      <c r="AS306" s="236">
        <f ca="1" t="shared" si="112"/>
        <v>4.46438263175804e+19</v>
      </c>
      <c r="AT306" s="236">
        <f ca="1">INDEX(Photobiology!$21:$421,1+$AH306-380,AT$14)</f>
        <v>3.89198386534008e-8</v>
      </c>
      <c r="AU306" s="236">
        <f ca="1">INDEX(Photobiology!$21:$421,1+$AH306-380,AU$14)</f>
        <v>0.005617455229212</v>
      </c>
      <c r="AV306" s="236">
        <f ca="1">INDEX(Photobiology!$21:$421,1+$AH306-380,AV$14)</f>
        <v>0.0629532873765896</v>
      </c>
      <c r="AW306" s="236">
        <f ca="1">INDEX(Photobiology!$21:$421,1+$AH306-380,AW$14)</f>
        <v>0.000173046996955051</v>
      </c>
      <c r="AX306" s="236">
        <f ca="1">INDEX(Photobiology!$21:$421,1+$AH306-380,AX$14)</f>
        <v>2.06771327462964e-5</v>
      </c>
      <c r="AY306" s="236">
        <f ca="1" t="shared" si="99"/>
        <v>13.3319879209511</v>
      </c>
      <c r="AZ306" s="236">
        <f ca="1" t="shared" si="113"/>
        <v>7.84214578432538e-7</v>
      </c>
      <c r="BA306" s="236">
        <f ca="1" t="shared" si="100"/>
        <v>0.0917130024787165</v>
      </c>
      <c r="BB306" s="236">
        <f ca="1" t="shared" si="101"/>
        <v>0.980419434457728</v>
      </c>
      <c r="BC306" s="236">
        <f ca="1" t="shared" si="102"/>
        <v>0.00300979496616755</v>
      </c>
      <c r="BD306" s="236">
        <f ca="1" t="shared" si="103"/>
        <v>0.000375055822082195</v>
      </c>
    </row>
    <row r="307" s="234" customFormat="1" ht="0.2" customHeight="1" spans="7:56">
      <c r="G307" s="236"/>
      <c r="H307" s="236">
        <f t="shared" si="104"/>
        <v>666</v>
      </c>
      <c r="I307" s="236">
        <f>IF($H307&gt;$H306,INDEX(Spectra!307:307,1,MATCH($I$20,Spectra!$20:$20,0)),I306)</f>
        <v>8.19918217474644</v>
      </c>
      <c r="J307" s="236">
        <f>((Physics!$C$9*Physics!$C$10)/(Physics!$C$11*Physics!$C$12*$H307))^($J$17-$J$18)</f>
        <v>3.35366039604096e+18</v>
      </c>
      <c r="K307" s="236">
        <f t="shared" si="105"/>
        <v>1</v>
      </c>
      <c r="L307" s="236">
        <f ca="1">INDEX(Photobiology!$21:$421,1+$H307-380,10)</f>
        <v>0.04175872</v>
      </c>
      <c r="M307" s="236">
        <f ca="1" t="shared" si="106"/>
        <v>8.19918217474644</v>
      </c>
      <c r="N307" s="236">
        <f ca="1">INDEX(Photobiology!$21:$421,1+$H307-380,N$14)</f>
        <v>5.51894416064556e-8</v>
      </c>
      <c r="O307" s="236">
        <f ca="1">INDEX(Photobiology!$21:$421,1+$H307-380,O$14)</f>
        <v>0.00637335339104978</v>
      </c>
      <c r="P307" s="236">
        <f ca="1">INDEX(Photobiology!$21:$421,1+$H307-380,P$14)</f>
        <v>0.069036060393683</v>
      </c>
      <c r="Q307" s="236">
        <f ca="1">INDEX(Photobiology!$21:$421,1+$H307-380,Q$14)</f>
        <v>0.000209361586191212</v>
      </c>
      <c r="R307" s="236">
        <f ca="1">INDEX(Photobiology!$21:$421,1+$H307-380,R$14)</f>
        <v>2.61467671924628e-5</v>
      </c>
      <c r="S307" s="236">
        <f ca="1" t="shared" si="107"/>
        <v>2.74972725393721e+19</v>
      </c>
      <c r="T307" s="236">
        <f ca="1">INDEX(Photobiology!$21:$421,1+$H307-380,T$14)</f>
        <v>3.64614929532139e-8</v>
      </c>
      <c r="U307" s="236">
        <f ca="1">INDEX(Photobiology!$21:$421,1+$H307-380,U$14)</f>
        <v>0.00519659697212917</v>
      </c>
      <c r="V307" s="236">
        <f ca="1">INDEX(Photobiology!$21:$421,1+$H307-380,V$14)</f>
        <v>0.0590098933491525</v>
      </c>
      <c r="W307" s="236">
        <f ca="1">INDEX(Photobiology!$21:$421,1+$H307-380,W$14)</f>
        <v>0.000160238356938352</v>
      </c>
      <c r="X307" s="236">
        <f ca="1">INDEX(Photobiology!$21:$421,1+$H307-380,X$14)</f>
        <v>1.91891055649883e-5</v>
      </c>
      <c r="Y307" s="236">
        <f ca="1" t="shared" si="94"/>
        <v>8.19918217474644</v>
      </c>
      <c r="Z307" s="236">
        <f ca="1" t="shared" si="108"/>
        <v>4.5250828585386e-7</v>
      </c>
      <c r="AA307" s="236">
        <f ca="1" t="shared" si="95"/>
        <v>0.0522562855172551</v>
      </c>
      <c r="AB307" s="236">
        <f ca="1" t="shared" si="96"/>
        <v>0.566039235794604</v>
      </c>
      <c r="AC307" s="236">
        <f ca="1" t="shared" si="97"/>
        <v>0.00171659378557563</v>
      </c>
      <c r="AD307" s="236">
        <f ca="1" t="shared" si="98"/>
        <v>0.000214382107491686</v>
      </c>
      <c r="AE307" s="236"/>
      <c r="AF307" s="236"/>
      <c r="AG307" s="236"/>
      <c r="AH307" s="236">
        <f t="shared" si="109"/>
        <v>666</v>
      </c>
      <c r="AI307" s="236">
        <f>IF($AH307&gt;$AH306,INDEX(Spectra!307:307,1,MATCH($AI$20,Spectra!$20:$20,0)),AI306)</f>
        <v>1</v>
      </c>
      <c r="AJ307" s="236">
        <f>((Physics!$C$9*Physics!$C$10)/(Physics!$C$11*Physics!$C$12*$AH307))^($AJ$17-$AJ$18)</f>
        <v>3.35366039604096e+18</v>
      </c>
      <c r="AK307" s="236">
        <f t="shared" si="110"/>
        <v>1</v>
      </c>
      <c r="AL307" s="236">
        <f ca="1">INDEX(Photobiology!$21:$421,1+$AH307-380,10)</f>
        <v>0.04175872</v>
      </c>
      <c r="AM307" s="236">
        <f ca="1" t="shared" si="111"/>
        <v>13.3319879209511</v>
      </c>
      <c r="AN307" s="236">
        <f ca="1">INDEX(Photobiology!$21:$421,1+$AH307-380,AN$14)</f>
        <v>5.51894416064556e-8</v>
      </c>
      <c r="AO307" s="236">
        <f ca="1">INDEX(Photobiology!$21:$421,1+$AH307-380,AO$14)</f>
        <v>0.00637335339104978</v>
      </c>
      <c r="AP307" s="236">
        <f ca="1">INDEX(Photobiology!$21:$421,1+$AH307-380,AP$14)</f>
        <v>0.069036060393683</v>
      </c>
      <c r="AQ307" s="236">
        <f ca="1">INDEX(Photobiology!$21:$421,1+$AH307-380,AQ$14)</f>
        <v>0.000209361586191212</v>
      </c>
      <c r="AR307" s="236">
        <f ca="1">INDEX(Photobiology!$21:$421,1+$AH307-380,AR$14)</f>
        <v>2.61467671924628e-5</v>
      </c>
      <c r="AS307" s="236">
        <f ca="1" t="shared" si="112"/>
        <v>4.47109598909903e+19</v>
      </c>
      <c r="AT307" s="236">
        <f ca="1">INDEX(Photobiology!$21:$421,1+$AH307-380,AT$14)</f>
        <v>3.64614929532139e-8</v>
      </c>
      <c r="AU307" s="236">
        <f ca="1">INDEX(Photobiology!$21:$421,1+$AH307-380,AU$14)</f>
        <v>0.00519659697212917</v>
      </c>
      <c r="AV307" s="236">
        <f ca="1">INDEX(Photobiology!$21:$421,1+$AH307-380,AV$14)</f>
        <v>0.0590098933491525</v>
      </c>
      <c r="AW307" s="236">
        <f ca="1">INDEX(Photobiology!$21:$421,1+$AH307-380,AW$14)</f>
        <v>0.000160238356938352</v>
      </c>
      <c r="AX307" s="236">
        <f ca="1">INDEX(Photobiology!$21:$421,1+$AH307-380,AX$14)</f>
        <v>1.91891055649883e-5</v>
      </c>
      <c r="AY307" s="236">
        <f ca="1" t="shared" si="99"/>
        <v>13.3319879209511</v>
      </c>
      <c r="AZ307" s="236">
        <f ca="1" t="shared" si="113"/>
        <v>7.35784968861304e-7</v>
      </c>
      <c r="BA307" s="236">
        <f ca="1" t="shared" si="100"/>
        <v>0.0849694704254287</v>
      </c>
      <c r="BB307" s="236">
        <f ca="1" t="shared" si="101"/>
        <v>0.920387923278635</v>
      </c>
      <c r="BC307" s="236">
        <f ca="1" t="shared" si="102"/>
        <v>0.00279120613821241</v>
      </c>
      <c r="BD307" s="236">
        <f ca="1" t="shared" si="103"/>
        <v>0.000348588384381836</v>
      </c>
    </row>
    <row r="308" s="234" customFormat="1" ht="0.2" customHeight="1" spans="7:56">
      <c r="G308" s="236"/>
      <c r="H308" s="236">
        <f t="shared" si="104"/>
        <v>667</v>
      </c>
      <c r="I308" s="236">
        <f>IF($H308&gt;$H307,INDEX(Spectra!308:308,1,MATCH($I$20,Spectra!$20:$20,0)),I307)</f>
        <v>8.06240564765378</v>
      </c>
      <c r="J308" s="236">
        <f>((Physics!$C$9*Physics!$C$10)/(Physics!$C$11*Physics!$C$12*$H308))^($J$17-$J$18)</f>
        <v>3.35869592216114e+18</v>
      </c>
      <c r="K308" s="236">
        <f t="shared" si="105"/>
        <v>1</v>
      </c>
      <c r="L308" s="236">
        <f ca="1">INDEX(Photobiology!$21:$421,1+$H308-380,10)</f>
        <v>0.03908496</v>
      </c>
      <c r="M308" s="236">
        <f ca="1" t="shared" si="106"/>
        <v>8.06240564765378</v>
      </c>
      <c r="N308" s="236">
        <f ca="1">INDEX(Photobiology!$21:$421,1+$H308-380,N$14)</f>
        <v>5.1791203133989e-8</v>
      </c>
      <c r="O308" s="236">
        <f ca="1">INDEX(Photobiology!$21:$421,1+$H308-380,O$14)</f>
        <v>0.00590475659641629</v>
      </c>
      <c r="P308" s="236">
        <f ca="1">INDEX(Photobiology!$21:$421,1+$H308-380,P$14)</f>
        <v>0.0647701644918667</v>
      </c>
      <c r="Q308" s="236">
        <f ca="1">INDEX(Photobiology!$21:$421,1+$H308-380,Q$14)</f>
        <v>0.000194196769025476</v>
      </c>
      <c r="R308" s="236">
        <f ca="1">INDEX(Photobiology!$21:$421,1+$H308-380,R$14)</f>
        <v>2.43068678583294e-5</v>
      </c>
      <c r="S308" s="236">
        <f ca="1" t="shared" si="107"/>
        <v>2.70791689715837e+19</v>
      </c>
      <c r="T308" s="236">
        <f ca="1">INDEX(Photobiology!$21:$421,1+$H308-380,T$14)</f>
        <v>3.41651115126764e-8</v>
      </c>
      <c r="U308" s="236">
        <f ca="1">INDEX(Photobiology!$21:$421,1+$H308-380,U$14)</f>
        <v>0.00480730228057447</v>
      </c>
      <c r="V308" s="236">
        <f ca="1">INDEX(Photobiology!$21:$421,1+$H308-380,V$14)</f>
        <v>0.0552805334123734</v>
      </c>
      <c r="W308" s="236">
        <f ca="1">INDEX(Photobiology!$21:$421,1+$H308-380,W$14)</f>
        <v>0.000148408876845628</v>
      </c>
      <c r="X308" s="236">
        <f ca="1">INDEX(Photobiology!$21:$421,1+$H308-380,X$14)</f>
        <v>1.78120590941542e-5</v>
      </c>
      <c r="Y308" s="236">
        <f ca="1" t="shared" si="94"/>
        <v>8.06240564765378</v>
      </c>
      <c r="Z308" s="236">
        <f ca="1" t="shared" si="108"/>
        <v>4.17561688646257e-7</v>
      </c>
      <c r="AA308" s="236">
        <f ca="1" t="shared" si="95"/>
        <v>0.0476065429309676</v>
      </c>
      <c r="AB308" s="236">
        <f ca="1" t="shared" si="96"/>
        <v>0.52220333999869</v>
      </c>
      <c r="AC308" s="236">
        <f ca="1" t="shared" si="97"/>
        <v>0.00156569312734711</v>
      </c>
      <c r="AD308" s="236">
        <f ca="1" t="shared" si="98"/>
        <v>0.000195971828697769</v>
      </c>
      <c r="AE308" s="236"/>
      <c r="AF308" s="236"/>
      <c r="AG308" s="236"/>
      <c r="AH308" s="236">
        <f t="shared" si="109"/>
        <v>667</v>
      </c>
      <c r="AI308" s="236">
        <f>IF($AH308&gt;$AH307,INDEX(Spectra!308:308,1,MATCH($AI$20,Spectra!$20:$20,0)),AI307)</f>
        <v>1</v>
      </c>
      <c r="AJ308" s="236">
        <f>((Physics!$C$9*Physics!$C$10)/(Physics!$C$11*Physics!$C$12*$AH308))^($AJ$17-$AJ$18)</f>
        <v>3.35869592216114e+18</v>
      </c>
      <c r="AK308" s="236">
        <f t="shared" si="110"/>
        <v>1</v>
      </c>
      <c r="AL308" s="236">
        <f ca="1">INDEX(Photobiology!$21:$421,1+$AH308-380,10)</f>
        <v>0.03908496</v>
      </c>
      <c r="AM308" s="236">
        <f ca="1" t="shared" si="111"/>
        <v>13.3319879209511</v>
      </c>
      <c r="AN308" s="236">
        <f ca="1">INDEX(Photobiology!$21:$421,1+$AH308-380,AN$14)</f>
        <v>5.1791203133989e-8</v>
      </c>
      <c r="AO308" s="236">
        <f ca="1">INDEX(Photobiology!$21:$421,1+$AH308-380,AO$14)</f>
        <v>0.00590475659641629</v>
      </c>
      <c r="AP308" s="236">
        <f ca="1">INDEX(Photobiology!$21:$421,1+$AH308-380,AP$14)</f>
        <v>0.0647701644918667</v>
      </c>
      <c r="AQ308" s="236">
        <f ca="1">INDEX(Photobiology!$21:$421,1+$AH308-380,AQ$14)</f>
        <v>0.000194196769025476</v>
      </c>
      <c r="AR308" s="236">
        <f ca="1">INDEX(Photobiology!$21:$421,1+$AH308-380,AR$14)</f>
        <v>2.43068678583294e-5</v>
      </c>
      <c r="AS308" s="236">
        <f ca="1" t="shared" si="112"/>
        <v>4.47780934644002e+19</v>
      </c>
      <c r="AT308" s="236">
        <f ca="1">INDEX(Photobiology!$21:$421,1+$AH308-380,AT$14)</f>
        <v>3.41651115126764e-8</v>
      </c>
      <c r="AU308" s="236">
        <f ca="1">INDEX(Photobiology!$21:$421,1+$AH308-380,AU$14)</f>
        <v>0.00480730228057447</v>
      </c>
      <c r="AV308" s="236">
        <f ca="1">INDEX(Photobiology!$21:$421,1+$AH308-380,AV$14)</f>
        <v>0.0552805334123734</v>
      </c>
      <c r="AW308" s="236">
        <f ca="1">INDEX(Photobiology!$21:$421,1+$AH308-380,AW$14)</f>
        <v>0.000148408876845628</v>
      </c>
      <c r="AX308" s="236">
        <f ca="1">INDEX(Photobiology!$21:$421,1+$AH308-380,AX$14)</f>
        <v>1.78120590941542e-5</v>
      </c>
      <c r="AY308" s="236">
        <f ca="1" t="shared" si="99"/>
        <v>13.3319879209511</v>
      </c>
      <c r="AZ308" s="236">
        <f ca="1" t="shared" si="113"/>
        <v>6.90479694593868e-7</v>
      </c>
      <c r="BA308" s="236">
        <f ca="1" t="shared" si="100"/>
        <v>0.0787221436195785</v>
      </c>
      <c r="BB308" s="236">
        <f ca="1" t="shared" si="101"/>
        <v>0.863515050643585</v>
      </c>
      <c r="BC308" s="236">
        <f ca="1" t="shared" si="102"/>
        <v>0.00258902897893538</v>
      </c>
      <c r="BD308" s="236">
        <f ca="1" t="shared" si="103"/>
        <v>0.000324058868683403</v>
      </c>
    </row>
    <row r="309" s="234" customFormat="1" ht="0.2" customHeight="1" spans="7:56">
      <c r="G309" s="236"/>
      <c r="H309" s="236">
        <f t="shared" si="104"/>
        <v>668</v>
      </c>
      <c r="I309" s="236">
        <f>IF($H309&gt;$H308,INDEX(Spectra!309:309,1,MATCH($I$20,Spectra!$20:$20,0)),I308)</f>
        <v>7.92506139822756</v>
      </c>
      <c r="J309" s="236">
        <f>((Physics!$C$9*Physics!$C$10)/(Physics!$C$11*Physics!$C$12*$H309))^($J$17-$J$18)</f>
        <v>3.36373144828132e+18</v>
      </c>
      <c r="K309" s="236">
        <f t="shared" si="105"/>
        <v>1</v>
      </c>
      <c r="L309" s="236">
        <f ca="1">INDEX(Photobiology!$21:$421,1+$H309-380,10)</f>
        <v>0.03656384</v>
      </c>
      <c r="M309" s="236">
        <f ca="1" t="shared" si="106"/>
        <v>7.92506139822756</v>
      </c>
      <c r="N309" s="236">
        <f ca="1">INDEX(Photobiology!$21:$421,1+$H309-380,N$14)</f>
        <v>4.86117213730175e-8</v>
      </c>
      <c r="O309" s="236">
        <f ca="1">INDEX(Photobiology!$21:$421,1+$H309-380,O$14)</f>
        <v>0.0054707138593676</v>
      </c>
      <c r="P309" s="236">
        <f ca="1">INDEX(Photobiology!$21:$421,1+$H309-380,P$14)</f>
        <v>0.0607327574714014</v>
      </c>
      <c r="Q309" s="236">
        <f ca="1">INDEX(Photobiology!$21:$421,1+$H309-380,Q$14)</f>
        <v>0.000180167727202562</v>
      </c>
      <c r="R309" s="236">
        <f ca="1">INDEX(Photobiology!$21:$421,1+$H309-380,R$14)</f>
        <v>2.26013301856067e-5</v>
      </c>
      <c r="S309" s="236">
        <f ca="1" t="shared" si="107"/>
        <v>2.66577782547784e+19</v>
      </c>
      <c r="T309" s="236">
        <f ca="1">INDEX(Photobiology!$21:$421,1+$H309-380,T$14)</f>
        <v>3.2019696712766e-8</v>
      </c>
      <c r="U309" s="236">
        <f ca="1">INDEX(Photobiology!$21:$421,1+$H309-380,U$14)</f>
        <v>0.00444726289078055</v>
      </c>
      <c r="V309" s="236">
        <f ca="1">INDEX(Photobiology!$21:$421,1+$H309-380,V$14)</f>
        <v>0.0517570597202244</v>
      </c>
      <c r="W309" s="236">
        <f ca="1">INDEX(Photobiology!$21:$421,1+$H309-380,W$14)</f>
        <v>0.000137481496176498</v>
      </c>
      <c r="X309" s="236">
        <f ca="1">INDEX(Photobiology!$21:$421,1+$H309-380,X$14)</f>
        <v>1.65374482714157e-5</v>
      </c>
      <c r="Y309" s="236">
        <f ca="1" t="shared" si="94"/>
        <v>7.92506139822756</v>
      </c>
      <c r="Z309" s="236">
        <f ca="1" t="shared" si="108"/>
        <v>3.85250876554695e-7</v>
      </c>
      <c r="AA309" s="236">
        <f ca="1" t="shared" si="95"/>
        <v>0.0433557432276227</v>
      </c>
      <c r="AB309" s="236">
        <f ca="1" t="shared" si="96"/>
        <v>0.48131083184452</v>
      </c>
      <c r="AC309" s="236">
        <f ca="1" t="shared" si="97"/>
        <v>0.00142784030005942</v>
      </c>
      <c r="AD309" s="236">
        <f ca="1" t="shared" si="98"/>
        <v>0.000179116929402547</v>
      </c>
      <c r="AE309" s="236"/>
      <c r="AF309" s="236"/>
      <c r="AG309" s="236"/>
      <c r="AH309" s="236">
        <f t="shared" si="109"/>
        <v>668</v>
      </c>
      <c r="AI309" s="236">
        <f>IF($AH309&gt;$AH308,INDEX(Spectra!309:309,1,MATCH($AI$20,Spectra!$20:$20,0)),AI308)</f>
        <v>1</v>
      </c>
      <c r="AJ309" s="236">
        <f>((Physics!$C$9*Physics!$C$10)/(Physics!$C$11*Physics!$C$12*$AH309))^($AJ$17-$AJ$18)</f>
        <v>3.36373144828132e+18</v>
      </c>
      <c r="AK309" s="236">
        <f t="shared" si="110"/>
        <v>1</v>
      </c>
      <c r="AL309" s="236">
        <f ca="1">INDEX(Photobiology!$21:$421,1+$AH309-380,10)</f>
        <v>0.03656384</v>
      </c>
      <c r="AM309" s="236">
        <f ca="1" t="shared" si="111"/>
        <v>13.3319879209511</v>
      </c>
      <c r="AN309" s="236">
        <f ca="1">INDEX(Photobiology!$21:$421,1+$AH309-380,AN$14)</f>
        <v>4.86117213730175e-8</v>
      </c>
      <c r="AO309" s="236">
        <f ca="1">INDEX(Photobiology!$21:$421,1+$AH309-380,AO$14)</f>
        <v>0.0054707138593676</v>
      </c>
      <c r="AP309" s="236">
        <f ca="1">INDEX(Photobiology!$21:$421,1+$AH309-380,AP$14)</f>
        <v>0.0607327574714014</v>
      </c>
      <c r="AQ309" s="236">
        <f ca="1">INDEX(Photobiology!$21:$421,1+$AH309-380,AQ$14)</f>
        <v>0.000180167727202562</v>
      </c>
      <c r="AR309" s="236">
        <f ca="1">INDEX(Photobiology!$21:$421,1+$AH309-380,AR$14)</f>
        <v>2.26013301856067e-5</v>
      </c>
      <c r="AS309" s="236">
        <f ca="1" t="shared" si="112"/>
        <v>4.48452270378101e+19</v>
      </c>
      <c r="AT309" s="236">
        <f ca="1">INDEX(Photobiology!$21:$421,1+$AH309-380,AT$14)</f>
        <v>3.2019696712766e-8</v>
      </c>
      <c r="AU309" s="236">
        <f ca="1">INDEX(Photobiology!$21:$421,1+$AH309-380,AU$14)</f>
        <v>0.00444726289078055</v>
      </c>
      <c r="AV309" s="236">
        <f ca="1">INDEX(Photobiology!$21:$421,1+$AH309-380,AV$14)</f>
        <v>0.0517570597202244</v>
      </c>
      <c r="AW309" s="236">
        <f ca="1">INDEX(Photobiology!$21:$421,1+$AH309-380,AW$14)</f>
        <v>0.000137481496176498</v>
      </c>
      <c r="AX309" s="236">
        <f ca="1">INDEX(Photobiology!$21:$421,1+$AH309-380,AX$14)</f>
        <v>1.65374482714157e-5</v>
      </c>
      <c r="AY309" s="236">
        <f ca="1" t="shared" si="99"/>
        <v>13.3319879209511</v>
      </c>
      <c r="AZ309" s="236">
        <f ca="1" t="shared" si="113"/>
        <v>6.48090882161712e-7</v>
      </c>
      <c r="BA309" s="236">
        <f ca="1" t="shared" si="100"/>
        <v>0.0729354910920688</v>
      </c>
      <c r="BB309" s="236">
        <f ca="1" t="shared" si="101"/>
        <v>0.809688389014779</v>
      </c>
      <c r="BC309" s="236">
        <f ca="1" t="shared" si="102"/>
        <v>0.00240199396280978</v>
      </c>
      <c r="BD309" s="236">
        <f ca="1" t="shared" si="103"/>
        <v>0.000301320661031937</v>
      </c>
    </row>
    <row r="310" s="234" customFormat="1" ht="0.2" customHeight="1" spans="7:56">
      <c r="G310" s="236"/>
      <c r="H310" s="236">
        <f t="shared" si="104"/>
        <v>669</v>
      </c>
      <c r="I310" s="236">
        <f>IF($H310&gt;$H309,INDEX(Spectra!310:310,1,MATCH($I$20,Spectra!$20:$20,0)),I309)</f>
        <v>7.79975939332108</v>
      </c>
      <c r="J310" s="236">
        <f>((Physics!$C$9*Physics!$C$10)/(Physics!$C$11*Physics!$C$12*$H310))^($J$17-$J$18)</f>
        <v>3.36876697440151e+18</v>
      </c>
      <c r="K310" s="236">
        <f t="shared" si="105"/>
        <v>1</v>
      </c>
      <c r="L310" s="236">
        <f ca="1">INDEX(Photobiology!$21:$421,1+$H310-380,10)</f>
        <v>0.03420048</v>
      </c>
      <c r="M310" s="236">
        <f ca="1" t="shared" si="106"/>
        <v>7.79975939332108</v>
      </c>
      <c r="N310" s="236">
        <f ca="1">INDEX(Photobiology!$21:$421,1+$H310-380,N$14)</f>
        <v>4.56362551936578e-8</v>
      </c>
      <c r="O310" s="236">
        <f ca="1">INDEX(Photobiology!$21:$421,1+$H310-380,O$14)</f>
        <v>0.00506871648553443</v>
      </c>
      <c r="P310" s="236">
        <f ca="1">INDEX(Photobiology!$21:$421,1+$H310-380,P$14)</f>
        <v>0.0569152961530593</v>
      </c>
      <c r="Q310" s="236">
        <f ca="1">INDEX(Photobiology!$21:$421,1+$H310-380,Q$14)</f>
        <v>0.000167186420680963</v>
      </c>
      <c r="R310" s="236">
        <f ca="1">INDEX(Photobiology!$21:$421,1+$H310-380,R$14)</f>
        <v>2.10200139541986e-5</v>
      </c>
      <c r="S310" s="236">
        <f ca="1" t="shared" si="107"/>
        <v>2.6275571852498e+19</v>
      </c>
      <c r="T310" s="236">
        <f ca="1">INDEX(Photobiology!$21:$421,1+$H310-380,T$14)</f>
        <v>3.00148763605522e-8</v>
      </c>
      <c r="U310" s="236">
        <f ca="1">INDEX(Photobiology!$21:$421,1+$H310-380,U$14)</f>
        <v>0.00411431128894778</v>
      </c>
      <c r="V310" s="236">
        <f ca="1">INDEX(Photobiology!$21:$421,1+$H310-380,V$14)</f>
        <v>0.0484312793165127</v>
      </c>
      <c r="W310" s="236">
        <f ca="1">INDEX(Photobiology!$21:$421,1+$H310-380,W$14)</f>
        <v>0.000127385088903877</v>
      </c>
      <c r="X310" s="236">
        <f ca="1">INDEX(Photobiology!$21:$421,1+$H310-380,X$14)</f>
        <v>1.53574052110001e-5</v>
      </c>
      <c r="Y310" s="236">
        <f ca="1" t="shared" si="94"/>
        <v>7.79975939332108</v>
      </c>
      <c r="Z310" s="236">
        <f ca="1" t="shared" si="108"/>
        <v>3.5595181012273e-7</v>
      </c>
      <c r="AA310" s="236">
        <f ca="1" t="shared" si="95"/>
        <v>0.0395347690201286</v>
      </c>
      <c r="AB310" s="236">
        <f ca="1" t="shared" si="96"/>
        <v>0.443925615793475</v>
      </c>
      <c r="AC310" s="236">
        <f ca="1" t="shared" si="97"/>
        <v>0.00130401385514207</v>
      </c>
      <c r="AD310" s="236">
        <f ca="1" t="shared" si="98"/>
        <v>0.000163951051287001</v>
      </c>
      <c r="AE310" s="236"/>
      <c r="AF310" s="236"/>
      <c r="AG310" s="236"/>
      <c r="AH310" s="236">
        <f t="shared" si="109"/>
        <v>669</v>
      </c>
      <c r="AI310" s="236">
        <f>IF($AH310&gt;$AH309,INDEX(Spectra!310:310,1,MATCH($AI$20,Spectra!$20:$20,0)),AI309)</f>
        <v>1</v>
      </c>
      <c r="AJ310" s="236">
        <f>((Physics!$C$9*Physics!$C$10)/(Physics!$C$11*Physics!$C$12*$AH310))^($AJ$17-$AJ$18)</f>
        <v>3.36876697440151e+18</v>
      </c>
      <c r="AK310" s="236">
        <f t="shared" si="110"/>
        <v>1</v>
      </c>
      <c r="AL310" s="236">
        <f ca="1">INDEX(Photobiology!$21:$421,1+$AH310-380,10)</f>
        <v>0.03420048</v>
      </c>
      <c r="AM310" s="236">
        <f ca="1" t="shared" si="111"/>
        <v>13.3319879209511</v>
      </c>
      <c r="AN310" s="236">
        <f ca="1">INDEX(Photobiology!$21:$421,1+$AH310-380,AN$14)</f>
        <v>4.56362551936578e-8</v>
      </c>
      <c r="AO310" s="236">
        <f ca="1">INDEX(Photobiology!$21:$421,1+$AH310-380,AO$14)</f>
        <v>0.00506871648553443</v>
      </c>
      <c r="AP310" s="236">
        <f ca="1">INDEX(Photobiology!$21:$421,1+$AH310-380,AP$14)</f>
        <v>0.0569152961530593</v>
      </c>
      <c r="AQ310" s="236">
        <f ca="1">INDEX(Photobiology!$21:$421,1+$AH310-380,AQ$14)</f>
        <v>0.000167186420680963</v>
      </c>
      <c r="AR310" s="236">
        <f ca="1">INDEX(Photobiology!$21:$421,1+$AH310-380,AR$14)</f>
        <v>2.10200139541986e-5</v>
      </c>
      <c r="AS310" s="236">
        <f ca="1" t="shared" si="112"/>
        <v>4.491236061122e+19</v>
      </c>
      <c r="AT310" s="236">
        <f ca="1">INDEX(Photobiology!$21:$421,1+$AH310-380,AT$14)</f>
        <v>3.00148763605522e-8</v>
      </c>
      <c r="AU310" s="236">
        <f ca="1">INDEX(Photobiology!$21:$421,1+$AH310-380,AU$14)</f>
        <v>0.00411431128894778</v>
      </c>
      <c r="AV310" s="236">
        <f ca="1">INDEX(Photobiology!$21:$421,1+$AH310-380,AV$14)</f>
        <v>0.0484312793165127</v>
      </c>
      <c r="AW310" s="236">
        <f ca="1">INDEX(Photobiology!$21:$421,1+$AH310-380,AW$14)</f>
        <v>0.000127385088903877</v>
      </c>
      <c r="AX310" s="236">
        <f ca="1">INDEX(Photobiology!$21:$421,1+$AH310-380,AX$14)</f>
        <v>1.53574052110001e-5</v>
      </c>
      <c r="AY310" s="236">
        <f ca="1" t="shared" si="99"/>
        <v>13.3319879209511</v>
      </c>
      <c r="AZ310" s="236">
        <f ca="1" t="shared" si="113"/>
        <v>6.0842200299929e-7</v>
      </c>
      <c r="BA310" s="236">
        <f ca="1" t="shared" si="100"/>
        <v>0.067576066959871</v>
      </c>
      <c r="BB310" s="236">
        <f ca="1" t="shared" si="101"/>
        <v>0.758794040829944</v>
      </c>
      <c r="BC310" s="236">
        <f ca="1" t="shared" si="102"/>
        <v>0.00222892734106565</v>
      </c>
      <c r="BD310" s="236">
        <f ca="1" t="shared" si="103"/>
        <v>0.0002802385721356</v>
      </c>
    </row>
    <row r="311" s="234" customFormat="1" ht="0.2" customHeight="1" spans="7:56">
      <c r="G311" s="236"/>
      <c r="H311" s="236">
        <f t="shared" si="104"/>
        <v>670</v>
      </c>
      <c r="I311" s="236">
        <f>IF($H311&gt;$H310,INDEX(Spectra!311:311,1,MATCH($I$20,Spectra!$20:$20,0)),I310)</f>
        <v>7.68334423701224</v>
      </c>
      <c r="J311" s="236">
        <f>((Physics!$C$9*Physics!$C$10)/(Physics!$C$11*Physics!$C$12*$H311))^($J$17-$J$18)</f>
        <v>3.37380250052169e+18</v>
      </c>
      <c r="K311" s="236">
        <f t="shared" si="105"/>
        <v>1</v>
      </c>
      <c r="L311" s="236">
        <f ca="1">INDEX(Photobiology!$21:$421,1+$H311-380,10)</f>
        <v>0.032</v>
      </c>
      <c r="M311" s="236">
        <f ca="1" t="shared" si="106"/>
        <v>7.68334423701224</v>
      </c>
      <c r="N311" s="236">
        <f ca="1">INDEX(Photobiology!$21:$421,1+$H311-380,N$14)</f>
        <v>4.28512011483578e-8</v>
      </c>
      <c r="O311" s="236">
        <f ca="1">INDEX(Photobiology!$21:$421,1+$H311-380,O$14)</f>
        <v>0.00469643158328585</v>
      </c>
      <c r="P311" s="236">
        <f ca="1">INDEX(Photobiology!$21:$421,1+$H311-380,P$14)</f>
        <v>0.0533094252193603</v>
      </c>
      <c r="Q311" s="236">
        <f ca="1">INDEX(Photobiology!$21:$421,1+$H311-380,Q$14)</f>
        <v>0.000155172944067943</v>
      </c>
      <c r="R311" s="236">
        <f ca="1">INDEX(Photobiology!$21:$421,1+$H311-380,R$14)</f>
        <v>1.95534772314368e-5</v>
      </c>
      <c r="S311" s="236">
        <f ca="1" t="shared" si="107"/>
        <v>2.59220859992008e+19</v>
      </c>
      <c r="T311" s="236">
        <f ca="1">INDEX(Photobiology!$21:$421,1+$H311-380,T$14)</f>
        <v>2.81410873213096e-8</v>
      </c>
      <c r="U311" s="236">
        <f ca="1">INDEX(Photobiology!$21:$421,1+$H311-380,U$14)</f>
        <v>0.00380643538893802</v>
      </c>
      <c r="V311" s="236">
        <f ca="1">INDEX(Photobiology!$21:$421,1+$H311-380,V$14)</f>
        <v>0.0452952077779627</v>
      </c>
      <c r="W311" s="236">
        <f ca="1">INDEX(Photobiology!$21:$421,1+$H311-380,W$14)</f>
        <v>0.000118055142451744</v>
      </c>
      <c r="X311" s="236">
        <f ca="1">INDEX(Photobiology!$21:$421,1+$H311-380,X$14)</f>
        <v>1.42646184130068e-5</v>
      </c>
      <c r="Y311" s="236">
        <f ca="1" t="shared" si="94"/>
        <v>7.68334423701224</v>
      </c>
      <c r="Z311" s="236">
        <f ca="1" t="shared" si="108"/>
        <v>3.29240529392287e-7</v>
      </c>
      <c r="AA311" s="236">
        <f ca="1" t="shared" si="95"/>
        <v>0.0360843005399616</v>
      </c>
      <c r="AB311" s="236">
        <f ca="1" t="shared" si="96"/>
        <v>0.409594665037607</v>
      </c>
      <c r="AC311" s="236">
        <f ca="1" t="shared" si="97"/>
        <v>0.00119224714554465</v>
      </c>
      <c r="AD311" s="236">
        <f ca="1" t="shared" si="98"/>
        <v>0.00015023609659971</v>
      </c>
      <c r="AE311" s="236"/>
      <c r="AF311" s="236"/>
      <c r="AG311" s="236"/>
      <c r="AH311" s="236">
        <f t="shared" si="109"/>
        <v>670</v>
      </c>
      <c r="AI311" s="236">
        <f>IF($AH311&gt;$AH310,INDEX(Spectra!311:311,1,MATCH($AI$20,Spectra!$20:$20,0)),AI310)</f>
        <v>1</v>
      </c>
      <c r="AJ311" s="236">
        <f>((Physics!$C$9*Physics!$C$10)/(Physics!$C$11*Physics!$C$12*$AH311))^($AJ$17-$AJ$18)</f>
        <v>3.37380250052169e+18</v>
      </c>
      <c r="AK311" s="236">
        <f t="shared" si="110"/>
        <v>1</v>
      </c>
      <c r="AL311" s="236">
        <f ca="1">INDEX(Photobiology!$21:$421,1+$AH311-380,10)</f>
        <v>0.032</v>
      </c>
      <c r="AM311" s="236">
        <f ca="1" t="shared" si="111"/>
        <v>13.3319879209511</v>
      </c>
      <c r="AN311" s="236">
        <f ca="1">INDEX(Photobiology!$21:$421,1+$AH311-380,AN$14)</f>
        <v>4.28512011483578e-8</v>
      </c>
      <c r="AO311" s="236">
        <f ca="1">INDEX(Photobiology!$21:$421,1+$AH311-380,AO$14)</f>
        <v>0.00469643158328585</v>
      </c>
      <c r="AP311" s="236">
        <f ca="1">INDEX(Photobiology!$21:$421,1+$AH311-380,AP$14)</f>
        <v>0.0533094252193603</v>
      </c>
      <c r="AQ311" s="236">
        <f ca="1">INDEX(Photobiology!$21:$421,1+$AH311-380,AQ$14)</f>
        <v>0.000155172944067943</v>
      </c>
      <c r="AR311" s="236">
        <f ca="1">INDEX(Photobiology!$21:$421,1+$AH311-380,AR$14)</f>
        <v>1.95534772314368e-5</v>
      </c>
      <c r="AS311" s="236">
        <f ca="1" t="shared" si="112"/>
        <v>4.49794941846299e+19</v>
      </c>
      <c r="AT311" s="236">
        <f ca="1">INDEX(Photobiology!$21:$421,1+$AH311-380,AT$14)</f>
        <v>2.81410873213096e-8</v>
      </c>
      <c r="AU311" s="236">
        <f ca="1">INDEX(Photobiology!$21:$421,1+$AH311-380,AU$14)</f>
        <v>0.00380643538893802</v>
      </c>
      <c r="AV311" s="236">
        <f ca="1">INDEX(Photobiology!$21:$421,1+$AH311-380,AV$14)</f>
        <v>0.0452952077779627</v>
      </c>
      <c r="AW311" s="236">
        <f ca="1">INDEX(Photobiology!$21:$421,1+$AH311-380,AW$14)</f>
        <v>0.000118055142451744</v>
      </c>
      <c r="AX311" s="236">
        <f ca="1">INDEX(Photobiology!$21:$421,1+$AH311-380,AX$14)</f>
        <v>1.42646184130068e-5</v>
      </c>
      <c r="AY311" s="236">
        <f ca="1" t="shared" si="99"/>
        <v>13.3319879209511</v>
      </c>
      <c r="AZ311" s="236">
        <f ca="1" t="shared" si="113"/>
        <v>5.71291696108154e-7</v>
      </c>
      <c r="BA311" s="236">
        <f ca="1" t="shared" si="100"/>
        <v>0.0626127691399404</v>
      </c>
      <c r="BB311" s="236">
        <f ca="1" t="shared" si="101"/>
        <v>0.71072061309736</v>
      </c>
      <c r="BC311" s="236">
        <f ca="1" t="shared" si="102"/>
        <v>0.00206876381597224</v>
      </c>
      <c r="BD311" s="236">
        <f ca="1" t="shared" si="103"/>
        <v>0.000260686722262109</v>
      </c>
    </row>
    <row r="312" s="234" customFormat="1" ht="0.2" customHeight="1" spans="7:56">
      <c r="G312" s="236"/>
      <c r="H312" s="236">
        <f t="shared" si="104"/>
        <v>671</v>
      </c>
      <c r="I312" s="236">
        <f>IF($H312&gt;$H311,INDEX(Spectra!312:312,1,MATCH($I$20,Spectra!$20:$20,0)),I311)</f>
        <v>7.55335347138018</v>
      </c>
      <c r="J312" s="236">
        <f>((Physics!$C$9*Physics!$C$10)/(Physics!$C$11*Physics!$C$12*$H312))^($J$17-$J$18)</f>
        <v>3.37883802664187e+18</v>
      </c>
      <c r="K312" s="236">
        <f t="shared" si="105"/>
        <v>1</v>
      </c>
      <c r="L312" s="236">
        <f ca="1">INDEX(Photobiology!$21:$421,1+$H312-380,10)</f>
        <v>0.02996261</v>
      </c>
      <c r="M312" s="236">
        <f ca="1" t="shared" si="106"/>
        <v>7.55335347138018</v>
      </c>
      <c r="N312" s="236">
        <f ca="1">INDEX(Photobiology!$21:$421,1+$H312-380,N$14)</f>
        <v>4.02345362554731e-8</v>
      </c>
      <c r="O312" s="236">
        <f ca="1">INDEX(Photobiology!$21:$421,1+$H312-380,O$14)</f>
        <v>0.00435067858387264</v>
      </c>
      <c r="P312" s="236">
        <f ca="1">INDEX(Photobiology!$21:$421,1+$H312-380,P$14)</f>
        <v>0.0498947671279913</v>
      </c>
      <c r="Q312" s="236">
        <f ca="1">INDEX(Photobiology!$21:$421,1+$H312-380,Q$14)</f>
        <v>0.000144019732521937</v>
      </c>
      <c r="R312" s="236">
        <f ca="1">INDEX(Photobiology!$21:$421,1+$H312-380,R$14)</f>
        <v>1.81890074149662e-5</v>
      </c>
      <c r="S312" s="236">
        <f ca="1" t="shared" si="107"/>
        <v>2.55215579377667e+19</v>
      </c>
      <c r="T312" s="236">
        <f ca="1">INDEX(Photobiology!$21:$421,1+$H312-380,T$14)</f>
        <v>2.63833024626053e-8</v>
      </c>
      <c r="U312" s="236">
        <f ca="1">INDEX(Photobiology!$21:$421,1+$H312-380,U$14)</f>
        <v>0.00352094908480776</v>
      </c>
      <c r="V312" s="236">
        <f ca="1">INDEX(Photobiology!$21:$421,1+$H312-380,V$14)</f>
        <v>0.0423307086257532</v>
      </c>
      <c r="W312" s="236">
        <f ca="1">INDEX(Photobiology!$21:$421,1+$H312-380,W$14)</f>
        <v>0.000109406516949375</v>
      </c>
      <c r="X312" s="236">
        <f ca="1">INDEX(Photobiology!$21:$421,1+$H312-380,X$14)</f>
        <v>1.32494375059207e-5</v>
      </c>
      <c r="Y312" s="236">
        <f ca="1" t="shared" si="94"/>
        <v>7.55335347138018</v>
      </c>
      <c r="Z312" s="236">
        <f ca="1" t="shared" si="108"/>
        <v>3.03905674094649e-7</v>
      </c>
      <c r="AA312" s="236">
        <f ca="1" t="shared" si="95"/>
        <v>0.0328622131843538</v>
      </c>
      <c r="AB312" s="236">
        <f ca="1" t="shared" si="96"/>
        <v>0.376872812489919</v>
      </c>
      <c r="AC312" s="236">
        <f ca="1" t="shared" si="97"/>
        <v>0.00108783194659182</v>
      </c>
      <c r="AD312" s="236">
        <f ca="1" t="shared" si="98"/>
        <v>0.000137388002298795</v>
      </c>
      <c r="AE312" s="236"/>
      <c r="AF312" s="236"/>
      <c r="AG312" s="236"/>
      <c r="AH312" s="236">
        <f t="shared" si="109"/>
        <v>671</v>
      </c>
      <c r="AI312" s="236">
        <f>IF($AH312&gt;$AH311,INDEX(Spectra!312:312,1,MATCH($AI$20,Spectra!$20:$20,0)),AI311)</f>
        <v>1</v>
      </c>
      <c r="AJ312" s="236">
        <f>((Physics!$C$9*Physics!$C$10)/(Physics!$C$11*Physics!$C$12*$AH312))^($AJ$17-$AJ$18)</f>
        <v>3.37883802664187e+18</v>
      </c>
      <c r="AK312" s="236">
        <f t="shared" si="110"/>
        <v>1</v>
      </c>
      <c r="AL312" s="236">
        <f ca="1">INDEX(Photobiology!$21:$421,1+$AH312-380,10)</f>
        <v>0.02996261</v>
      </c>
      <c r="AM312" s="236">
        <f ca="1" t="shared" si="111"/>
        <v>13.3319879209511</v>
      </c>
      <c r="AN312" s="236">
        <f ca="1">INDEX(Photobiology!$21:$421,1+$AH312-380,AN$14)</f>
        <v>4.02345362554731e-8</v>
      </c>
      <c r="AO312" s="236">
        <f ca="1">INDEX(Photobiology!$21:$421,1+$AH312-380,AO$14)</f>
        <v>0.00435067858387264</v>
      </c>
      <c r="AP312" s="236">
        <f ca="1">INDEX(Photobiology!$21:$421,1+$AH312-380,AP$14)</f>
        <v>0.0498947671279913</v>
      </c>
      <c r="AQ312" s="236">
        <f ca="1">INDEX(Photobiology!$21:$421,1+$AH312-380,AQ$14)</f>
        <v>0.000144019732521937</v>
      </c>
      <c r="AR312" s="236">
        <f ca="1">INDEX(Photobiology!$21:$421,1+$AH312-380,AR$14)</f>
        <v>1.81890074149662e-5</v>
      </c>
      <c r="AS312" s="236">
        <f ca="1" t="shared" si="112"/>
        <v>4.50466277580398e+19</v>
      </c>
      <c r="AT312" s="236">
        <f ca="1">INDEX(Photobiology!$21:$421,1+$AH312-380,AT$14)</f>
        <v>2.63833024626053e-8</v>
      </c>
      <c r="AU312" s="236">
        <f ca="1">INDEX(Photobiology!$21:$421,1+$AH312-380,AU$14)</f>
        <v>0.00352094908480776</v>
      </c>
      <c r="AV312" s="236">
        <f ca="1">INDEX(Photobiology!$21:$421,1+$AH312-380,AV$14)</f>
        <v>0.0423307086257532</v>
      </c>
      <c r="AW312" s="236">
        <f ca="1">INDEX(Photobiology!$21:$421,1+$AH312-380,AW$14)</f>
        <v>0.000109406516949375</v>
      </c>
      <c r="AX312" s="236">
        <f ca="1">INDEX(Photobiology!$21:$421,1+$AH312-380,AX$14)</f>
        <v>1.32494375059207e-5</v>
      </c>
      <c r="AY312" s="236">
        <f ca="1" t="shared" si="99"/>
        <v>13.3319879209511</v>
      </c>
      <c r="AZ312" s="236">
        <f ca="1" t="shared" si="113"/>
        <v>5.36406351363038e-7</v>
      </c>
      <c r="BA312" s="236">
        <f ca="1" t="shared" si="100"/>
        <v>0.0580031943281308</v>
      </c>
      <c r="BB312" s="236">
        <f ca="1" t="shared" si="101"/>
        <v>0.66519643266905</v>
      </c>
      <c r="BC312" s="236">
        <f ca="1" t="shared" si="102"/>
        <v>0.00192006933436108</v>
      </c>
      <c r="BD312" s="236">
        <f ca="1" t="shared" si="103"/>
        <v>0.00024249562715042</v>
      </c>
    </row>
    <row r="313" s="234" customFormat="1" ht="0.2" customHeight="1" spans="7:56">
      <c r="G313" s="236"/>
      <c r="H313" s="236">
        <f t="shared" si="104"/>
        <v>672</v>
      </c>
      <c r="I313" s="236">
        <f>IF($H313&gt;$H312,INDEX(Spectra!313:313,1,MATCH($I$20,Spectra!$20:$20,0)),I312)</f>
        <v>7.42715255543491</v>
      </c>
      <c r="J313" s="236">
        <f>((Physics!$C$9*Physics!$C$10)/(Physics!$C$11*Physics!$C$12*$H313))^($J$17-$J$18)</f>
        <v>3.38387355276205e+18</v>
      </c>
      <c r="K313" s="236">
        <f t="shared" si="105"/>
        <v>1</v>
      </c>
      <c r="L313" s="236">
        <f ca="1">INDEX(Photobiology!$21:$421,1+$H313-380,10)</f>
        <v>0.02807664</v>
      </c>
      <c r="M313" s="236">
        <f ca="1" t="shared" si="106"/>
        <v>7.42715255543491</v>
      </c>
      <c r="N313" s="236">
        <f ca="1">INDEX(Photobiology!$21:$421,1+$H313-380,N$14)</f>
        <v>3.77849628884826e-8</v>
      </c>
      <c r="O313" s="236">
        <f ca="1">INDEX(Photobiology!$21:$421,1+$H313-380,O$14)</f>
        <v>0.00403060277907771</v>
      </c>
      <c r="P313" s="236">
        <f ca="1">INDEX(Photobiology!$21:$421,1+$H313-380,P$14)</f>
        <v>0.0466760396401673</v>
      </c>
      <c r="Q313" s="236">
        <f ca="1">INDEX(Photobiology!$21:$421,1+$H313-380,Q$14)</f>
        <v>0.000133695564716897</v>
      </c>
      <c r="R313" s="236">
        <f ca="1">INDEX(Photobiology!$21:$421,1+$H313-380,R$14)</f>
        <v>1.69233368916454e-5</v>
      </c>
      <c r="S313" s="236">
        <f ca="1" t="shared" si="107"/>
        <v>2.51325451046653e+19</v>
      </c>
      <c r="T313" s="236">
        <f ca="1">INDEX(Photobiology!$21:$421,1+$H313-380,T$14)</f>
        <v>2.47401542722208e-8</v>
      </c>
      <c r="U313" s="236">
        <f ca="1">INDEX(Photobiology!$21:$421,1+$H313-380,U$14)</f>
        <v>0.00325706174778938</v>
      </c>
      <c r="V313" s="236">
        <f ca="1">INDEX(Photobiology!$21:$421,1+$H313-380,V$14)</f>
        <v>0.0395410125030575</v>
      </c>
      <c r="W313" s="236">
        <f ca="1">INDEX(Photobiology!$21:$421,1+$H313-380,W$14)</f>
        <v>0.000101412488381474</v>
      </c>
      <c r="X313" s="236">
        <f ca="1">INDEX(Photobiology!$21:$421,1+$H313-380,X$14)</f>
        <v>1.23091393460576e-5</v>
      </c>
      <c r="Y313" s="236">
        <f ca="1" t="shared" si="94"/>
        <v>7.42715255543491</v>
      </c>
      <c r="Z313" s="236">
        <f ca="1" t="shared" si="108"/>
        <v>2.80634683674207e-7</v>
      </c>
      <c r="AA313" s="236">
        <f ca="1" t="shared" si="95"/>
        <v>0.0299359017305701</v>
      </c>
      <c r="AB313" s="236">
        <f ca="1" t="shared" si="96"/>
        <v>0.34667006709105</v>
      </c>
      <c r="AC313" s="236">
        <f ca="1" t="shared" si="97"/>
        <v>0.000992977355137415</v>
      </c>
      <c r="AD313" s="236">
        <f ca="1" t="shared" si="98"/>
        <v>0.00012569220484127</v>
      </c>
      <c r="AE313" s="236"/>
      <c r="AF313" s="236"/>
      <c r="AG313" s="236"/>
      <c r="AH313" s="236">
        <f t="shared" si="109"/>
        <v>672</v>
      </c>
      <c r="AI313" s="236">
        <f>IF($AH313&gt;$AH312,INDEX(Spectra!313:313,1,MATCH($AI$20,Spectra!$20:$20,0)),AI312)</f>
        <v>1</v>
      </c>
      <c r="AJ313" s="236">
        <f>((Physics!$C$9*Physics!$C$10)/(Physics!$C$11*Physics!$C$12*$AH313))^($AJ$17-$AJ$18)</f>
        <v>3.38387355276205e+18</v>
      </c>
      <c r="AK313" s="236">
        <f t="shared" si="110"/>
        <v>1</v>
      </c>
      <c r="AL313" s="236">
        <f ca="1">INDEX(Photobiology!$21:$421,1+$AH313-380,10)</f>
        <v>0.02807664</v>
      </c>
      <c r="AM313" s="236">
        <f ca="1" t="shared" si="111"/>
        <v>13.3319879209511</v>
      </c>
      <c r="AN313" s="236">
        <f ca="1">INDEX(Photobiology!$21:$421,1+$AH313-380,AN$14)</f>
        <v>3.77849628884826e-8</v>
      </c>
      <c r="AO313" s="236">
        <f ca="1">INDEX(Photobiology!$21:$421,1+$AH313-380,AO$14)</f>
        <v>0.00403060277907771</v>
      </c>
      <c r="AP313" s="236">
        <f ca="1">INDEX(Photobiology!$21:$421,1+$AH313-380,AP$14)</f>
        <v>0.0466760396401673</v>
      </c>
      <c r="AQ313" s="236">
        <f ca="1">INDEX(Photobiology!$21:$421,1+$AH313-380,AQ$14)</f>
        <v>0.000133695564716897</v>
      </c>
      <c r="AR313" s="236">
        <f ca="1">INDEX(Photobiology!$21:$421,1+$AH313-380,AR$14)</f>
        <v>1.69233368916454e-5</v>
      </c>
      <c r="AS313" s="236">
        <f ca="1" t="shared" si="112"/>
        <v>4.51137613314497e+19</v>
      </c>
      <c r="AT313" s="236">
        <f ca="1">INDEX(Photobiology!$21:$421,1+$AH313-380,AT$14)</f>
        <v>2.47401542722208e-8</v>
      </c>
      <c r="AU313" s="236">
        <f ca="1">INDEX(Photobiology!$21:$421,1+$AH313-380,AU$14)</f>
        <v>0.00325706174778938</v>
      </c>
      <c r="AV313" s="236">
        <f ca="1">INDEX(Photobiology!$21:$421,1+$AH313-380,AV$14)</f>
        <v>0.0395410125030575</v>
      </c>
      <c r="AW313" s="236">
        <f ca="1">INDEX(Photobiology!$21:$421,1+$AH313-380,AW$14)</f>
        <v>0.000101412488381474</v>
      </c>
      <c r="AX313" s="236">
        <f ca="1">INDEX(Photobiology!$21:$421,1+$AH313-380,AX$14)</f>
        <v>1.23091393460576e-5</v>
      </c>
      <c r="AY313" s="236">
        <f ca="1" t="shared" si="99"/>
        <v>13.3319879209511</v>
      </c>
      <c r="AZ313" s="236">
        <f ca="1" t="shared" si="113"/>
        <v>5.03748668822837e-7</v>
      </c>
      <c r="BA313" s="236">
        <f ca="1" t="shared" si="100"/>
        <v>0.0537359475648161</v>
      </c>
      <c r="BB313" s="236">
        <f ca="1" t="shared" si="101"/>
        <v>0.622284396680547</v>
      </c>
      <c r="BC313" s="236">
        <f ca="1" t="shared" si="102"/>
        <v>0.00178242765389041</v>
      </c>
      <c r="BD313" s="236">
        <f ca="1" t="shared" si="103"/>
        <v>0.000225621723021603</v>
      </c>
    </row>
    <row r="314" s="234" customFormat="1" ht="0.2" customHeight="1" spans="7:56">
      <c r="G314" s="236"/>
      <c r="H314" s="236">
        <f t="shared" si="104"/>
        <v>673</v>
      </c>
      <c r="I314" s="236">
        <f>IF($H314&gt;$H313,INDEX(Spectra!314:314,1,MATCH($I$20,Spectra!$20:$20,0)),I313)</f>
        <v>7.28509384316255</v>
      </c>
      <c r="J314" s="236">
        <f>((Physics!$C$9*Physics!$C$10)/(Physics!$C$11*Physics!$C$12*$H314))^($J$17-$J$18)</f>
        <v>3.38890907888223e+18</v>
      </c>
      <c r="K314" s="236">
        <f t="shared" si="105"/>
        <v>1</v>
      </c>
      <c r="L314" s="236">
        <f ca="1">INDEX(Photobiology!$21:$421,1+$H314-380,10)</f>
        <v>0.02632936</v>
      </c>
      <c r="M314" s="236">
        <f ca="1" t="shared" si="106"/>
        <v>7.28509384316255</v>
      </c>
      <c r="N314" s="236">
        <f ca="1">INDEX(Photobiology!$21:$421,1+$H314-380,N$14)</f>
        <v>3.54911441341851e-8</v>
      </c>
      <c r="O314" s="236">
        <f ca="1">INDEX(Photobiology!$21:$421,1+$H314-380,O$14)</f>
        <v>0.00373430683890609</v>
      </c>
      <c r="P314" s="236">
        <f ca="1">INDEX(Photobiology!$21:$421,1+$H314-380,P$14)</f>
        <v>0.0436444474918978</v>
      </c>
      <c r="Q314" s="236">
        <f ca="1">INDEX(Photobiology!$21:$421,1+$H314-380,Q$14)</f>
        <v>0.000124137501458123</v>
      </c>
      <c r="R314" s="236">
        <f ca="1">INDEX(Photobiology!$21:$421,1+$H314-380,R$14)</f>
        <v>1.57490731435678e-5</v>
      </c>
      <c r="S314" s="236">
        <f ca="1" t="shared" si="107"/>
        <v>2.46885206656026e+19</v>
      </c>
      <c r="T314" s="236">
        <f ca="1">INDEX(Photobiology!$21:$421,1+$H314-380,T$14)</f>
        <v>2.32037197905519e-8</v>
      </c>
      <c r="U314" s="236">
        <f ca="1">INDEX(Photobiology!$21:$421,1+$H314-380,U$14)</f>
        <v>0.00301314617516445</v>
      </c>
      <c r="V314" s="236">
        <f ca="1">INDEX(Photobiology!$21:$421,1+$H314-380,V$14)</f>
        <v>0.0369179004738968</v>
      </c>
      <c r="W314" s="236">
        <f ca="1">INDEX(Photobiology!$21:$421,1+$H314-380,W$14)</f>
        <v>9.40224682690292e-5</v>
      </c>
      <c r="X314" s="236">
        <f ca="1">INDEX(Photobiology!$21:$421,1+$H314-380,X$14)</f>
        <v>1.14380211954851e-5</v>
      </c>
      <c r="Y314" s="236">
        <f ca="1" t="shared" si="94"/>
        <v>7.28509384316255</v>
      </c>
      <c r="Z314" s="236">
        <f ca="1" t="shared" si="108"/>
        <v>2.58556315618747e-7</v>
      </c>
      <c r="AA314" s="236">
        <f ca="1" t="shared" si="95"/>
        <v>0.0272047757605946</v>
      </c>
      <c r="AB314" s="236">
        <f ca="1" t="shared" si="96"/>
        <v>0.317953895711456</v>
      </c>
      <c r="AC314" s="236">
        <f ca="1" t="shared" si="97"/>
        <v>0.000904353347578154</v>
      </c>
      <c r="AD314" s="236">
        <f ca="1" t="shared" si="98"/>
        <v>0.000114733475793722</v>
      </c>
      <c r="AE314" s="236"/>
      <c r="AF314" s="236"/>
      <c r="AG314" s="236"/>
      <c r="AH314" s="236">
        <f t="shared" si="109"/>
        <v>673</v>
      </c>
      <c r="AI314" s="236">
        <f>IF($AH314&gt;$AH313,INDEX(Spectra!314:314,1,MATCH($AI$20,Spectra!$20:$20,0)),AI313)</f>
        <v>1</v>
      </c>
      <c r="AJ314" s="236">
        <f>((Physics!$C$9*Physics!$C$10)/(Physics!$C$11*Physics!$C$12*$AH314))^($AJ$17-$AJ$18)</f>
        <v>3.38890907888223e+18</v>
      </c>
      <c r="AK314" s="236">
        <f t="shared" si="110"/>
        <v>1</v>
      </c>
      <c r="AL314" s="236">
        <f ca="1">INDEX(Photobiology!$21:$421,1+$AH314-380,10)</f>
        <v>0.02632936</v>
      </c>
      <c r="AM314" s="236">
        <f ca="1" t="shared" si="111"/>
        <v>13.3319879209511</v>
      </c>
      <c r="AN314" s="236">
        <f ca="1">INDEX(Photobiology!$21:$421,1+$AH314-380,AN$14)</f>
        <v>3.54911441341851e-8</v>
      </c>
      <c r="AO314" s="236">
        <f ca="1">INDEX(Photobiology!$21:$421,1+$AH314-380,AO$14)</f>
        <v>0.00373430683890609</v>
      </c>
      <c r="AP314" s="236">
        <f ca="1">INDEX(Photobiology!$21:$421,1+$AH314-380,AP$14)</f>
        <v>0.0436444474918978</v>
      </c>
      <c r="AQ314" s="236">
        <f ca="1">INDEX(Photobiology!$21:$421,1+$AH314-380,AQ$14)</f>
        <v>0.000124137501458123</v>
      </c>
      <c r="AR314" s="236">
        <f ca="1">INDEX(Photobiology!$21:$421,1+$AH314-380,AR$14)</f>
        <v>1.57490731435678e-5</v>
      </c>
      <c r="AS314" s="236">
        <f ca="1" t="shared" si="112"/>
        <v>4.51808949048596e+19</v>
      </c>
      <c r="AT314" s="236">
        <f ca="1">INDEX(Photobiology!$21:$421,1+$AH314-380,AT$14)</f>
        <v>2.32037197905519e-8</v>
      </c>
      <c r="AU314" s="236">
        <f ca="1">INDEX(Photobiology!$21:$421,1+$AH314-380,AU$14)</f>
        <v>0.00301314617516445</v>
      </c>
      <c r="AV314" s="236">
        <f ca="1">INDEX(Photobiology!$21:$421,1+$AH314-380,AV$14)</f>
        <v>0.0369179004738968</v>
      </c>
      <c r="AW314" s="236">
        <f ca="1">INDEX(Photobiology!$21:$421,1+$AH314-380,AW$14)</f>
        <v>9.40224682690292e-5</v>
      </c>
      <c r="AX314" s="236">
        <f ca="1">INDEX(Photobiology!$21:$421,1+$AH314-380,AX$14)</f>
        <v>1.14380211954851e-5</v>
      </c>
      <c r="AY314" s="236">
        <f ca="1" t="shared" si="99"/>
        <v>13.3319879209511</v>
      </c>
      <c r="AZ314" s="236">
        <f ca="1" t="shared" si="113"/>
        <v>4.73167504897692e-7</v>
      </c>
      <c r="BA314" s="236">
        <f ca="1" t="shared" si="100"/>
        <v>0.0497857336694212</v>
      </c>
      <c r="BB314" s="236">
        <f ca="1" t="shared" si="101"/>
        <v>0.581867246778568</v>
      </c>
      <c r="BC314" s="236">
        <f ca="1" t="shared" si="102"/>
        <v>0.00165499966997675</v>
      </c>
      <c r="BD314" s="236">
        <f ca="1" t="shared" si="103"/>
        <v>0.000209966452916222</v>
      </c>
    </row>
    <row r="315" s="234" customFormat="1" ht="0.2" customHeight="1" spans="7:56">
      <c r="G315" s="236"/>
      <c r="H315" s="236">
        <f t="shared" si="104"/>
        <v>674</v>
      </c>
      <c r="I315" s="236">
        <f>IF($H315&gt;$H314,INDEX(Spectra!315:315,1,MATCH($I$20,Spectra!$20:$20,0)),I314)</f>
        <v>7.17064636801013</v>
      </c>
      <c r="J315" s="236">
        <f>((Physics!$C$9*Physics!$C$10)/(Physics!$C$11*Physics!$C$12*$H315))^($J$17-$J$18)</f>
        <v>3.39394460500241e+18</v>
      </c>
      <c r="K315" s="236">
        <f t="shared" si="105"/>
        <v>1</v>
      </c>
      <c r="L315" s="236">
        <f ca="1">INDEX(Photobiology!$21:$421,1+$H315-380,10)</f>
        <v>0.02470805</v>
      </c>
      <c r="M315" s="236">
        <f ca="1" t="shared" si="106"/>
        <v>7.17064636801013</v>
      </c>
      <c r="N315" s="236">
        <f ca="1">INDEX(Photobiology!$21:$421,1+$H315-380,N$14)</f>
        <v>3.3343025149877e-8</v>
      </c>
      <c r="O315" s="236">
        <f ca="1">INDEX(Photobiology!$21:$421,1+$H315-380,O$14)</f>
        <v>0.00346003904786588</v>
      </c>
      <c r="P315" s="236">
        <f ca="1">INDEX(Photobiology!$21:$421,1+$H315-380,P$14)</f>
        <v>0.0407915304651856</v>
      </c>
      <c r="Q315" s="236">
        <f ca="1">INDEX(Photobiology!$21:$421,1+$H315-380,Q$14)</f>
        <v>0.000115286379330389</v>
      </c>
      <c r="R315" s="236">
        <f ca="1">INDEX(Photobiology!$21:$421,1+$H315-380,R$14)</f>
        <v>1.46594271633128e-5</v>
      </c>
      <c r="S315" s="236">
        <f ca="1" t="shared" si="107"/>
        <v>2.43367765550881e+19</v>
      </c>
      <c r="T315" s="236">
        <f ca="1">INDEX(Photobiology!$21:$421,1+$H315-380,T$14)</f>
        <v>2.17669600384954e-8</v>
      </c>
      <c r="U315" s="236">
        <f ca="1">INDEX(Photobiology!$21:$421,1+$H315-380,U$14)</f>
        <v>0.00278770214064933</v>
      </c>
      <c r="V315" s="236">
        <f ca="1">INDEX(Photobiology!$21:$421,1+$H315-380,V$14)</f>
        <v>0.0344534853670811</v>
      </c>
      <c r="W315" s="236">
        <f ca="1">INDEX(Photobiology!$21:$421,1+$H315-380,W$14)</f>
        <v>8.7189023915782e-5</v>
      </c>
      <c r="X315" s="236">
        <f ca="1">INDEX(Photobiology!$21:$421,1+$H315-380,X$14)</f>
        <v>1.06308518194345e-5</v>
      </c>
      <c r="Y315" s="236">
        <f ca="1" t="shared" si="94"/>
        <v>7.17064636801013</v>
      </c>
      <c r="Z315" s="236">
        <f ca="1" t="shared" si="108"/>
        <v>2.39091042189436e-7</v>
      </c>
      <c r="AA315" s="236">
        <f ca="1" t="shared" si="95"/>
        <v>0.0248107164317527</v>
      </c>
      <c r="AB315" s="236">
        <f ca="1" t="shared" si="96"/>
        <v>0.292501639775758</v>
      </c>
      <c r="AC315" s="236">
        <f ca="1" t="shared" si="97"/>
        <v>0.000826677857226492</v>
      </c>
      <c r="AD315" s="236">
        <f ca="1" t="shared" si="98"/>
        <v>0.000105117568145718</v>
      </c>
      <c r="AE315" s="236"/>
      <c r="AF315" s="236"/>
      <c r="AG315" s="236"/>
      <c r="AH315" s="236">
        <f t="shared" si="109"/>
        <v>674</v>
      </c>
      <c r="AI315" s="236">
        <f>IF($AH315&gt;$AH314,INDEX(Spectra!315:315,1,MATCH($AI$20,Spectra!$20:$20,0)),AI314)</f>
        <v>1</v>
      </c>
      <c r="AJ315" s="236">
        <f>((Physics!$C$9*Physics!$C$10)/(Physics!$C$11*Physics!$C$12*$AH315))^($AJ$17-$AJ$18)</f>
        <v>3.39394460500241e+18</v>
      </c>
      <c r="AK315" s="236">
        <f t="shared" si="110"/>
        <v>1</v>
      </c>
      <c r="AL315" s="236">
        <f ca="1">INDEX(Photobiology!$21:$421,1+$AH315-380,10)</f>
        <v>0.02470805</v>
      </c>
      <c r="AM315" s="236">
        <f ca="1" t="shared" si="111"/>
        <v>13.3319879209511</v>
      </c>
      <c r="AN315" s="236">
        <f ca="1">INDEX(Photobiology!$21:$421,1+$AH315-380,AN$14)</f>
        <v>3.3343025149877e-8</v>
      </c>
      <c r="AO315" s="236">
        <f ca="1">INDEX(Photobiology!$21:$421,1+$AH315-380,AO$14)</f>
        <v>0.00346003904786588</v>
      </c>
      <c r="AP315" s="236">
        <f ca="1">INDEX(Photobiology!$21:$421,1+$AH315-380,AP$14)</f>
        <v>0.0407915304651856</v>
      </c>
      <c r="AQ315" s="236">
        <f ca="1">INDEX(Photobiology!$21:$421,1+$AH315-380,AQ$14)</f>
        <v>0.000115286379330389</v>
      </c>
      <c r="AR315" s="236">
        <f ca="1">INDEX(Photobiology!$21:$421,1+$AH315-380,AR$14)</f>
        <v>1.46594271633128e-5</v>
      </c>
      <c r="AS315" s="236">
        <f ca="1" t="shared" si="112"/>
        <v>4.52480284782695e+19</v>
      </c>
      <c r="AT315" s="236">
        <f ca="1">INDEX(Photobiology!$21:$421,1+$AH315-380,AT$14)</f>
        <v>2.17669600384954e-8</v>
      </c>
      <c r="AU315" s="236">
        <f ca="1">INDEX(Photobiology!$21:$421,1+$AH315-380,AU$14)</f>
        <v>0.00278770214064933</v>
      </c>
      <c r="AV315" s="236">
        <f ca="1">INDEX(Photobiology!$21:$421,1+$AH315-380,AV$14)</f>
        <v>0.0344534853670811</v>
      </c>
      <c r="AW315" s="236">
        <f ca="1">INDEX(Photobiology!$21:$421,1+$AH315-380,AW$14)</f>
        <v>8.7189023915782e-5</v>
      </c>
      <c r="AX315" s="236">
        <f ca="1">INDEX(Photobiology!$21:$421,1+$AH315-380,AX$14)</f>
        <v>1.06308518194345e-5</v>
      </c>
      <c r="AY315" s="236">
        <f ca="1" t="shared" si="99"/>
        <v>13.3319879209511</v>
      </c>
      <c r="AZ315" s="236">
        <f ca="1" t="shared" si="113"/>
        <v>4.4452880854613e-7</v>
      </c>
      <c r="BA315" s="236">
        <f ca="1" t="shared" si="100"/>
        <v>0.0461291987921672</v>
      </c>
      <c r="BB315" s="236">
        <f ca="1" t="shared" si="101"/>
        <v>0.543832191438965</v>
      </c>
      <c r="BC315" s="236">
        <f ca="1" t="shared" si="102"/>
        <v>0.00153699661668294</v>
      </c>
      <c r="BD315" s="236">
        <f ca="1" t="shared" si="103"/>
        <v>0.000195439305869349</v>
      </c>
    </row>
    <row r="316" s="234" customFormat="1" ht="0.2" customHeight="1" spans="7:56">
      <c r="G316" s="236"/>
      <c r="H316" s="236">
        <f t="shared" si="104"/>
        <v>675</v>
      </c>
      <c r="I316" s="236">
        <f>IF($H316&gt;$H315,INDEX(Spectra!316:316,1,MATCH($I$20,Spectra!$20:$20,0)),I315)</f>
        <v>7.07447691149651</v>
      </c>
      <c r="J316" s="236">
        <f>((Physics!$C$9*Physics!$C$10)/(Physics!$C$11*Physics!$C$12*$H316))^($J$17-$J$18)</f>
        <v>3.39898013112259e+18</v>
      </c>
      <c r="K316" s="236">
        <f t="shared" si="105"/>
        <v>1</v>
      </c>
      <c r="L316" s="236">
        <f ca="1">INDEX(Photobiology!$21:$421,1+$H316-380,10)</f>
        <v>0.0232</v>
      </c>
      <c r="M316" s="236">
        <f ca="1" t="shared" si="106"/>
        <v>7.07447691149651</v>
      </c>
      <c r="N316" s="236">
        <f ca="1">INDEX(Photobiology!$21:$421,1+$H316-380,N$14)</f>
        <v>3.13306929208094e-8</v>
      </c>
      <c r="O316" s="236">
        <f ca="1">INDEX(Photobiology!$21:$421,1+$H316-380,O$14)</f>
        <v>0.0032061585857986</v>
      </c>
      <c r="P316" s="236">
        <f ca="1">INDEX(Photobiology!$21:$421,1+$H316-380,P$14)</f>
        <v>0.0381088637425267</v>
      </c>
      <c r="Q316" s="236">
        <f ca="1">INDEX(Photobiology!$21:$421,1+$H316-380,Q$14)</f>
        <v>0.000107088787167782</v>
      </c>
      <c r="R316" s="236">
        <f ca="1">INDEX(Photobiology!$21:$421,1+$H316-380,R$14)</f>
        <v>1.36480309913052e-5</v>
      </c>
      <c r="S316" s="236">
        <f ca="1" t="shared" si="107"/>
        <v>2.40460064602621e+19</v>
      </c>
      <c r="T316" s="236">
        <f ca="1">INDEX(Photobiology!$21:$421,1+$H316-380,T$14)</f>
        <v>2.04229702002313e-8</v>
      </c>
      <c r="U316" s="236">
        <f ca="1">INDEX(Photobiology!$21:$421,1+$H316-380,U$14)</f>
        <v>0.00257932752254997</v>
      </c>
      <c r="V316" s="236">
        <f ca="1">INDEX(Photobiology!$21:$421,1+$H316-380,V$14)</f>
        <v>0.0321399566060048</v>
      </c>
      <c r="W316" s="236">
        <f ca="1">INDEX(Photobiology!$21:$421,1+$H316-380,W$14)</f>
        <v>8.08693475863296e-5</v>
      </c>
      <c r="X316" s="236">
        <f ca="1">INDEX(Photobiology!$21:$421,1+$H316-380,X$14)</f>
        <v>9.88273586985762e-6</v>
      </c>
      <c r="Y316" s="236">
        <f ca="1" t="shared" si="94"/>
        <v>7.07447691149651</v>
      </c>
      <c r="Z316" s="236">
        <f ca="1" t="shared" si="108"/>
        <v>2.21648263689453e-7</v>
      </c>
      <c r="AA316" s="236">
        <f ca="1" t="shared" si="95"/>
        <v>0.0226818948898285</v>
      </c>
      <c r="AB316" s="236">
        <f ca="1" t="shared" si="96"/>
        <v>0.269600276669872</v>
      </c>
      <c r="AC316" s="236">
        <f ca="1" t="shared" si="97"/>
        <v>0.000757597152298638</v>
      </c>
      <c r="AD316" s="236">
        <f ca="1" t="shared" si="98"/>
        <v>9.65526801353775e-5</v>
      </c>
      <c r="AE316" s="236"/>
      <c r="AF316" s="236"/>
      <c r="AG316" s="236"/>
      <c r="AH316" s="236">
        <f t="shared" si="109"/>
        <v>675</v>
      </c>
      <c r="AI316" s="236">
        <f>IF($AH316&gt;$AH315,INDEX(Spectra!316:316,1,MATCH($AI$20,Spectra!$20:$20,0)),AI315)</f>
        <v>1</v>
      </c>
      <c r="AJ316" s="236">
        <f>((Physics!$C$9*Physics!$C$10)/(Physics!$C$11*Physics!$C$12*$AH316))^($AJ$17-$AJ$18)</f>
        <v>3.39898013112259e+18</v>
      </c>
      <c r="AK316" s="236">
        <f t="shared" si="110"/>
        <v>1</v>
      </c>
      <c r="AL316" s="236">
        <f ca="1">INDEX(Photobiology!$21:$421,1+$AH316-380,10)</f>
        <v>0.0232</v>
      </c>
      <c r="AM316" s="236">
        <f ca="1" t="shared" si="111"/>
        <v>13.3319879209511</v>
      </c>
      <c r="AN316" s="236">
        <f ca="1">INDEX(Photobiology!$21:$421,1+$AH316-380,AN$14)</f>
        <v>3.13306929208094e-8</v>
      </c>
      <c r="AO316" s="236">
        <f ca="1">INDEX(Photobiology!$21:$421,1+$AH316-380,AO$14)</f>
        <v>0.0032061585857986</v>
      </c>
      <c r="AP316" s="236">
        <f ca="1">INDEX(Photobiology!$21:$421,1+$AH316-380,AP$14)</f>
        <v>0.0381088637425267</v>
      </c>
      <c r="AQ316" s="236">
        <f ca="1">INDEX(Photobiology!$21:$421,1+$AH316-380,AQ$14)</f>
        <v>0.000107088787167782</v>
      </c>
      <c r="AR316" s="236">
        <f ca="1">INDEX(Photobiology!$21:$421,1+$AH316-380,AR$14)</f>
        <v>1.36480309913052e-5</v>
      </c>
      <c r="AS316" s="236">
        <f ca="1" t="shared" si="112"/>
        <v>4.53151620516794e+19</v>
      </c>
      <c r="AT316" s="236">
        <f ca="1">INDEX(Photobiology!$21:$421,1+$AH316-380,AT$14)</f>
        <v>2.04229702002313e-8</v>
      </c>
      <c r="AU316" s="236">
        <f ca="1">INDEX(Photobiology!$21:$421,1+$AH316-380,AU$14)</f>
        <v>0.00257932752254997</v>
      </c>
      <c r="AV316" s="236">
        <f ca="1">INDEX(Photobiology!$21:$421,1+$AH316-380,AV$14)</f>
        <v>0.0321399566060048</v>
      </c>
      <c r="AW316" s="236">
        <f ca="1">INDEX(Photobiology!$21:$421,1+$AH316-380,AW$14)</f>
        <v>8.08693475863296e-5</v>
      </c>
      <c r="AX316" s="236">
        <f ca="1">INDEX(Photobiology!$21:$421,1+$AH316-380,AX$14)</f>
        <v>9.88273586985762e-6</v>
      </c>
      <c r="AY316" s="236">
        <f ca="1" t="shared" si="99"/>
        <v>13.3319879209511</v>
      </c>
      <c r="AZ316" s="236">
        <f ca="1" t="shared" si="113"/>
        <v>4.1770041957526e-7</v>
      </c>
      <c r="BA316" s="236">
        <f ca="1" t="shared" si="100"/>
        <v>0.0427444675385207</v>
      </c>
      <c r="BB316" s="236">
        <f ca="1" t="shared" si="101"/>
        <v>0.508066911096539</v>
      </c>
      <c r="BC316" s="236">
        <f ca="1" t="shared" si="102"/>
        <v>0.00142770641699018</v>
      </c>
      <c r="BD316" s="236">
        <f ca="1" t="shared" si="103"/>
        <v>0.000181955384320848</v>
      </c>
    </row>
    <row r="317" s="234" customFormat="1" ht="0.2" customHeight="1" spans="7:56">
      <c r="G317" s="236"/>
      <c r="H317" s="236">
        <f t="shared" si="104"/>
        <v>676</v>
      </c>
      <c r="I317" s="236">
        <f>IF($H317&gt;$H316,INDEX(Spectra!317:317,1,MATCH($I$20,Spectra!$20:$20,0)),I316)</f>
        <v>6.90164780271233</v>
      </c>
      <c r="J317" s="236">
        <f>((Physics!$C$9*Physics!$C$10)/(Physics!$C$11*Physics!$C$12*$H317))^($J$17-$J$18)</f>
        <v>3.40401565724278e+18</v>
      </c>
      <c r="K317" s="236">
        <f t="shared" si="105"/>
        <v>1</v>
      </c>
      <c r="L317" s="236">
        <f ca="1">INDEX(Photobiology!$21:$421,1+$H317-380,10)</f>
        <v>0.02180077</v>
      </c>
      <c r="M317" s="236">
        <f ca="1" t="shared" si="106"/>
        <v>6.90164780271233</v>
      </c>
      <c r="N317" s="236">
        <f ca="1">INDEX(Photobiology!$21:$421,1+$H317-380,N$14)</f>
        <v>2.94454367239228e-8</v>
      </c>
      <c r="O317" s="236">
        <f ca="1">INDEX(Photobiology!$21:$421,1+$H317-380,O$14)</f>
        <v>0.00297115972884501</v>
      </c>
      <c r="P317" s="236">
        <f ca="1">INDEX(Photobiology!$21:$421,1+$H317-380,P$14)</f>
        <v>0.0355883620406967</v>
      </c>
      <c r="Q317" s="236">
        <f ca="1">INDEX(Photobiology!$21:$421,1+$H317-380,Q$14)</f>
        <v>9.94944830803218e-5</v>
      </c>
      <c r="R317" s="236">
        <f ca="1">INDEX(Photobiology!$21:$421,1+$H317-380,R$14)</f>
        <v>1.27091059433161e-5</v>
      </c>
      <c r="S317" s="236">
        <f ca="1" t="shared" si="107"/>
        <v>2.3493317181208e+19</v>
      </c>
      <c r="T317" s="236">
        <f ca="1">INDEX(Photobiology!$21:$421,1+$H317-380,T$14)</f>
        <v>1.91656688735592e-8</v>
      </c>
      <c r="U317" s="236">
        <f ca="1">INDEX(Photobiology!$21:$421,1+$H317-380,U$14)</f>
        <v>0.00238673701880806</v>
      </c>
      <c r="V317" s="236">
        <f ca="1">INDEX(Photobiology!$21:$421,1+$H317-380,V$14)</f>
        <v>0.0299698357606672</v>
      </c>
      <c r="W317" s="236">
        <f ca="1">INDEX(Photobiology!$21:$421,1+$H317-380,W$14)</f>
        <v>7.50232746207832e-5</v>
      </c>
      <c r="X317" s="236">
        <f ca="1">INDEX(Photobiology!$21:$421,1+$H317-380,X$14)</f>
        <v>9.18923303681377e-6</v>
      </c>
      <c r="Y317" s="236">
        <f ca="1" t="shared" si="94"/>
        <v>6.90164780271233</v>
      </c>
      <c r="Z317" s="236">
        <f ca="1" t="shared" si="108"/>
        <v>2.03222033665567e-7</v>
      </c>
      <c r="AA317" s="236">
        <f ca="1" t="shared" si="95"/>
        <v>0.0205058980140905</v>
      </c>
      <c r="AB317" s="236">
        <f ca="1" t="shared" si="96"/>
        <v>0.245618340680305</v>
      </c>
      <c r="AC317" s="236">
        <f ca="1" t="shared" si="97"/>
        <v>0.000686675880533302</v>
      </c>
      <c r="AD317" s="236">
        <f ca="1" t="shared" si="98"/>
        <v>8.77137731081258e-5</v>
      </c>
      <c r="AE317" s="236"/>
      <c r="AF317" s="236"/>
      <c r="AG317" s="236"/>
      <c r="AH317" s="236">
        <f t="shared" si="109"/>
        <v>676</v>
      </c>
      <c r="AI317" s="236">
        <f>IF($AH317&gt;$AH316,INDEX(Spectra!317:317,1,MATCH($AI$20,Spectra!$20:$20,0)),AI316)</f>
        <v>1</v>
      </c>
      <c r="AJ317" s="236">
        <f>((Physics!$C$9*Physics!$C$10)/(Physics!$C$11*Physics!$C$12*$AH317))^($AJ$17-$AJ$18)</f>
        <v>3.40401565724278e+18</v>
      </c>
      <c r="AK317" s="236">
        <f t="shared" si="110"/>
        <v>1</v>
      </c>
      <c r="AL317" s="236">
        <f ca="1">INDEX(Photobiology!$21:$421,1+$AH317-380,10)</f>
        <v>0.02180077</v>
      </c>
      <c r="AM317" s="236">
        <f ca="1" t="shared" si="111"/>
        <v>13.3319879209511</v>
      </c>
      <c r="AN317" s="236">
        <f ca="1">INDEX(Photobiology!$21:$421,1+$AH317-380,AN$14)</f>
        <v>2.94454367239228e-8</v>
      </c>
      <c r="AO317" s="236">
        <f ca="1">INDEX(Photobiology!$21:$421,1+$AH317-380,AO$14)</f>
        <v>0.00297115972884501</v>
      </c>
      <c r="AP317" s="236">
        <f ca="1">INDEX(Photobiology!$21:$421,1+$AH317-380,AP$14)</f>
        <v>0.0355883620406967</v>
      </c>
      <c r="AQ317" s="236">
        <f ca="1">INDEX(Photobiology!$21:$421,1+$AH317-380,AQ$14)</f>
        <v>9.94944830803218e-5</v>
      </c>
      <c r="AR317" s="236">
        <f ca="1">INDEX(Photobiology!$21:$421,1+$AH317-380,AR$14)</f>
        <v>1.27091059433161e-5</v>
      </c>
      <c r="AS317" s="236">
        <f ca="1" t="shared" si="112"/>
        <v>4.53822956250893e+19</v>
      </c>
      <c r="AT317" s="236">
        <f ca="1">INDEX(Photobiology!$21:$421,1+$AH317-380,AT$14)</f>
        <v>1.91656688735592e-8</v>
      </c>
      <c r="AU317" s="236">
        <f ca="1">INDEX(Photobiology!$21:$421,1+$AH317-380,AU$14)</f>
        <v>0.00238673701880806</v>
      </c>
      <c r="AV317" s="236">
        <f ca="1">INDEX(Photobiology!$21:$421,1+$AH317-380,AV$14)</f>
        <v>0.0299698357606672</v>
      </c>
      <c r="AW317" s="236">
        <f ca="1">INDEX(Photobiology!$21:$421,1+$AH317-380,AW$14)</f>
        <v>7.50232746207832e-5</v>
      </c>
      <c r="AX317" s="236">
        <f ca="1">INDEX(Photobiology!$21:$421,1+$AH317-380,AX$14)</f>
        <v>9.18923303681377e-6</v>
      </c>
      <c r="AY317" s="236">
        <f ca="1" t="shared" si="99"/>
        <v>13.3319879209511</v>
      </c>
      <c r="AZ317" s="236">
        <f ca="1" t="shared" si="113"/>
        <v>3.9256620673047e-7</v>
      </c>
      <c r="BA317" s="236">
        <f ca="1" t="shared" si="100"/>
        <v>0.0396114656161781</v>
      </c>
      <c r="BB317" s="236">
        <f ca="1" t="shared" si="101"/>
        <v>0.474463612853005</v>
      </c>
      <c r="BC317" s="236">
        <f ca="1" t="shared" si="102"/>
        <v>0.00132645924662813</v>
      </c>
      <c r="BD317" s="236">
        <f ca="1" t="shared" si="103"/>
        <v>0.000169437646922379</v>
      </c>
    </row>
    <row r="318" s="234" customFormat="1" ht="0.2" customHeight="1" spans="7:56">
      <c r="G318" s="236"/>
      <c r="H318" s="236">
        <f t="shared" si="104"/>
        <v>677</v>
      </c>
      <c r="I318" s="236">
        <f>IF($H318&gt;$H317,INDEX(Spectra!318:318,1,MATCH($I$20,Spectra!$20:$20,0)),I317)</f>
        <v>6.765016355317</v>
      </c>
      <c r="J318" s="236">
        <f>((Physics!$C$9*Physics!$C$10)/(Physics!$C$11*Physics!$C$12*$H318))^($J$17-$J$18)</f>
        <v>3.40905118336296e+18</v>
      </c>
      <c r="K318" s="236">
        <f t="shared" si="105"/>
        <v>1</v>
      </c>
      <c r="L318" s="236">
        <f ca="1">INDEX(Photobiology!$21:$421,1+$H318-380,10)</f>
        <v>0.02050112</v>
      </c>
      <c r="M318" s="236">
        <f ca="1" t="shared" si="106"/>
        <v>6.765016355317</v>
      </c>
      <c r="N318" s="236">
        <f ca="1">INDEX(Photobiology!$21:$421,1+$H318-380,N$14)</f>
        <v>2.76787835836399e-8</v>
      </c>
      <c r="O318" s="236">
        <f ca="1">INDEX(Photobiology!$21:$421,1+$H318-380,O$14)</f>
        <v>0.00275363897480896</v>
      </c>
      <c r="P318" s="236">
        <f ca="1">INDEX(Photobiology!$21:$421,1+$H318-380,P$14)</f>
        <v>0.0332217878074247</v>
      </c>
      <c r="Q318" s="236">
        <f ca="1">INDEX(Photobiology!$21:$421,1+$H318-380,Q$14)</f>
        <v>9.24581075560478e-5</v>
      </c>
      <c r="R318" s="236">
        <f ca="1">INDEX(Photobiology!$21:$421,1+$H318-380,R$14)</f>
        <v>1.18372276523686e-5</v>
      </c>
      <c r="S318" s="236">
        <f ca="1" t="shared" si="107"/>
        <v>2.30622870115632e+19</v>
      </c>
      <c r="T318" s="236">
        <f ca="1">INDEX(Photobiology!$21:$421,1+$H318-380,T$14)</f>
        <v>1.79891651060584e-8</v>
      </c>
      <c r="U318" s="236">
        <f ca="1">INDEX(Photobiology!$21:$421,1+$H318-380,U$14)</f>
        <v>0.00220873491499043</v>
      </c>
      <c r="V318" s="236">
        <f ca="1">INDEX(Photobiology!$21:$421,1+$H318-380,V$14)</f>
        <v>0.0279355605466649</v>
      </c>
      <c r="W318" s="236">
        <f ca="1">INDEX(Photobiology!$21:$421,1+$H318-380,W$14)</f>
        <v>6.96145537615367e-5</v>
      </c>
      <c r="X318" s="236">
        <f ca="1">INDEX(Photobiology!$21:$421,1+$H318-380,X$14)</f>
        <v>8.54618505385249e-6</v>
      </c>
      <c r="Y318" s="236">
        <f ca="1" t="shared" si="94"/>
        <v>6.765016355317</v>
      </c>
      <c r="Z318" s="236">
        <f ca="1" t="shared" si="108"/>
        <v>1.87247423638604e-7</v>
      </c>
      <c r="AA318" s="236">
        <f ca="1" t="shared" si="95"/>
        <v>0.018628412701221</v>
      </c>
      <c r="AB318" s="236">
        <f ca="1" t="shared" si="96"/>
        <v>0.224745937870099</v>
      </c>
      <c r="AC318" s="236">
        <f ca="1" t="shared" si="97"/>
        <v>0.000625480609798322</v>
      </c>
      <c r="AD318" s="236">
        <f ca="1" t="shared" si="98"/>
        <v>8.00790386698842e-5</v>
      </c>
      <c r="AE318" s="236"/>
      <c r="AF318" s="236"/>
      <c r="AG318" s="236"/>
      <c r="AH318" s="236">
        <f t="shared" si="109"/>
        <v>677</v>
      </c>
      <c r="AI318" s="236">
        <f>IF($AH318&gt;$AH317,INDEX(Spectra!318:318,1,MATCH($AI$20,Spectra!$20:$20,0)),AI317)</f>
        <v>1</v>
      </c>
      <c r="AJ318" s="236">
        <f>((Physics!$C$9*Physics!$C$10)/(Physics!$C$11*Physics!$C$12*$AH318))^($AJ$17-$AJ$18)</f>
        <v>3.40905118336296e+18</v>
      </c>
      <c r="AK318" s="236">
        <f t="shared" si="110"/>
        <v>1</v>
      </c>
      <c r="AL318" s="236">
        <f ca="1">INDEX(Photobiology!$21:$421,1+$AH318-380,10)</f>
        <v>0.02050112</v>
      </c>
      <c r="AM318" s="236">
        <f ca="1" t="shared" si="111"/>
        <v>13.3319879209511</v>
      </c>
      <c r="AN318" s="236">
        <f ca="1">INDEX(Photobiology!$21:$421,1+$AH318-380,AN$14)</f>
        <v>2.76787835836399e-8</v>
      </c>
      <c r="AO318" s="236">
        <f ca="1">INDEX(Photobiology!$21:$421,1+$AH318-380,AO$14)</f>
        <v>0.00275363897480896</v>
      </c>
      <c r="AP318" s="236">
        <f ca="1">INDEX(Photobiology!$21:$421,1+$AH318-380,AP$14)</f>
        <v>0.0332217878074247</v>
      </c>
      <c r="AQ318" s="236">
        <f ca="1">INDEX(Photobiology!$21:$421,1+$AH318-380,AQ$14)</f>
        <v>9.24581075560478e-5</v>
      </c>
      <c r="AR318" s="236">
        <f ca="1">INDEX(Photobiology!$21:$421,1+$AH318-380,AR$14)</f>
        <v>1.18372276523686e-5</v>
      </c>
      <c r="AS318" s="236">
        <f ca="1" t="shared" si="112"/>
        <v>4.54494291984992e+19</v>
      </c>
      <c r="AT318" s="236">
        <f ca="1">INDEX(Photobiology!$21:$421,1+$AH318-380,AT$14)</f>
        <v>1.79891651060584e-8</v>
      </c>
      <c r="AU318" s="236">
        <f ca="1">INDEX(Photobiology!$21:$421,1+$AH318-380,AU$14)</f>
        <v>0.00220873491499043</v>
      </c>
      <c r="AV318" s="236">
        <f ca="1">INDEX(Photobiology!$21:$421,1+$AH318-380,AV$14)</f>
        <v>0.0279355605466649</v>
      </c>
      <c r="AW318" s="236">
        <f ca="1">INDEX(Photobiology!$21:$421,1+$AH318-380,AW$14)</f>
        <v>6.96145537615367e-5</v>
      </c>
      <c r="AX318" s="236">
        <f ca="1">INDEX(Photobiology!$21:$421,1+$AH318-380,AX$14)</f>
        <v>8.54618505385249e-6</v>
      </c>
      <c r="AY318" s="236">
        <f ca="1" t="shared" si="99"/>
        <v>13.3319879209511</v>
      </c>
      <c r="AZ318" s="236">
        <f ca="1" t="shared" si="113"/>
        <v>3.69013208403708e-7</v>
      </c>
      <c r="BA318" s="236">
        <f ca="1" t="shared" si="100"/>
        <v>0.0367114815508133</v>
      </c>
      <c r="BB318" s="236">
        <f ca="1" t="shared" si="101"/>
        <v>0.442912473760988</v>
      </c>
      <c r="BC318" s="236">
        <f ca="1" t="shared" si="102"/>
        <v>0.00123265037313123</v>
      </c>
      <c r="BD318" s="236">
        <f ca="1" t="shared" si="103"/>
        <v>0.000157813776078927</v>
      </c>
    </row>
    <row r="319" s="234" customFormat="1" ht="0.2" customHeight="1" spans="7:56">
      <c r="G319" s="236"/>
      <c r="H319" s="236">
        <f t="shared" si="104"/>
        <v>678</v>
      </c>
      <c r="I319" s="236">
        <f>IF($H319&gt;$H318,INDEX(Spectra!319:319,1,MATCH($I$20,Spectra!$20:$20,0)),I318)</f>
        <v>6.63577985395512</v>
      </c>
      <c r="J319" s="236">
        <f>((Physics!$C$9*Physics!$C$10)/(Physics!$C$11*Physics!$C$12*$H319))^($J$17-$J$18)</f>
        <v>3.41408670948314e+18</v>
      </c>
      <c r="K319" s="236">
        <f t="shared" si="105"/>
        <v>1</v>
      </c>
      <c r="L319" s="236">
        <f ca="1">INDEX(Photobiology!$21:$421,1+$H319-380,10)</f>
        <v>0.01928108</v>
      </c>
      <c r="M319" s="236">
        <f ca="1" t="shared" si="106"/>
        <v>6.63577985395512</v>
      </c>
      <c r="N319" s="236">
        <f ca="1">INDEX(Photobiology!$21:$421,1+$H319-380,N$14)</f>
        <v>2.60229184054062e-8</v>
      </c>
      <c r="O319" s="236">
        <f ca="1">INDEX(Photobiology!$21:$421,1+$H319-380,O$14)</f>
        <v>0.00255228401212263</v>
      </c>
      <c r="P319" s="236">
        <f ca="1">INDEX(Photobiology!$21:$421,1+$H319-380,P$14)</f>
        <v>0.0310013781074026</v>
      </c>
      <c r="Q319" s="236">
        <f ca="1">INDEX(Photobiology!$21:$421,1+$H319-380,Q$14)</f>
        <v>8.59369626608177e-5</v>
      </c>
      <c r="R319" s="236">
        <f ca="1">INDEX(Photobiology!$21:$421,1+$H319-380,R$14)</f>
        <v>1.10274983127066e-5</v>
      </c>
      <c r="S319" s="236">
        <f ca="1" t="shared" si="107"/>
        <v>2.26551278064441e+19</v>
      </c>
      <c r="T319" s="236">
        <f ca="1">INDEX(Photobiology!$21:$421,1+$H319-380,T$14)</f>
        <v>1.68880296436264e-8</v>
      </c>
      <c r="U319" s="236">
        <f ca="1">INDEX(Photobiology!$21:$421,1+$H319-380,U$14)</f>
        <v>0.00204420558850623</v>
      </c>
      <c r="V319" s="236">
        <f ca="1">INDEX(Photobiology!$21:$421,1+$H319-380,V$14)</f>
        <v>0.0260300118024535</v>
      </c>
      <c r="W319" s="236">
        <f ca="1">INDEX(Photobiology!$21:$421,1+$H319-380,W$14)</f>
        <v>6.46091486508079e-5</v>
      </c>
      <c r="X319" s="236">
        <f ca="1">INDEX(Photobiology!$21:$421,1+$H319-380,X$14)</f>
        <v>7.94983779050856e-6</v>
      </c>
      <c r="Y319" s="236">
        <f ca="1" t="shared" si="94"/>
        <v>6.63577985395512</v>
      </c>
      <c r="Z319" s="236">
        <f ca="1" t="shared" si="108"/>
        <v>1.72682357695712e-7</v>
      </c>
      <c r="AA319" s="236">
        <f ca="1" t="shared" si="95"/>
        <v>0.0169363948292151</v>
      </c>
      <c r="AB319" s="236">
        <f ca="1" t="shared" si="96"/>
        <v>0.205718320289947</v>
      </c>
      <c r="AC319" s="236">
        <f ca="1" t="shared" si="97"/>
        <v>0.000570258765534747</v>
      </c>
      <c r="AD319" s="236">
        <f ca="1" t="shared" si="98"/>
        <v>7.31760511429825e-5</v>
      </c>
      <c r="AE319" s="236"/>
      <c r="AF319" s="236"/>
      <c r="AG319" s="236"/>
      <c r="AH319" s="236">
        <f t="shared" si="109"/>
        <v>678</v>
      </c>
      <c r="AI319" s="236">
        <f>IF($AH319&gt;$AH318,INDEX(Spectra!319:319,1,MATCH($AI$20,Spectra!$20:$20,0)),AI318)</f>
        <v>1</v>
      </c>
      <c r="AJ319" s="236">
        <f>((Physics!$C$9*Physics!$C$10)/(Physics!$C$11*Physics!$C$12*$AH319))^($AJ$17-$AJ$18)</f>
        <v>3.41408670948314e+18</v>
      </c>
      <c r="AK319" s="236">
        <f t="shared" si="110"/>
        <v>1</v>
      </c>
      <c r="AL319" s="236">
        <f ca="1">INDEX(Photobiology!$21:$421,1+$AH319-380,10)</f>
        <v>0.01928108</v>
      </c>
      <c r="AM319" s="236">
        <f ca="1" t="shared" si="111"/>
        <v>13.3319879209511</v>
      </c>
      <c r="AN319" s="236">
        <f ca="1">INDEX(Photobiology!$21:$421,1+$AH319-380,AN$14)</f>
        <v>2.60229184054062e-8</v>
      </c>
      <c r="AO319" s="236">
        <f ca="1">INDEX(Photobiology!$21:$421,1+$AH319-380,AO$14)</f>
        <v>0.00255228401212263</v>
      </c>
      <c r="AP319" s="236">
        <f ca="1">INDEX(Photobiology!$21:$421,1+$AH319-380,AP$14)</f>
        <v>0.0310013781074026</v>
      </c>
      <c r="AQ319" s="236">
        <f ca="1">INDEX(Photobiology!$21:$421,1+$AH319-380,AQ$14)</f>
        <v>8.59369626608177e-5</v>
      </c>
      <c r="AR319" s="236">
        <f ca="1">INDEX(Photobiology!$21:$421,1+$AH319-380,AR$14)</f>
        <v>1.10274983127066e-5</v>
      </c>
      <c r="AS319" s="236">
        <f ca="1" t="shared" si="112"/>
        <v>4.5516562771909e+19</v>
      </c>
      <c r="AT319" s="236">
        <f ca="1">INDEX(Photobiology!$21:$421,1+$AH319-380,AT$14)</f>
        <v>1.68880296436264e-8</v>
      </c>
      <c r="AU319" s="236">
        <f ca="1">INDEX(Photobiology!$21:$421,1+$AH319-380,AU$14)</f>
        <v>0.00204420558850623</v>
      </c>
      <c r="AV319" s="236">
        <f ca="1">INDEX(Photobiology!$21:$421,1+$AH319-380,AV$14)</f>
        <v>0.0260300118024535</v>
      </c>
      <c r="AW319" s="236">
        <f ca="1">INDEX(Photobiology!$21:$421,1+$AH319-380,AW$14)</f>
        <v>6.46091486508079e-5</v>
      </c>
      <c r="AX319" s="236">
        <f ca="1">INDEX(Photobiology!$21:$421,1+$AH319-380,AX$14)</f>
        <v>7.94983779050856e-6</v>
      </c>
      <c r="AY319" s="236">
        <f ca="1" t="shared" si="99"/>
        <v>13.3319879209511</v>
      </c>
      <c r="AZ319" s="236">
        <f ca="1" t="shared" si="113"/>
        <v>3.46937233848773e-7</v>
      </c>
      <c r="BA319" s="236">
        <f ca="1" t="shared" si="100"/>
        <v>0.0340270196204556</v>
      </c>
      <c r="BB319" s="236">
        <f ca="1" t="shared" si="101"/>
        <v>0.413309998460731</v>
      </c>
      <c r="BC319" s="236">
        <f ca="1" t="shared" si="102"/>
        <v>0.00114571054815725</v>
      </c>
      <c r="BD319" s="236">
        <f ca="1" t="shared" si="103"/>
        <v>0.000147018474303313</v>
      </c>
    </row>
    <row r="320" s="234" customFormat="1" ht="0.2" customHeight="1" spans="7:56">
      <c r="G320" s="236"/>
      <c r="H320" s="236">
        <f t="shared" si="104"/>
        <v>679</v>
      </c>
      <c r="I320" s="236">
        <f>IF($H320&gt;$H319,INDEX(Spectra!320:320,1,MATCH($I$20,Spectra!$20:$20,0)),I319)</f>
        <v>6.51278438250529</v>
      </c>
      <c r="J320" s="236">
        <f>((Physics!$C$9*Physics!$C$10)/(Physics!$C$11*Physics!$C$12*$H320))^($J$17-$J$18)</f>
        <v>3.41912223560332e+18</v>
      </c>
      <c r="K320" s="236">
        <f t="shared" si="105"/>
        <v>1</v>
      </c>
      <c r="L320" s="236">
        <f ca="1">INDEX(Photobiology!$21:$421,1+$H320-380,10)</f>
        <v>0.01812069</v>
      </c>
      <c r="M320" s="236">
        <f ca="1" t="shared" si="106"/>
        <v>6.51278438250529</v>
      </c>
      <c r="N320" s="236">
        <f ca="1">INDEX(Photobiology!$21:$421,1+$H320-380,N$14)</f>
        <v>2.44706778673263e-8</v>
      </c>
      <c r="O320" s="236">
        <f ca="1">INDEX(Photobiology!$21:$421,1+$H320-380,O$14)</f>
        <v>0.0023658979066604</v>
      </c>
      <c r="P320" s="236">
        <f ca="1">INDEX(Photobiology!$21:$421,1+$H320-380,P$14)</f>
        <v>0.0289195812388751</v>
      </c>
      <c r="Q320" s="236">
        <f ca="1">INDEX(Photobiology!$21:$421,1+$H320-380,Q$14)</f>
        <v>7.98923139557013e-5</v>
      </c>
      <c r="R320" s="236">
        <f ca="1">INDEX(Photobiology!$21:$421,1+$H320-380,R$14)</f>
        <v>1.02752879218487e-5</v>
      </c>
      <c r="S320" s="236">
        <f ca="1" t="shared" si="107"/>
        <v>2.22680058979139e+19</v>
      </c>
      <c r="T320" s="236">
        <f ca="1">INDEX(Photobiology!$21:$421,1+$H320-380,T$14)</f>
        <v>1.58572875723469e-8</v>
      </c>
      <c r="U320" s="236">
        <f ca="1">INDEX(Photobiology!$21:$421,1+$H320-380,U$14)</f>
        <v>0.00189213226228862</v>
      </c>
      <c r="V320" s="236">
        <f ca="1">INDEX(Photobiology!$21:$421,1+$H320-380,V$14)</f>
        <v>0.024246289404617</v>
      </c>
      <c r="W320" s="236">
        <f ca="1">INDEX(Photobiology!$21:$421,1+$H320-380,W$14)</f>
        <v>5.99761988869407e-5</v>
      </c>
      <c r="X320" s="236">
        <f ca="1">INDEX(Photobiology!$21:$421,1+$H320-380,X$14)</f>
        <v>7.39665200978257e-6</v>
      </c>
      <c r="Y320" s="236">
        <f ca="1" t="shared" si="94"/>
        <v>6.51278438250529</v>
      </c>
      <c r="Z320" s="236">
        <f ca="1" t="shared" si="108"/>
        <v>1.59372248643641e-7</v>
      </c>
      <c r="AA320" s="236">
        <f ca="1" t="shared" si="95"/>
        <v>0.0154085829370998</v>
      </c>
      <c r="AB320" s="236">
        <f ca="1" t="shared" si="96"/>
        <v>0.188346997041139</v>
      </c>
      <c r="AC320" s="236">
        <f ca="1" t="shared" si="97"/>
        <v>0.000520321414612901</v>
      </c>
      <c r="AD320" s="236">
        <f ca="1" t="shared" si="98"/>
        <v>6.69207347031614e-5</v>
      </c>
      <c r="AE320" s="236"/>
      <c r="AF320" s="236"/>
      <c r="AG320" s="236"/>
      <c r="AH320" s="236">
        <f t="shared" si="109"/>
        <v>679</v>
      </c>
      <c r="AI320" s="236">
        <f>IF($AH320&gt;$AH319,INDEX(Spectra!320:320,1,MATCH($AI$20,Spectra!$20:$20,0)),AI319)</f>
        <v>1</v>
      </c>
      <c r="AJ320" s="236">
        <f>((Physics!$C$9*Physics!$C$10)/(Physics!$C$11*Physics!$C$12*$AH320))^($AJ$17-$AJ$18)</f>
        <v>3.41912223560332e+18</v>
      </c>
      <c r="AK320" s="236">
        <f t="shared" si="110"/>
        <v>1</v>
      </c>
      <c r="AL320" s="236">
        <f ca="1">INDEX(Photobiology!$21:$421,1+$AH320-380,10)</f>
        <v>0.01812069</v>
      </c>
      <c r="AM320" s="236">
        <f ca="1" t="shared" si="111"/>
        <v>13.3319879209511</v>
      </c>
      <c r="AN320" s="236">
        <f ca="1">INDEX(Photobiology!$21:$421,1+$AH320-380,AN$14)</f>
        <v>2.44706778673263e-8</v>
      </c>
      <c r="AO320" s="236">
        <f ca="1">INDEX(Photobiology!$21:$421,1+$AH320-380,AO$14)</f>
        <v>0.0023658979066604</v>
      </c>
      <c r="AP320" s="236">
        <f ca="1">INDEX(Photobiology!$21:$421,1+$AH320-380,AP$14)</f>
        <v>0.0289195812388751</v>
      </c>
      <c r="AQ320" s="236">
        <f ca="1">INDEX(Photobiology!$21:$421,1+$AH320-380,AQ$14)</f>
        <v>7.98923139557013e-5</v>
      </c>
      <c r="AR320" s="236">
        <f ca="1">INDEX(Photobiology!$21:$421,1+$AH320-380,AR$14)</f>
        <v>1.02752879218487e-5</v>
      </c>
      <c r="AS320" s="236">
        <f ca="1" t="shared" si="112"/>
        <v>4.55836963453189e+19</v>
      </c>
      <c r="AT320" s="236">
        <f ca="1">INDEX(Photobiology!$21:$421,1+$AH320-380,AT$14)</f>
        <v>1.58572875723469e-8</v>
      </c>
      <c r="AU320" s="236">
        <f ca="1">INDEX(Photobiology!$21:$421,1+$AH320-380,AU$14)</f>
        <v>0.00189213226228862</v>
      </c>
      <c r="AV320" s="236">
        <f ca="1">INDEX(Photobiology!$21:$421,1+$AH320-380,AV$14)</f>
        <v>0.024246289404617</v>
      </c>
      <c r="AW320" s="236">
        <f ca="1">INDEX(Photobiology!$21:$421,1+$AH320-380,AW$14)</f>
        <v>5.99761988869407e-5</v>
      </c>
      <c r="AX320" s="236">
        <f ca="1">INDEX(Photobiology!$21:$421,1+$AH320-380,AX$14)</f>
        <v>7.39665200978257e-6</v>
      </c>
      <c r="AY320" s="236">
        <f ca="1" t="shared" si="99"/>
        <v>13.3319879209511</v>
      </c>
      <c r="AZ320" s="236">
        <f ca="1" t="shared" si="113"/>
        <v>3.26242781744681e-7</v>
      </c>
      <c r="BA320" s="236">
        <f ca="1" t="shared" si="100"/>
        <v>0.0315421223138</v>
      </c>
      <c r="BB320" s="236">
        <f ca="1" t="shared" si="101"/>
        <v>0.385555507755648</v>
      </c>
      <c r="BC320" s="236">
        <f ca="1" t="shared" si="102"/>
        <v>0.00106512336463425</v>
      </c>
      <c r="BD320" s="236">
        <f ca="1" t="shared" si="103"/>
        <v>0.000136990014458382</v>
      </c>
    </row>
    <row r="321" s="234" customFormat="1" ht="0.2" customHeight="1" spans="7:56">
      <c r="G321" s="236"/>
      <c r="H321" s="236">
        <f t="shared" si="104"/>
        <v>680</v>
      </c>
      <c r="I321" s="236">
        <f>IF($H321&gt;$H320,INDEX(Spectra!321:321,1,MATCH($I$20,Spectra!$20:$20,0)),I320)</f>
        <v>6.38638024176562</v>
      </c>
      <c r="J321" s="236">
        <f>((Physics!$C$9*Physics!$C$10)/(Physics!$C$11*Physics!$C$12*$H321))^($J$17-$J$18)</f>
        <v>3.4241577617235e+18</v>
      </c>
      <c r="K321" s="236">
        <f t="shared" si="105"/>
        <v>1</v>
      </c>
      <c r="L321" s="236">
        <f ca="1">INDEX(Photobiology!$21:$421,1+$H321-380,10)</f>
        <v>0.017</v>
      </c>
      <c r="M321" s="236">
        <f ca="1" t="shared" si="106"/>
        <v>6.38638024176562</v>
      </c>
      <c r="N321" s="236">
        <f ca="1">INDEX(Photobiology!$21:$421,1+$H321-380,N$14)</f>
        <v>2.30152660722032e-8</v>
      </c>
      <c r="O321" s="236">
        <f ca="1">INDEX(Photobiology!$21:$421,1+$H321-380,O$14)</f>
        <v>0.00219336545929381</v>
      </c>
      <c r="P321" s="236">
        <f ca="1">INDEX(Photobiology!$21:$421,1+$H321-380,P$14)</f>
        <v>0.0269689476336068</v>
      </c>
      <c r="Q321" s="236">
        <f ca="1">INDEX(Photobiology!$21:$421,1+$H321-380,Q$14)</f>
        <v>7.42882281318786e-5</v>
      </c>
      <c r="R321" s="236">
        <f ca="1">INDEX(Photobiology!$21:$421,1+$H321-380,R$14)</f>
        <v>9.57637182007829e-6</v>
      </c>
      <c r="S321" s="236">
        <f ca="1" t="shared" si="107"/>
        <v>2.18679734741593e+19</v>
      </c>
      <c r="T321" s="236">
        <f ca="1">INDEX(Photobiology!$21:$421,1+$H321-380,T$14)</f>
        <v>1.48922309878962e-8</v>
      </c>
      <c r="U321" s="236">
        <f ca="1">INDEX(Photobiology!$21:$421,1+$H321-380,U$14)</f>
        <v>0.00175156941193424</v>
      </c>
      <c r="V321" s="236">
        <f ca="1">INDEX(Photobiology!$21:$421,1+$H321-380,V$14)</f>
        <v>0.0225776193219156</v>
      </c>
      <c r="W321" s="236">
        <f ca="1">INDEX(Photobiology!$21:$421,1+$H321-380,W$14)</f>
        <v>5.56871253524304e-5</v>
      </c>
      <c r="X321" s="236">
        <f ca="1">INDEX(Photobiology!$21:$421,1+$H321-380,X$14)</f>
        <v>6.88340065005696e-6</v>
      </c>
      <c r="Y321" s="236">
        <f ca="1" t="shared" si="94"/>
        <v>6.38638024176562</v>
      </c>
      <c r="Z321" s="236">
        <f ca="1" t="shared" si="108"/>
        <v>1.46984240502497e-7</v>
      </c>
      <c r="AA321" s="236">
        <f ca="1" t="shared" si="95"/>
        <v>0.0140076658322052</v>
      </c>
      <c r="AB321" s="236">
        <f ca="1" t="shared" si="96"/>
        <v>0.172233954308478</v>
      </c>
      <c r="AC321" s="236">
        <f ca="1" t="shared" si="97"/>
        <v>0.000474432872337206</v>
      </c>
      <c r="AD321" s="236">
        <f ca="1" t="shared" si="98"/>
        <v>6.11583517795491e-5</v>
      </c>
      <c r="AE321" s="236"/>
      <c r="AF321" s="236"/>
      <c r="AG321" s="236"/>
      <c r="AH321" s="236">
        <f t="shared" si="109"/>
        <v>680</v>
      </c>
      <c r="AI321" s="236">
        <f>IF($AH321&gt;$AH320,INDEX(Spectra!321:321,1,MATCH($AI$20,Spectra!$20:$20,0)),AI320)</f>
        <v>1</v>
      </c>
      <c r="AJ321" s="236">
        <f>((Physics!$C$9*Physics!$C$10)/(Physics!$C$11*Physics!$C$12*$AH321))^($AJ$17-$AJ$18)</f>
        <v>3.4241577617235e+18</v>
      </c>
      <c r="AK321" s="236">
        <f t="shared" si="110"/>
        <v>1</v>
      </c>
      <c r="AL321" s="236">
        <f ca="1">INDEX(Photobiology!$21:$421,1+$AH321-380,10)</f>
        <v>0.017</v>
      </c>
      <c r="AM321" s="236">
        <f ca="1" t="shared" si="111"/>
        <v>13.3319879209511</v>
      </c>
      <c r="AN321" s="236">
        <f ca="1">INDEX(Photobiology!$21:$421,1+$AH321-380,AN$14)</f>
        <v>2.30152660722032e-8</v>
      </c>
      <c r="AO321" s="236">
        <f ca="1">INDEX(Photobiology!$21:$421,1+$AH321-380,AO$14)</f>
        <v>0.00219336545929381</v>
      </c>
      <c r="AP321" s="236">
        <f ca="1">INDEX(Photobiology!$21:$421,1+$AH321-380,AP$14)</f>
        <v>0.0269689476336068</v>
      </c>
      <c r="AQ321" s="236">
        <f ca="1">INDEX(Photobiology!$21:$421,1+$AH321-380,AQ$14)</f>
        <v>7.42882281318786e-5</v>
      </c>
      <c r="AR321" s="236">
        <f ca="1">INDEX(Photobiology!$21:$421,1+$AH321-380,AR$14)</f>
        <v>9.57637182007829e-6</v>
      </c>
      <c r="AS321" s="236">
        <f ca="1" t="shared" si="112"/>
        <v>4.56508299187288e+19</v>
      </c>
      <c r="AT321" s="236">
        <f ca="1">INDEX(Photobiology!$21:$421,1+$AH321-380,AT$14)</f>
        <v>1.48922309878962e-8</v>
      </c>
      <c r="AU321" s="236">
        <f ca="1">INDEX(Photobiology!$21:$421,1+$AH321-380,AU$14)</f>
        <v>0.00175156941193424</v>
      </c>
      <c r="AV321" s="236">
        <f ca="1">INDEX(Photobiology!$21:$421,1+$AH321-380,AV$14)</f>
        <v>0.0225776193219156</v>
      </c>
      <c r="AW321" s="236">
        <f ca="1">INDEX(Photobiology!$21:$421,1+$AH321-380,AW$14)</f>
        <v>5.56871253524304e-5</v>
      </c>
      <c r="AX321" s="236">
        <f ca="1">INDEX(Photobiology!$21:$421,1+$AH321-380,AX$14)</f>
        <v>6.88340065005696e-6</v>
      </c>
      <c r="AY321" s="236">
        <f ca="1" t="shared" si="99"/>
        <v>13.3319879209511</v>
      </c>
      <c r="AZ321" s="236">
        <f ca="1" t="shared" si="113"/>
        <v>3.0683924927209e-7</v>
      </c>
      <c r="BA321" s="236">
        <f ca="1" t="shared" si="100"/>
        <v>0.0292419218095365</v>
      </c>
      <c r="BB321" s="236">
        <f ca="1" t="shared" si="101"/>
        <v>0.35954968409201</v>
      </c>
      <c r="BC321" s="236">
        <f ca="1" t="shared" si="102"/>
        <v>0.000990409760123068</v>
      </c>
      <c r="BD321" s="236">
        <f ca="1" t="shared" si="103"/>
        <v>0.000127672073431821</v>
      </c>
    </row>
    <row r="322" s="234" customFormat="1" ht="0.2" customHeight="1" spans="7:56">
      <c r="G322" s="236"/>
      <c r="H322" s="236">
        <f t="shared" si="104"/>
        <v>681</v>
      </c>
      <c r="I322" s="236">
        <f>IF($H322&gt;$H321,INDEX(Spectra!322:322,1,MATCH($I$20,Spectra!$20:$20,0)),I321)</f>
        <v>6.27638585956787</v>
      </c>
      <c r="J322" s="236">
        <f>((Physics!$C$9*Physics!$C$10)/(Physics!$C$11*Physics!$C$12*$H322))^($J$17-$J$18)</f>
        <v>3.42919328784368e+18</v>
      </c>
      <c r="K322" s="236">
        <f t="shared" si="105"/>
        <v>1</v>
      </c>
      <c r="L322" s="236">
        <f ca="1">INDEX(Photobiology!$21:$421,1+$H322-380,10)</f>
        <v>0.01590379</v>
      </c>
      <c r="M322" s="236">
        <f ca="1" t="shared" si="106"/>
        <v>6.27638585956787</v>
      </c>
      <c r="N322" s="236">
        <f ca="1">INDEX(Photobiology!$21:$421,1+$H322-380,N$14)</f>
        <v>2.16503539103937e-8</v>
      </c>
      <c r="O322" s="236">
        <f ca="1">INDEX(Photobiology!$21:$421,1+$H322-380,O$14)</f>
        <v>0.00203364432907833</v>
      </c>
      <c r="P322" s="236">
        <f ca="1">INDEX(Photobiology!$21:$421,1+$H322-380,P$14)</f>
        <v>0.0251422997613471</v>
      </c>
      <c r="Q322" s="236">
        <f ca="1">INDEX(Photobiology!$21:$421,1+$H322-380,Q$14)</f>
        <v>6.90914011314102e-5</v>
      </c>
      <c r="R322" s="236">
        <f ca="1">INDEX(Photobiology!$21:$421,1+$H322-380,R$14)</f>
        <v>8.92684512273219e-6</v>
      </c>
      <c r="S322" s="236">
        <f ca="1" t="shared" si="107"/>
        <v>2.15229402615471e+19</v>
      </c>
      <c r="T322" s="236">
        <f ca="1">INDEX(Photobiology!$21:$421,1+$H322-380,T$14)</f>
        <v>1.39884812343219e-8</v>
      </c>
      <c r="U322" s="236">
        <f ca="1">INDEX(Photobiology!$21:$421,1+$H322-380,U$14)</f>
        <v>0.00162163516415367</v>
      </c>
      <c r="V322" s="236">
        <f ca="1">INDEX(Photobiology!$21:$421,1+$H322-380,V$14)</f>
        <v>0.0210174947197124</v>
      </c>
      <c r="W322" s="236">
        <f ca="1">INDEX(Photobiology!$21:$421,1+$H322-380,W$14)</f>
        <v>5.17154848113825e-5</v>
      </c>
      <c r="X322" s="236">
        <f ca="1">INDEX(Photobiology!$21:$421,1+$H322-380,X$14)</f>
        <v>6.40710511815713e-6</v>
      </c>
      <c r="Y322" s="236">
        <f ca="1" t="shared" si="94"/>
        <v>6.27638585956787</v>
      </c>
      <c r="Z322" s="236">
        <f ca="1" t="shared" si="108"/>
        <v>1.35885975137835e-7</v>
      </c>
      <c r="AA322" s="236">
        <f ca="1" t="shared" si="95"/>
        <v>0.0127639365104176</v>
      </c>
      <c r="AB322" s="236">
        <f ca="1" t="shared" si="96"/>
        <v>0.157802774699136</v>
      </c>
      <c r="AC322" s="236">
        <f ca="1" t="shared" si="97"/>
        <v>0.000433644293078915</v>
      </c>
      <c r="AD322" s="236">
        <f ca="1" t="shared" si="98"/>
        <v>5.60283244988687e-5</v>
      </c>
      <c r="AE322" s="236"/>
      <c r="AF322" s="236"/>
      <c r="AG322" s="236"/>
      <c r="AH322" s="236">
        <f t="shared" si="109"/>
        <v>681</v>
      </c>
      <c r="AI322" s="236">
        <f>IF($AH322&gt;$AH321,INDEX(Spectra!322:322,1,MATCH($AI$20,Spectra!$20:$20,0)),AI321)</f>
        <v>1</v>
      </c>
      <c r="AJ322" s="236">
        <f>((Physics!$C$9*Physics!$C$10)/(Physics!$C$11*Physics!$C$12*$AH322))^($AJ$17-$AJ$18)</f>
        <v>3.42919328784368e+18</v>
      </c>
      <c r="AK322" s="236">
        <f t="shared" si="110"/>
        <v>1</v>
      </c>
      <c r="AL322" s="236">
        <f ca="1">INDEX(Photobiology!$21:$421,1+$AH322-380,10)</f>
        <v>0.01590379</v>
      </c>
      <c r="AM322" s="236">
        <f ca="1" t="shared" si="111"/>
        <v>13.3319879209511</v>
      </c>
      <c r="AN322" s="236">
        <f ca="1">INDEX(Photobiology!$21:$421,1+$AH322-380,AN$14)</f>
        <v>2.16503539103937e-8</v>
      </c>
      <c r="AO322" s="236">
        <f ca="1">INDEX(Photobiology!$21:$421,1+$AH322-380,AO$14)</f>
        <v>0.00203364432907833</v>
      </c>
      <c r="AP322" s="236">
        <f ca="1">INDEX(Photobiology!$21:$421,1+$AH322-380,AP$14)</f>
        <v>0.0251422997613471</v>
      </c>
      <c r="AQ322" s="236">
        <f ca="1">INDEX(Photobiology!$21:$421,1+$AH322-380,AQ$14)</f>
        <v>6.90914011314102e-5</v>
      </c>
      <c r="AR322" s="236">
        <f ca="1">INDEX(Photobiology!$21:$421,1+$AH322-380,AR$14)</f>
        <v>8.92684512273219e-6</v>
      </c>
      <c r="AS322" s="236">
        <f ca="1" t="shared" si="112"/>
        <v>4.57179634921387e+19</v>
      </c>
      <c r="AT322" s="236">
        <f ca="1">INDEX(Photobiology!$21:$421,1+$AH322-380,AT$14)</f>
        <v>1.39884812343219e-8</v>
      </c>
      <c r="AU322" s="236">
        <f ca="1">INDEX(Photobiology!$21:$421,1+$AH322-380,AU$14)</f>
        <v>0.00162163516415367</v>
      </c>
      <c r="AV322" s="236">
        <f ca="1">INDEX(Photobiology!$21:$421,1+$AH322-380,AV$14)</f>
        <v>0.0210174947197124</v>
      </c>
      <c r="AW322" s="236">
        <f ca="1">INDEX(Photobiology!$21:$421,1+$AH322-380,AW$14)</f>
        <v>5.17154848113825e-5</v>
      </c>
      <c r="AX322" s="236">
        <f ca="1">INDEX(Photobiology!$21:$421,1+$AH322-380,AX$14)</f>
        <v>6.40710511815713e-6</v>
      </c>
      <c r="AY322" s="236">
        <f ca="1" t="shared" si="99"/>
        <v>13.3319879209511</v>
      </c>
      <c r="AZ322" s="236">
        <f ca="1" t="shared" si="113"/>
        <v>2.88642256817686e-7</v>
      </c>
      <c r="BA322" s="236">
        <f ca="1" t="shared" si="100"/>
        <v>0.0271125216307831</v>
      </c>
      <c r="BB322" s="236">
        <f ca="1" t="shared" si="101"/>
        <v>0.335196836723212</v>
      </c>
      <c r="BC322" s="236">
        <f ca="1" t="shared" si="102"/>
        <v>0.000921125725325551</v>
      </c>
      <c r="BD322" s="236">
        <f ca="1" t="shared" si="103"/>
        <v>0.000119012591348467</v>
      </c>
    </row>
    <row r="323" s="234" customFormat="1" ht="0.2" customHeight="1" spans="7:56">
      <c r="G323" s="236"/>
      <c r="H323" s="236">
        <f t="shared" si="104"/>
        <v>682</v>
      </c>
      <c r="I323" s="236">
        <f>IF($H323&gt;$H322,INDEX(Spectra!323:323,1,MATCH($I$20,Spectra!$20:$20,0)),I322)</f>
        <v>6.14920131950875</v>
      </c>
      <c r="J323" s="236">
        <f>((Physics!$C$9*Physics!$C$10)/(Physics!$C$11*Physics!$C$12*$H323))^($J$17-$J$18)</f>
        <v>3.43422881396387e+18</v>
      </c>
      <c r="K323" s="236">
        <f t="shared" si="105"/>
        <v>1</v>
      </c>
      <c r="L323" s="236">
        <f ca="1">INDEX(Photobiology!$21:$421,1+$H323-380,10)</f>
        <v>0.01483718</v>
      </c>
      <c r="M323" s="236">
        <f ca="1" t="shared" si="106"/>
        <v>6.14920131950875</v>
      </c>
      <c r="N323" s="236">
        <f ca="1">INDEX(Photobiology!$21:$421,1+$H323-380,N$14)</f>
        <v>2.03701393512379e-8</v>
      </c>
      <c r="O323" s="236">
        <f ca="1">INDEX(Photobiology!$21:$421,1+$H323-380,O$14)</f>
        <v>0.00188577554740385</v>
      </c>
      <c r="P323" s="236">
        <f ca="1">INDEX(Photobiology!$21:$421,1+$H323-380,P$14)</f>
        <v>0.0234328439300449</v>
      </c>
      <c r="Q323" s="236">
        <f ca="1">INDEX(Photobiology!$21:$421,1+$H323-380,Q$14)</f>
        <v>6.4271287514308e-5</v>
      </c>
      <c r="R323" s="236">
        <f ca="1">INDEX(Photobiology!$21:$421,1+$H323-380,R$14)</f>
        <v>8.32307867733275e-6</v>
      </c>
      <c r="S323" s="236">
        <f ca="1" t="shared" si="107"/>
        <v>2.11177643543216e+19</v>
      </c>
      <c r="T323" s="236">
        <f ca="1">INDEX(Photobiology!$21:$421,1+$H323-380,T$14)</f>
        <v>1.31420253878954e-8</v>
      </c>
      <c r="U323" s="236">
        <f ca="1">INDEX(Photobiology!$21:$421,1+$H323-380,U$14)</f>
        <v>0.00150151920184847</v>
      </c>
      <c r="V323" s="236">
        <f ca="1">INDEX(Photobiology!$21:$421,1+$H323-380,V$14)</f>
        <v>0.0195597673224699</v>
      </c>
      <c r="W323" s="236">
        <f ca="1">INDEX(Photobiology!$21:$421,1+$H323-380,W$14)</f>
        <v>4.8037050940896e-5</v>
      </c>
      <c r="X323" s="236">
        <f ca="1">INDEX(Photobiology!$21:$421,1+$H323-380,X$14)</f>
        <v>5.96500190299812e-6</v>
      </c>
      <c r="Y323" s="236">
        <f ca="1" t="shared" si="94"/>
        <v>6.14920131950875</v>
      </c>
      <c r="Z323" s="236">
        <f ca="1" t="shared" si="108"/>
        <v>1.25260087777209e-7</v>
      </c>
      <c r="AA323" s="236">
        <f ca="1" t="shared" si="95"/>
        <v>0.0115960134843931</v>
      </c>
      <c r="AB323" s="236">
        <f ca="1" t="shared" si="96"/>
        <v>0.144093274814475</v>
      </c>
      <c r="AC323" s="236">
        <f ca="1" t="shared" si="97"/>
        <v>0.000395217085989509</v>
      </c>
      <c r="AD323" s="236">
        <f ca="1" t="shared" si="98"/>
        <v>5.11802863850297e-5</v>
      </c>
      <c r="AE323" s="236"/>
      <c r="AF323" s="236"/>
      <c r="AG323" s="236"/>
      <c r="AH323" s="236">
        <f t="shared" si="109"/>
        <v>682</v>
      </c>
      <c r="AI323" s="236">
        <f>IF($AH323&gt;$AH322,INDEX(Spectra!323:323,1,MATCH($AI$20,Spectra!$20:$20,0)),AI322)</f>
        <v>1</v>
      </c>
      <c r="AJ323" s="236">
        <f>((Physics!$C$9*Physics!$C$10)/(Physics!$C$11*Physics!$C$12*$AH323))^($AJ$17-$AJ$18)</f>
        <v>3.43422881396387e+18</v>
      </c>
      <c r="AK323" s="236">
        <f t="shared" si="110"/>
        <v>1</v>
      </c>
      <c r="AL323" s="236">
        <f ca="1">INDEX(Photobiology!$21:$421,1+$AH323-380,10)</f>
        <v>0.01483718</v>
      </c>
      <c r="AM323" s="236">
        <f ca="1" t="shared" si="111"/>
        <v>13.3319879209511</v>
      </c>
      <c r="AN323" s="236">
        <f ca="1">INDEX(Photobiology!$21:$421,1+$AH323-380,AN$14)</f>
        <v>2.03701393512379e-8</v>
      </c>
      <c r="AO323" s="236">
        <f ca="1">INDEX(Photobiology!$21:$421,1+$AH323-380,AO$14)</f>
        <v>0.00188577554740385</v>
      </c>
      <c r="AP323" s="236">
        <f ca="1">INDEX(Photobiology!$21:$421,1+$AH323-380,AP$14)</f>
        <v>0.0234328439300449</v>
      </c>
      <c r="AQ323" s="236">
        <f ca="1">INDEX(Photobiology!$21:$421,1+$AH323-380,AQ$14)</f>
        <v>6.4271287514308e-5</v>
      </c>
      <c r="AR323" s="236">
        <f ca="1">INDEX(Photobiology!$21:$421,1+$AH323-380,AR$14)</f>
        <v>8.32307867733275e-6</v>
      </c>
      <c r="AS323" s="236">
        <f ca="1" t="shared" si="112"/>
        <v>4.57850970655486e+19</v>
      </c>
      <c r="AT323" s="236">
        <f ca="1">INDEX(Photobiology!$21:$421,1+$AH323-380,AT$14)</f>
        <v>1.31420253878954e-8</v>
      </c>
      <c r="AU323" s="236">
        <f ca="1">INDEX(Photobiology!$21:$421,1+$AH323-380,AU$14)</f>
        <v>0.00150151920184847</v>
      </c>
      <c r="AV323" s="236">
        <f ca="1">INDEX(Photobiology!$21:$421,1+$AH323-380,AV$14)</f>
        <v>0.0195597673224699</v>
      </c>
      <c r="AW323" s="236">
        <f ca="1">INDEX(Photobiology!$21:$421,1+$AH323-380,AW$14)</f>
        <v>4.8037050940896e-5</v>
      </c>
      <c r="AX323" s="236">
        <f ca="1">INDEX(Photobiology!$21:$421,1+$AH323-380,AX$14)</f>
        <v>5.96500190299812e-6</v>
      </c>
      <c r="AY323" s="236">
        <f ca="1" t="shared" si="99"/>
        <v>13.3319879209511</v>
      </c>
      <c r="AZ323" s="236">
        <f ca="1" t="shared" si="113"/>
        <v>2.71574451778795e-7</v>
      </c>
      <c r="BA323" s="236">
        <f ca="1" t="shared" si="100"/>
        <v>0.0251411368196132</v>
      </c>
      <c r="BB323" s="236">
        <f ca="1" t="shared" si="101"/>
        <v>0.312406392228892</v>
      </c>
      <c r="BC323" s="236">
        <f ca="1" t="shared" si="102"/>
        <v>0.000856864028804732</v>
      </c>
      <c r="BD323" s="236">
        <f ca="1" t="shared" si="103"/>
        <v>0.000110963184391326</v>
      </c>
    </row>
    <row r="324" s="234" customFormat="1" ht="0.2" customHeight="1" spans="7:56">
      <c r="G324" s="236"/>
      <c r="H324" s="236">
        <f t="shared" si="104"/>
        <v>683</v>
      </c>
      <c r="I324" s="236">
        <f>IF($H324&gt;$H323,INDEX(Spectra!324:324,1,MATCH($I$20,Spectra!$20:$20,0)),I323)</f>
        <v>6.01694591558804</v>
      </c>
      <c r="J324" s="236">
        <f>((Physics!$C$9*Physics!$C$10)/(Physics!$C$11*Physics!$C$12*$H324))^($J$17-$J$18)</f>
        <v>3.43926434008405e+18</v>
      </c>
      <c r="K324" s="236">
        <f t="shared" si="105"/>
        <v>1</v>
      </c>
      <c r="L324" s="236">
        <f ca="1">INDEX(Photobiology!$21:$421,1+$H324-380,10)</f>
        <v>0.01381068</v>
      </c>
      <c r="M324" s="236">
        <f ca="1" t="shared" si="106"/>
        <v>6.01694591558804</v>
      </c>
      <c r="N324" s="236">
        <f ca="1">INDEX(Photobiology!$21:$421,1+$H324-380,N$14)</f>
        <v>1.91691122269321e-8</v>
      </c>
      <c r="O324" s="236">
        <f ca="1">INDEX(Photobiology!$21:$421,1+$H324-380,O$14)</f>
        <v>0.00174887592781136</v>
      </c>
      <c r="P324" s="236">
        <f ca="1">INDEX(Photobiology!$21:$421,1+$H324-380,P$14)</f>
        <v>0.0218339343429294</v>
      </c>
      <c r="Q324" s="236">
        <f ca="1">INDEX(Photobiology!$21:$421,1+$H324-380,Q$14)</f>
        <v>5.97996992773704e-5</v>
      </c>
      <c r="R324" s="236">
        <f ca="1">INDEX(Photobiology!$21:$421,1+$H324-380,R$14)</f>
        <v>7.76175624919487e-6</v>
      </c>
      <c r="S324" s="236">
        <f ca="1" t="shared" si="107"/>
        <v>2.06938675236963e+19</v>
      </c>
      <c r="T324" s="236">
        <f ca="1">INDEX(Photobiology!$21:$421,1+$H324-380,T$14)</f>
        <v>1.23490620495609e-8</v>
      </c>
      <c r="U324" s="236">
        <f ca="1">INDEX(Photobiology!$21:$421,1+$H324-380,U$14)</f>
        <v>0.00139047620555787</v>
      </c>
      <c r="V324" s="236">
        <f ca="1">INDEX(Photobiology!$21:$421,1+$H324-380,V$14)</f>
        <v>0.018198448131915</v>
      </c>
      <c r="W324" s="236">
        <f ca="1">INDEX(Photobiology!$21:$421,1+$H324-380,W$14)</f>
        <v>4.46294986937328e-5</v>
      </c>
      <c r="X324" s="236">
        <f ca="1">INDEX(Photobiology!$21:$421,1+$H324-380,X$14)</f>
        <v>5.55456761228645e-6</v>
      </c>
      <c r="Y324" s="236">
        <f ca="1" t="shared" si="94"/>
        <v>6.01694591558804</v>
      </c>
      <c r="Z324" s="236">
        <f ca="1" t="shared" si="108"/>
        <v>1.15339511519288e-7</v>
      </c>
      <c r="AA324" s="236">
        <f ca="1" t="shared" si="95"/>
        <v>0.0105228918707148</v>
      </c>
      <c r="AB324" s="236">
        <f ca="1" t="shared" si="96"/>
        <v>0.131373602065906</v>
      </c>
      <c r="AC324" s="236">
        <f ca="1" t="shared" si="97"/>
        <v>0.000359811556320367</v>
      </c>
      <c r="AD324" s="236">
        <f ca="1" t="shared" si="98"/>
        <v>4.6702067561383e-5</v>
      </c>
      <c r="AE324" s="236"/>
      <c r="AF324" s="236"/>
      <c r="AG324" s="236"/>
      <c r="AH324" s="236">
        <f t="shared" si="109"/>
        <v>683</v>
      </c>
      <c r="AI324" s="236">
        <f>IF($AH324&gt;$AH323,INDEX(Spectra!324:324,1,MATCH($AI$20,Spectra!$20:$20,0)),AI323)</f>
        <v>1</v>
      </c>
      <c r="AJ324" s="236">
        <f>((Physics!$C$9*Physics!$C$10)/(Physics!$C$11*Physics!$C$12*$AH324))^($AJ$17-$AJ$18)</f>
        <v>3.43926434008405e+18</v>
      </c>
      <c r="AK324" s="236">
        <f t="shared" si="110"/>
        <v>1</v>
      </c>
      <c r="AL324" s="236">
        <f ca="1">INDEX(Photobiology!$21:$421,1+$AH324-380,10)</f>
        <v>0.01381068</v>
      </c>
      <c r="AM324" s="236">
        <f ca="1" t="shared" si="111"/>
        <v>13.3319879209511</v>
      </c>
      <c r="AN324" s="236">
        <f ca="1">INDEX(Photobiology!$21:$421,1+$AH324-380,AN$14)</f>
        <v>1.91691122269321e-8</v>
      </c>
      <c r="AO324" s="236">
        <f ca="1">INDEX(Photobiology!$21:$421,1+$AH324-380,AO$14)</f>
        <v>0.00174887592781136</v>
      </c>
      <c r="AP324" s="236">
        <f ca="1">INDEX(Photobiology!$21:$421,1+$AH324-380,AP$14)</f>
        <v>0.0218339343429294</v>
      </c>
      <c r="AQ324" s="236">
        <f ca="1">INDEX(Photobiology!$21:$421,1+$AH324-380,AQ$14)</f>
        <v>5.97996992773704e-5</v>
      </c>
      <c r="AR324" s="236">
        <f ca="1">INDEX(Photobiology!$21:$421,1+$AH324-380,AR$14)</f>
        <v>7.76175624919487e-6</v>
      </c>
      <c r="AS324" s="236">
        <f ca="1" t="shared" si="112"/>
        <v>4.58522306389585e+19</v>
      </c>
      <c r="AT324" s="236">
        <f ca="1">INDEX(Photobiology!$21:$421,1+$AH324-380,AT$14)</f>
        <v>1.23490620495609e-8</v>
      </c>
      <c r="AU324" s="236">
        <f ca="1">INDEX(Photobiology!$21:$421,1+$AH324-380,AU$14)</f>
        <v>0.00139047620555787</v>
      </c>
      <c r="AV324" s="236">
        <f ca="1">INDEX(Photobiology!$21:$421,1+$AH324-380,AV$14)</f>
        <v>0.018198448131915</v>
      </c>
      <c r="AW324" s="236">
        <f ca="1">INDEX(Photobiology!$21:$421,1+$AH324-380,AW$14)</f>
        <v>4.46294986937328e-5</v>
      </c>
      <c r="AX324" s="236">
        <f ca="1">INDEX(Photobiology!$21:$421,1+$AH324-380,AX$14)</f>
        <v>5.55456761228645e-6</v>
      </c>
      <c r="AY324" s="236">
        <f ca="1" t="shared" si="99"/>
        <v>13.3319879209511</v>
      </c>
      <c r="AZ324" s="236">
        <f ca="1" t="shared" si="113"/>
        <v>2.55562372664816e-7</v>
      </c>
      <c r="BA324" s="236">
        <f ca="1" t="shared" si="100"/>
        <v>0.0233159927448233</v>
      </c>
      <c r="BB324" s="236">
        <f ca="1" t="shared" si="101"/>
        <v>0.291089748926775</v>
      </c>
      <c r="BC324" s="236">
        <f ca="1" t="shared" si="102"/>
        <v>0.000797248868442413</v>
      </c>
      <c r="BD324" s="236">
        <f ca="1" t="shared" si="103"/>
        <v>0.000103479640559633</v>
      </c>
    </row>
    <row r="325" s="234" customFormat="1" ht="0.2" customHeight="1" spans="7:56">
      <c r="G325" s="236"/>
      <c r="H325" s="236">
        <f t="shared" si="104"/>
        <v>684</v>
      </c>
      <c r="I325" s="236">
        <f>IF($H325&gt;$H324,INDEX(Spectra!325:325,1,MATCH($I$20,Spectra!$20:$20,0)),I324)</f>
        <v>5.88881921365435</v>
      </c>
      <c r="J325" s="236">
        <f>((Physics!$C$9*Physics!$C$10)/(Physics!$C$11*Physics!$C$12*$H325))^($J$17-$J$18)</f>
        <v>3.44429986620423e+18</v>
      </c>
      <c r="K325" s="236">
        <f t="shared" si="105"/>
        <v>1</v>
      </c>
      <c r="L325" s="236">
        <f ca="1">INDEX(Photobiology!$21:$421,1+$H325-380,10)</f>
        <v>0.01283478</v>
      </c>
      <c r="M325" s="236">
        <f ca="1" t="shared" si="106"/>
        <v>5.88881921365435</v>
      </c>
      <c r="N325" s="236">
        <f ca="1">INDEX(Photobiology!$21:$421,1+$H325-380,N$14)</f>
        <v>1.80421795306639e-8</v>
      </c>
      <c r="O325" s="236">
        <f ca="1">INDEX(Photobiology!$21:$421,1+$H325-380,O$14)</f>
        <v>0.00162212007850651</v>
      </c>
      <c r="P325" s="236">
        <f ca="1">INDEX(Photobiology!$21:$421,1+$H325-380,P$14)</f>
        <v>0.0203391594028352</v>
      </c>
      <c r="Q325" s="236">
        <f ca="1">INDEX(Photobiology!$21:$421,1+$H325-380,Q$14)</f>
        <v>5.56506190844708e-5</v>
      </c>
      <c r="R325" s="236">
        <f ca="1">INDEX(Photobiology!$21:$421,1+$H325-380,R$14)</f>
        <v>7.23975717513527e-6</v>
      </c>
      <c r="S325" s="236">
        <f ca="1" t="shared" si="107"/>
        <v>2.02828592296906e+19</v>
      </c>
      <c r="T325" s="236">
        <f ca="1">INDEX(Photobiology!$21:$421,1+$H325-380,T$14)</f>
        <v>1.16060803998423e-8</v>
      </c>
      <c r="U325" s="236">
        <f ca="1">INDEX(Photobiology!$21:$421,1+$H325-380,U$14)</f>
        <v>0.00128781109795388</v>
      </c>
      <c r="V325" s="236">
        <f ca="1">INDEX(Photobiology!$21:$421,1+$H325-380,V$14)</f>
        <v>0.0169277780916813</v>
      </c>
      <c r="W325" s="236">
        <f ca="1">INDEX(Photobiology!$21:$421,1+$H325-380,W$14)</f>
        <v>4.14722512145836e-5</v>
      </c>
      <c r="X325" s="236">
        <f ca="1">INDEX(Photobiology!$21:$421,1+$H325-380,X$14)</f>
        <v>5.17343336318051e-6</v>
      </c>
      <c r="Y325" s="236">
        <f ca="1" t="shared" si="94"/>
        <v>5.88881921365435</v>
      </c>
      <c r="Z325" s="236">
        <f ca="1" t="shared" si="108"/>
        <v>1.06247133476375e-7</v>
      </c>
      <c r="AA325" s="236">
        <f ca="1" t="shared" si="95"/>
        <v>0.00955237188516364</v>
      </c>
      <c r="AB325" s="236">
        <f ca="1" t="shared" si="96"/>
        <v>0.119773632680994</v>
      </c>
      <c r="AC325" s="236">
        <f ca="1" t="shared" si="97"/>
        <v>0.000327716434916391</v>
      </c>
      <c r="AD325" s="236">
        <f ca="1" t="shared" si="98"/>
        <v>4.26336211551285e-5</v>
      </c>
      <c r="AE325" s="236"/>
      <c r="AF325" s="236"/>
      <c r="AG325" s="236"/>
      <c r="AH325" s="236">
        <f t="shared" si="109"/>
        <v>684</v>
      </c>
      <c r="AI325" s="236">
        <f>IF($AH325&gt;$AH324,INDEX(Spectra!325:325,1,MATCH($AI$20,Spectra!$20:$20,0)),AI324)</f>
        <v>1</v>
      </c>
      <c r="AJ325" s="236">
        <f>((Physics!$C$9*Physics!$C$10)/(Physics!$C$11*Physics!$C$12*$AH325))^($AJ$17-$AJ$18)</f>
        <v>3.44429986620423e+18</v>
      </c>
      <c r="AK325" s="236">
        <f t="shared" si="110"/>
        <v>1</v>
      </c>
      <c r="AL325" s="236">
        <f ca="1">INDEX(Photobiology!$21:$421,1+$AH325-380,10)</f>
        <v>0.01283478</v>
      </c>
      <c r="AM325" s="236">
        <f ca="1" t="shared" si="111"/>
        <v>13.3319879209511</v>
      </c>
      <c r="AN325" s="236">
        <f ca="1">INDEX(Photobiology!$21:$421,1+$AH325-380,AN$14)</f>
        <v>1.80421795306639e-8</v>
      </c>
      <c r="AO325" s="236">
        <f ca="1">INDEX(Photobiology!$21:$421,1+$AH325-380,AO$14)</f>
        <v>0.00162212007850651</v>
      </c>
      <c r="AP325" s="236">
        <f ca="1">INDEX(Photobiology!$21:$421,1+$AH325-380,AP$14)</f>
        <v>0.0203391594028352</v>
      </c>
      <c r="AQ325" s="236">
        <f ca="1">INDEX(Photobiology!$21:$421,1+$AH325-380,AQ$14)</f>
        <v>5.56506190844708e-5</v>
      </c>
      <c r="AR325" s="236">
        <f ca="1">INDEX(Photobiology!$21:$421,1+$AH325-380,AR$14)</f>
        <v>7.23975717513527e-6</v>
      </c>
      <c r="AS325" s="236">
        <f ca="1" t="shared" si="112"/>
        <v>4.59193642123684e+19</v>
      </c>
      <c r="AT325" s="236">
        <f ca="1">INDEX(Photobiology!$21:$421,1+$AH325-380,AT$14)</f>
        <v>1.16060803998423e-8</v>
      </c>
      <c r="AU325" s="236">
        <f ca="1">INDEX(Photobiology!$21:$421,1+$AH325-380,AU$14)</f>
        <v>0.00128781109795388</v>
      </c>
      <c r="AV325" s="236">
        <f ca="1">INDEX(Photobiology!$21:$421,1+$AH325-380,AV$14)</f>
        <v>0.0169277780916813</v>
      </c>
      <c r="AW325" s="236">
        <f ca="1">INDEX(Photobiology!$21:$421,1+$AH325-380,AW$14)</f>
        <v>4.14722512145836e-5</v>
      </c>
      <c r="AX325" s="236">
        <f ca="1">INDEX(Photobiology!$21:$421,1+$AH325-380,AX$14)</f>
        <v>5.17343336318051e-6</v>
      </c>
      <c r="AY325" s="236">
        <f ca="1" t="shared" si="99"/>
        <v>13.3319879209511</v>
      </c>
      <c r="AZ325" s="236">
        <f ca="1" t="shared" si="113"/>
        <v>2.40538119570443e-7</v>
      </c>
      <c r="BA325" s="236">
        <f ca="1" t="shared" si="100"/>
        <v>0.0216260852929811</v>
      </c>
      <c r="BB325" s="236">
        <f ca="1" t="shared" si="101"/>
        <v>0.271161427480899</v>
      </c>
      <c r="BC325" s="236">
        <f ca="1" t="shared" si="102"/>
        <v>0.000741933381427618</v>
      </c>
      <c r="BD325" s="236">
        <f ca="1" t="shared" si="103"/>
        <v>9.65203552095228e-5</v>
      </c>
    </row>
    <row r="326" s="234" customFormat="1" ht="0.2" customHeight="1" spans="7:56">
      <c r="G326" s="236"/>
      <c r="H326" s="236">
        <f t="shared" si="104"/>
        <v>685</v>
      </c>
      <c r="I326" s="236">
        <f>IF($H326&gt;$H325,INDEX(Spectra!326:326,1,MATCH($I$20,Spectra!$20:$20,0)),I325)</f>
        <v>5.76553580433507</v>
      </c>
      <c r="J326" s="236">
        <f>((Physics!$C$9*Physics!$C$10)/(Physics!$C$11*Physics!$C$12*$H326))^($J$17-$J$18)</f>
        <v>3.44933539232441e+18</v>
      </c>
      <c r="K326" s="236">
        <f t="shared" si="105"/>
        <v>1</v>
      </c>
      <c r="L326" s="236">
        <f ca="1">INDEX(Photobiology!$21:$421,1+$H326-380,10)</f>
        <v>0.01192</v>
      </c>
      <c r="M326" s="236">
        <f ca="1" t="shared" si="106"/>
        <v>5.76553580433507</v>
      </c>
      <c r="N326" s="236">
        <f ca="1">INDEX(Photobiology!$21:$421,1+$H326-380,N$14)</f>
        <v>1.69845482451799e-8</v>
      </c>
      <c r="O326" s="236">
        <f ca="1">INDEX(Photobiology!$21:$421,1+$H326-380,O$14)</f>
        <v>0.00150474878039663</v>
      </c>
      <c r="P326" s="236">
        <f ca="1">INDEX(Photobiology!$21:$421,1+$H326-380,P$14)</f>
        <v>0.018942443476243</v>
      </c>
      <c r="Q326" s="236">
        <f ca="1">INDEX(Photobiology!$21:$421,1+$H326-380,Q$14)</f>
        <v>5.17999093822964e-5</v>
      </c>
      <c r="R326" s="236">
        <f ca="1">INDEX(Photobiology!$21:$421,1+$H326-380,R$14)</f>
        <v>6.75424795555789e-6</v>
      </c>
      <c r="S326" s="236">
        <f ca="1" t="shared" si="107"/>
        <v>1.98872667056065e+19</v>
      </c>
      <c r="T326" s="236">
        <f ca="1">INDEX(Photobiology!$21:$421,1+$H326-380,T$14)</f>
        <v>1.09097828144221e-8</v>
      </c>
      <c r="U326" s="236">
        <f ca="1">INDEX(Photobiology!$21:$421,1+$H326-380,U$14)</f>
        <v>0.00119288531877537</v>
      </c>
      <c r="V326" s="236">
        <f ca="1">INDEX(Photobiology!$21:$421,1+$H326-380,V$14)</f>
        <v>0.0157423109809454</v>
      </c>
      <c r="W326" s="236">
        <f ca="1">INDEX(Photobiology!$21:$421,1+$H326-380,W$14)</f>
        <v>3.85462506216806e-5</v>
      </c>
      <c r="X326" s="236">
        <f ca="1">INDEX(Photobiology!$21:$421,1+$H326-380,X$14)</f>
        <v>4.81944900941184e-6</v>
      </c>
      <c r="Y326" s="236">
        <f ca="1" t="shared" si="94"/>
        <v>5.76553580433507</v>
      </c>
      <c r="Z326" s="236">
        <f ca="1" t="shared" si="108"/>
        <v>9.79250210280411e-8</v>
      </c>
      <c r="AA326" s="236">
        <f ca="1" t="shared" si="95"/>
        <v>0.0086756829699063</v>
      </c>
      <c r="AB326" s="236">
        <f ca="1" t="shared" si="96"/>
        <v>0.109213336083872</v>
      </c>
      <c r="AC326" s="236">
        <f ca="1" t="shared" si="97"/>
        <v>0.000298654232204942</v>
      </c>
      <c r="AD326" s="236">
        <f ca="1" t="shared" si="98"/>
        <v>3.8941858419126e-5</v>
      </c>
      <c r="AE326" s="236"/>
      <c r="AF326" s="236"/>
      <c r="AG326" s="236"/>
      <c r="AH326" s="236">
        <f t="shared" si="109"/>
        <v>685</v>
      </c>
      <c r="AI326" s="236">
        <f>IF($AH326&gt;$AH325,INDEX(Spectra!326:326,1,MATCH($AI$20,Spectra!$20:$20,0)),AI325)</f>
        <v>1</v>
      </c>
      <c r="AJ326" s="236">
        <f>((Physics!$C$9*Physics!$C$10)/(Physics!$C$11*Physics!$C$12*$AH326))^($AJ$17-$AJ$18)</f>
        <v>3.44933539232441e+18</v>
      </c>
      <c r="AK326" s="236">
        <f t="shared" si="110"/>
        <v>1</v>
      </c>
      <c r="AL326" s="236">
        <f ca="1">INDEX(Photobiology!$21:$421,1+$AH326-380,10)</f>
        <v>0.01192</v>
      </c>
      <c r="AM326" s="236">
        <f ca="1" t="shared" si="111"/>
        <v>13.3319879209511</v>
      </c>
      <c r="AN326" s="236">
        <f ca="1">INDEX(Photobiology!$21:$421,1+$AH326-380,AN$14)</f>
        <v>1.69845482451799e-8</v>
      </c>
      <c r="AO326" s="236">
        <f ca="1">INDEX(Photobiology!$21:$421,1+$AH326-380,AO$14)</f>
        <v>0.00150474878039663</v>
      </c>
      <c r="AP326" s="236">
        <f ca="1">INDEX(Photobiology!$21:$421,1+$AH326-380,AP$14)</f>
        <v>0.018942443476243</v>
      </c>
      <c r="AQ326" s="236">
        <f ca="1">INDEX(Photobiology!$21:$421,1+$AH326-380,AQ$14)</f>
        <v>5.17999093822964e-5</v>
      </c>
      <c r="AR326" s="236">
        <f ca="1">INDEX(Photobiology!$21:$421,1+$AH326-380,AR$14)</f>
        <v>6.75424795555789e-6</v>
      </c>
      <c r="AS326" s="236">
        <f ca="1" t="shared" si="112"/>
        <v>4.59864977857783e+19</v>
      </c>
      <c r="AT326" s="236">
        <f ca="1">INDEX(Photobiology!$21:$421,1+$AH326-380,AT$14)</f>
        <v>1.09097828144221e-8</v>
      </c>
      <c r="AU326" s="236">
        <f ca="1">INDEX(Photobiology!$21:$421,1+$AH326-380,AU$14)</f>
        <v>0.00119288531877537</v>
      </c>
      <c r="AV326" s="236">
        <f ca="1">INDEX(Photobiology!$21:$421,1+$AH326-380,AV$14)</f>
        <v>0.0157423109809454</v>
      </c>
      <c r="AW326" s="236">
        <f ca="1">INDEX(Photobiology!$21:$421,1+$AH326-380,AW$14)</f>
        <v>3.85462506216806e-5</v>
      </c>
      <c r="AX326" s="236">
        <f ca="1">INDEX(Photobiology!$21:$421,1+$AH326-380,AX$14)</f>
        <v>4.81944900941184e-6</v>
      </c>
      <c r="AY326" s="236">
        <f ca="1" t="shared" si="99"/>
        <v>13.3319879209511</v>
      </c>
      <c r="AZ326" s="236">
        <f ca="1" t="shared" si="113"/>
        <v>2.2643779204755e-7</v>
      </c>
      <c r="BA326" s="236">
        <f ca="1" t="shared" si="100"/>
        <v>0.0200612925643138</v>
      </c>
      <c r="BB326" s="236">
        <f ca="1" t="shared" si="101"/>
        <v>0.252540427618571</v>
      </c>
      <c r="BC326" s="236">
        <f ca="1" t="shared" si="102"/>
        <v>0.000690595766191139</v>
      </c>
      <c r="BD326" s="236">
        <f ca="1" t="shared" si="103"/>
        <v>9.00475521586067e-5</v>
      </c>
    </row>
    <row r="327" s="234" customFormat="1" ht="0.2" customHeight="1" spans="7:56">
      <c r="G327" s="236"/>
      <c r="H327" s="236">
        <f t="shared" si="104"/>
        <v>686</v>
      </c>
      <c r="I327" s="236">
        <f>IF($H327&gt;$H326,INDEX(Spectra!327:327,1,MATCH($I$20,Spectra!$20:$20,0)),I326)</f>
        <v>5.6564817954154</v>
      </c>
      <c r="J327" s="236">
        <f>((Physics!$C$9*Physics!$C$10)/(Physics!$C$11*Physics!$C$12*$H327))^($J$17-$J$18)</f>
        <v>3.45437091844459e+18</v>
      </c>
      <c r="K327" s="236">
        <f t="shared" si="105"/>
        <v>1</v>
      </c>
      <c r="L327" s="236">
        <f ca="1">INDEX(Photobiology!$21:$421,1+$H327-380,10)</f>
        <v>0.01106831</v>
      </c>
      <c r="M327" s="236">
        <f ca="1" t="shared" si="106"/>
        <v>5.6564817954154</v>
      </c>
      <c r="N327" s="236">
        <f ca="1">INDEX(Photobiology!$21:$421,1+$H327-380,N$14)</f>
        <v>1.59917871239433e-8</v>
      </c>
      <c r="O327" s="236">
        <f ca="1">INDEX(Photobiology!$21:$421,1+$H327-380,O$14)</f>
        <v>0.00139605973049894</v>
      </c>
      <c r="P327" s="236">
        <f ca="1">INDEX(Photobiology!$21:$421,1+$H327-380,P$14)</f>
        <v>0.0176380268749783</v>
      </c>
      <c r="Q327" s="236">
        <f ca="1">INDEX(Photobiology!$21:$421,1+$H327-380,Q$14)</f>
        <v>4.82255289726998e-5</v>
      </c>
      <c r="R327" s="236">
        <f ca="1">INDEX(Photobiology!$21:$421,1+$H327-380,R$14)</f>
        <v>6.30257467435612e-6</v>
      </c>
      <c r="S327" s="236">
        <f ca="1" t="shared" si="107"/>
        <v>1.95395862147942e+19</v>
      </c>
      <c r="T327" s="236">
        <f ca="1">INDEX(Photobiology!$21:$421,1+$H327-380,T$14)</f>
        <v>1.025712293664e-8</v>
      </c>
      <c r="U327" s="236">
        <f ca="1">INDEX(Photobiology!$21:$421,1+$H327-380,U$14)</f>
        <v>0.00110510908545631</v>
      </c>
      <c r="V327" s="236">
        <f ca="1">INDEX(Photobiology!$21:$421,1+$H327-380,V$14)</f>
        <v>0.0146368945221226</v>
      </c>
      <c r="W327" s="236">
        <f ca="1">INDEX(Photobiology!$21:$421,1+$H327-380,W$14)</f>
        <v>3.5834107860225e-5</v>
      </c>
      <c r="X327" s="236">
        <f ca="1">INDEX(Photobiology!$21:$421,1+$H327-380,X$14)</f>
        <v>4.49060489582664e-6</v>
      </c>
      <c r="Y327" s="236">
        <f ca="1" t="shared" si="94"/>
        <v>5.6564817954154</v>
      </c>
      <c r="Z327" s="236">
        <f ca="1" t="shared" si="108"/>
        <v>9.04572527427437e-8</v>
      </c>
      <c r="AA327" s="236">
        <f ca="1" t="shared" si="95"/>
        <v>0.00789678645087978</v>
      </c>
      <c r="AB327" s="236">
        <f ca="1" t="shared" si="96"/>
        <v>0.0997691779253623</v>
      </c>
      <c r="AC327" s="236">
        <f ca="1" t="shared" si="97"/>
        <v>0.000272786826708354</v>
      </c>
      <c r="AD327" s="236">
        <f ca="1" t="shared" si="98"/>
        <v>3.56503989097415e-5</v>
      </c>
      <c r="AE327" s="236"/>
      <c r="AF327" s="236"/>
      <c r="AG327" s="236"/>
      <c r="AH327" s="236">
        <f t="shared" si="109"/>
        <v>686</v>
      </c>
      <c r="AI327" s="236">
        <f>IF($AH327&gt;$AH326,INDEX(Spectra!327:327,1,MATCH($AI$20,Spectra!$20:$20,0)),AI326)</f>
        <v>1</v>
      </c>
      <c r="AJ327" s="236">
        <f>((Physics!$C$9*Physics!$C$10)/(Physics!$C$11*Physics!$C$12*$AH327))^($AJ$17-$AJ$18)</f>
        <v>3.45437091844459e+18</v>
      </c>
      <c r="AK327" s="236">
        <f t="shared" si="110"/>
        <v>1</v>
      </c>
      <c r="AL327" s="236">
        <f ca="1">INDEX(Photobiology!$21:$421,1+$AH327-380,10)</f>
        <v>0.01106831</v>
      </c>
      <c r="AM327" s="236">
        <f ca="1" t="shared" si="111"/>
        <v>13.3319879209511</v>
      </c>
      <c r="AN327" s="236">
        <f ca="1">INDEX(Photobiology!$21:$421,1+$AH327-380,AN$14)</f>
        <v>1.59917871239433e-8</v>
      </c>
      <c r="AO327" s="236">
        <f ca="1">INDEX(Photobiology!$21:$421,1+$AH327-380,AO$14)</f>
        <v>0.00139605973049894</v>
      </c>
      <c r="AP327" s="236">
        <f ca="1">INDEX(Photobiology!$21:$421,1+$AH327-380,AP$14)</f>
        <v>0.0176380268749783</v>
      </c>
      <c r="AQ327" s="236">
        <f ca="1">INDEX(Photobiology!$21:$421,1+$AH327-380,AQ$14)</f>
        <v>4.82255289726998e-5</v>
      </c>
      <c r="AR327" s="236">
        <f ca="1">INDEX(Photobiology!$21:$421,1+$AH327-380,AR$14)</f>
        <v>6.30257467435612e-6</v>
      </c>
      <c r="AS327" s="236">
        <f ca="1" t="shared" si="112"/>
        <v>4.60536313591882e+19</v>
      </c>
      <c r="AT327" s="236">
        <f ca="1">INDEX(Photobiology!$21:$421,1+$AH327-380,AT$14)</f>
        <v>1.025712293664e-8</v>
      </c>
      <c r="AU327" s="236">
        <f ca="1">INDEX(Photobiology!$21:$421,1+$AH327-380,AU$14)</f>
        <v>0.00110510908545631</v>
      </c>
      <c r="AV327" s="236">
        <f ca="1">INDEX(Photobiology!$21:$421,1+$AH327-380,AV$14)</f>
        <v>0.0146368945221226</v>
      </c>
      <c r="AW327" s="236">
        <f ca="1">INDEX(Photobiology!$21:$421,1+$AH327-380,AW$14)</f>
        <v>3.5834107860225e-5</v>
      </c>
      <c r="AX327" s="236">
        <f ca="1">INDEX(Photobiology!$21:$421,1+$AH327-380,AX$14)</f>
        <v>4.49060489582664e-6</v>
      </c>
      <c r="AY327" s="236">
        <f ca="1" t="shared" si="99"/>
        <v>13.3319879209511</v>
      </c>
      <c r="AZ327" s="236">
        <f ca="1" t="shared" si="113"/>
        <v>2.13202312770834e-7</v>
      </c>
      <c r="BA327" s="236">
        <f ca="1" t="shared" si="100"/>
        <v>0.0186122514639382</v>
      </c>
      <c r="BB327" s="236">
        <f ca="1" t="shared" si="101"/>
        <v>0.235149961246622</v>
      </c>
      <c r="BC327" s="236">
        <f ca="1" t="shared" si="102"/>
        <v>0.000642942169745513</v>
      </c>
      <c r="BD327" s="236">
        <f ca="1" t="shared" si="103"/>
        <v>8.40258494294084e-5</v>
      </c>
    </row>
    <row r="328" s="234" customFormat="1" ht="0.2" customHeight="1" spans="7:56">
      <c r="G328" s="236"/>
      <c r="H328" s="236">
        <f t="shared" si="104"/>
        <v>687</v>
      </c>
      <c r="I328" s="236">
        <f>IF($H328&gt;$H327,INDEX(Spectra!328:328,1,MATCH($I$20,Spectra!$20:$20,0)),I327)</f>
        <v>5.53662417117244</v>
      </c>
      <c r="J328" s="236">
        <f>((Physics!$C$9*Physics!$C$10)/(Physics!$C$11*Physics!$C$12*$H328))^($J$17-$J$18)</f>
        <v>3.45940644456477e+18</v>
      </c>
      <c r="K328" s="236">
        <f t="shared" si="105"/>
        <v>1</v>
      </c>
      <c r="L328" s="236">
        <f ca="1">INDEX(Photobiology!$21:$421,1+$H328-380,10)</f>
        <v>0.01027339</v>
      </c>
      <c r="M328" s="236">
        <f ca="1" t="shared" si="106"/>
        <v>5.53662417117244</v>
      </c>
      <c r="N328" s="236">
        <f ca="1">INDEX(Photobiology!$21:$421,1+$H328-380,N$14)</f>
        <v>1.50597235627316e-8</v>
      </c>
      <c r="O328" s="236">
        <f ca="1">INDEX(Photobiology!$21:$421,1+$H328-380,O$14)</f>
        <v>0.00129540031999781</v>
      </c>
      <c r="P328" s="236">
        <f ca="1">INDEX(Photobiology!$21:$421,1+$H328-380,P$14)</f>
        <v>0.0164203345029282</v>
      </c>
      <c r="Q328" s="236">
        <f ca="1">INDEX(Photobiology!$21:$421,1+$H328-380,Q$14)</f>
        <v>4.4906995542718e-5</v>
      </c>
      <c r="R328" s="236">
        <f ca="1">INDEX(Photobiology!$21:$421,1+$H328-380,R$14)</f>
        <v>5.88229769806184e-6</v>
      </c>
      <c r="S328" s="236">
        <f ca="1" t="shared" si="107"/>
        <v>1.9153433338887e+19</v>
      </c>
      <c r="T328" s="236">
        <f ca="1">INDEX(Photobiology!$21:$421,1+$H328-380,T$14)</f>
        <v>9.64523779854717e-9</v>
      </c>
      <c r="U328" s="236">
        <f ca="1">INDEX(Photobiology!$21:$421,1+$H328-380,U$14)</f>
        <v>0.00102393532961327</v>
      </c>
      <c r="V328" s="236">
        <f ca="1">INDEX(Photobiology!$21:$421,1+$H328-380,V$14)</f>
        <v>0.0136065593968498</v>
      </c>
      <c r="W328" s="236">
        <f ca="1">INDEX(Photobiology!$21:$421,1+$H328-380,W$14)</f>
        <v>3.33196917694507e-5</v>
      </c>
      <c r="X328" s="236">
        <f ca="1">INDEX(Photobiology!$21:$421,1+$H328-380,X$14)</f>
        <v>4.18505552315757e-6</v>
      </c>
      <c r="Y328" s="236">
        <f ca="1" t="shared" si="94"/>
        <v>5.53662417117244</v>
      </c>
      <c r="Z328" s="236">
        <f ca="1" t="shared" si="108"/>
        <v>8.33800294885949e-8</v>
      </c>
      <c r="AA328" s="236">
        <f ca="1" t="shared" si="95"/>
        <v>0.00717214472304439</v>
      </c>
      <c r="AB328" s="236">
        <f ca="1" t="shared" si="96"/>
        <v>0.0909132209076491</v>
      </c>
      <c r="AC328" s="236">
        <f ca="1" t="shared" si="97"/>
        <v>0.000248633156976546</v>
      </c>
      <c r="AD328" s="236">
        <f ca="1" t="shared" si="98"/>
        <v>3.25680716171212e-5</v>
      </c>
      <c r="AE328" s="236"/>
      <c r="AF328" s="236"/>
      <c r="AG328" s="236"/>
      <c r="AH328" s="236">
        <f t="shared" si="109"/>
        <v>687</v>
      </c>
      <c r="AI328" s="236">
        <f>IF($AH328&gt;$AH327,INDEX(Spectra!328:328,1,MATCH($AI$20,Spectra!$20:$20,0)),AI327)</f>
        <v>1</v>
      </c>
      <c r="AJ328" s="236">
        <f>((Physics!$C$9*Physics!$C$10)/(Physics!$C$11*Physics!$C$12*$AH328))^($AJ$17-$AJ$18)</f>
        <v>3.45940644456477e+18</v>
      </c>
      <c r="AK328" s="236">
        <f t="shared" si="110"/>
        <v>1</v>
      </c>
      <c r="AL328" s="236">
        <f ca="1">INDEX(Photobiology!$21:$421,1+$AH328-380,10)</f>
        <v>0.01027339</v>
      </c>
      <c r="AM328" s="236">
        <f ca="1" t="shared" si="111"/>
        <v>13.3319879209511</v>
      </c>
      <c r="AN328" s="236">
        <f ca="1">INDEX(Photobiology!$21:$421,1+$AH328-380,AN$14)</f>
        <v>1.50597235627316e-8</v>
      </c>
      <c r="AO328" s="236">
        <f ca="1">INDEX(Photobiology!$21:$421,1+$AH328-380,AO$14)</f>
        <v>0.00129540031999781</v>
      </c>
      <c r="AP328" s="236">
        <f ca="1">INDEX(Photobiology!$21:$421,1+$AH328-380,AP$14)</f>
        <v>0.0164203345029282</v>
      </c>
      <c r="AQ328" s="236">
        <f ca="1">INDEX(Photobiology!$21:$421,1+$AH328-380,AQ$14)</f>
        <v>4.4906995542718e-5</v>
      </c>
      <c r="AR328" s="236">
        <f ca="1">INDEX(Photobiology!$21:$421,1+$AH328-380,AR$14)</f>
        <v>5.88229769806184e-6</v>
      </c>
      <c r="AS328" s="236">
        <f ca="1" t="shared" si="112"/>
        <v>4.61207649325981e+19</v>
      </c>
      <c r="AT328" s="236">
        <f ca="1">INDEX(Photobiology!$21:$421,1+$AH328-380,AT$14)</f>
        <v>9.64523779854717e-9</v>
      </c>
      <c r="AU328" s="236">
        <f ca="1">INDEX(Photobiology!$21:$421,1+$AH328-380,AU$14)</f>
        <v>0.00102393532961327</v>
      </c>
      <c r="AV328" s="236">
        <f ca="1">INDEX(Photobiology!$21:$421,1+$AH328-380,AV$14)</f>
        <v>0.0136065593968498</v>
      </c>
      <c r="AW328" s="236">
        <f ca="1">INDEX(Photobiology!$21:$421,1+$AH328-380,AW$14)</f>
        <v>3.33196917694507e-5</v>
      </c>
      <c r="AX328" s="236">
        <f ca="1">INDEX(Photobiology!$21:$421,1+$AH328-380,AX$14)</f>
        <v>4.18505552315757e-6</v>
      </c>
      <c r="AY328" s="236">
        <f ca="1" t="shared" si="99"/>
        <v>13.3319879209511</v>
      </c>
      <c r="AZ328" s="236">
        <f ca="1" t="shared" si="113"/>
        <v>2.00776052631201e-7</v>
      </c>
      <c r="BA328" s="236">
        <f ca="1" t="shared" si="100"/>
        <v>0.017270261419007</v>
      </c>
      <c r="BB328" s="236">
        <f ca="1" t="shared" si="101"/>
        <v>0.218915701251016</v>
      </c>
      <c r="BC328" s="236">
        <f ca="1" t="shared" si="102"/>
        <v>0.000598699522141723</v>
      </c>
      <c r="BD328" s="236">
        <f ca="1" t="shared" si="103"/>
        <v>7.84227218579991e-5</v>
      </c>
    </row>
    <row r="329" s="234" customFormat="1" ht="0.2" customHeight="1" spans="7:56">
      <c r="G329" s="236"/>
      <c r="H329" s="236">
        <f t="shared" si="104"/>
        <v>688</v>
      </c>
      <c r="I329" s="236">
        <f>IF($H329&gt;$H328,INDEX(Spectra!329:329,1,MATCH($I$20,Spectra!$20:$20,0)),I328)</f>
        <v>5.40282551732805</v>
      </c>
      <c r="J329" s="236">
        <f>((Physics!$C$9*Physics!$C$10)/(Physics!$C$11*Physics!$C$12*$H329))^($J$17-$J$18)</f>
        <v>3.46444197068496e+18</v>
      </c>
      <c r="K329" s="236">
        <f t="shared" si="105"/>
        <v>1</v>
      </c>
      <c r="L329" s="236">
        <f ca="1">INDEX(Photobiology!$21:$421,1+$H329-380,10)</f>
        <v>0.009533311</v>
      </c>
      <c r="M329" s="236">
        <f ca="1" t="shared" si="106"/>
        <v>5.40282551732805</v>
      </c>
      <c r="N329" s="236">
        <f ca="1">INDEX(Photobiology!$21:$421,1+$H329-380,N$14)</f>
        <v>1.41845316279142e-8</v>
      </c>
      <c r="O329" s="236">
        <f ca="1">INDEX(Photobiology!$21:$421,1+$H329-380,O$14)</f>
        <v>0.00120217308365468</v>
      </c>
      <c r="P329" s="236">
        <f ca="1">INDEX(Photobiology!$21:$421,1+$H329-380,P$14)</f>
        <v>0.0152840693644138</v>
      </c>
      <c r="Q329" s="236">
        <f ca="1">INDEX(Photobiology!$21:$421,1+$H329-380,Q$14)</f>
        <v>4.18251974621965e-5</v>
      </c>
      <c r="R329" s="236">
        <f ca="1">INDEX(Photobiology!$21:$421,1+$H329-380,R$14)</f>
        <v>5.4911587576895e-6</v>
      </c>
      <c r="S329" s="236">
        <f ca="1" t="shared" si="107"/>
        <v>1.8717775482519e+19</v>
      </c>
      <c r="T329" s="236">
        <f ca="1">INDEX(Photobiology!$21:$421,1+$H329-380,T$14)</f>
        <v>9.07150278529396e-9</v>
      </c>
      <c r="U329" s="236">
        <f ca="1">INDEX(Photobiology!$21:$421,1+$H329-380,U$14)</f>
        <v>0.000948863687789566</v>
      </c>
      <c r="V329" s="236">
        <f ca="1">INDEX(Photobiology!$21:$421,1+$H329-380,V$14)</f>
        <v>0.012646595288571</v>
      </c>
      <c r="W329" s="236">
        <f ca="1">INDEX(Photobiology!$21:$421,1+$H329-380,W$14)</f>
        <v>3.09879805031992e-5</v>
      </c>
      <c r="X329" s="236">
        <f ca="1">INDEX(Photobiology!$21:$421,1+$H329-380,X$14)</f>
        <v>3.90109496891859e-6</v>
      </c>
      <c r="Y329" s="236">
        <f ca="1" t="shared" si="94"/>
        <v>5.40282551732805</v>
      </c>
      <c r="Z329" s="236">
        <f ca="1" t="shared" si="108"/>
        <v>7.66365494306416e-8</v>
      </c>
      <c r="AA329" s="236">
        <f ca="1" t="shared" si="95"/>
        <v>0.00649513141261445</v>
      </c>
      <c r="AB329" s="236">
        <f ca="1" t="shared" si="96"/>
        <v>0.0825771599706668</v>
      </c>
      <c r="AC329" s="236">
        <f ca="1" t="shared" si="97"/>
        <v>0.00022597424411604</v>
      </c>
      <c r="AD329" s="236">
        <f ca="1" t="shared" si="98"/>
        <v>2.96677726557442e-5</v>
      </c>
      <c r="AE329" s="236"/>
      <c r="AF329" s="236"/>
      <c r="AG329" s="236"/>
      <c r="AH329" s="236">
        <f t="shared" si="109"/>
        <v>688</v>
      </c>
      <c r="AI329" s="236">
        <f>IF($AH329&gt;$AH328,INDEX(Spectra!329:329,1,MATCH($AI$20,Spectra!$20:$20,0)),AI328)</f>
        <v>1</v>
      </c>
      <c r="AJ329" s="236">
        <f>((Physics!$C$9*Physics!$C$10)/(Physics!$C$11*Physics!$C$12*$AH329))^($AJ$17-$AJ$18)</f>
        <v>3.46444197068496e+18</v>
      </c>
      <c r="AK329" s="236">
        <f t="shared" si="110"/>
        <v>1</v>
      </c>
      <c r="AL329" s="236">
        <f ca="1">INDEX(Photobiology!$21:$421,1+$AH329-380,10)</f>
        <v>0.009533311</v>
      </c>
      <c r="AM329" s="236">
        <f ca="1" t="shared" si="111"/>
        <v>13.3319879209511</v>
      </c>
      <c r="AN329" s="236">
        <f ca="1">INDEX(Photobiology!$21:$421,1+$AH329-380,AN$14)</f>
        <v>1.41845316279142e-8</v>
      </c>
      <c r="AO329" s="236">
        <f ca="1">INDEX(Photobiology!$21:$421,1+$AH329-380,AO$14)</f>
        <v>0.00120217308365468</v>
      </c>
      <c r="AP329" s="236">
        <f ca="1">INDEX(Photobiology!$21:$421,1+$AH329-380,AP$14)</f>
        <v>0.0152840693644138</v>
      </c>
      <c r="AQ329" s="236">
        <f ca="1">INDEX(Photobiology!$21:$421,1+$AH329-380,AQ$14)</f>
        <v>4.18251974621965e-5</v>
      </c>
      <c r="AR329" s="236">
        <f ca="1">INDEX(Photobiology!$21:$421,1+$AH329-380,AR$14)</f>
        <v>5.4911587576895e-6</v>
      </c>
      <c r="AS329" s="236">
        <f ca="1" t="shared" si="112"/>
        <v>4.6187898506008e+19</v>
      </c>
      <c r="AT329" s="236">
        <f ca="1">INDEX(Photobiology!$21:$421,1+$AH329-380,AT$14)</f>
        <v>9.07150278529396e-9</v>
      </c>
      <c r="AU329" s="236">
        <f ca="1">INDEX(Photobiology!$21:$421,1+$AH329-380,AU$14)</f>
        <v>0.000948863687789566</v>
      </c>
      <c r="AV329" s="236">
        <f ca="1">INDEX(Photobiology!$21:$421,1+$AH329-380,AV$14)</f>
        <v>0.012646595288571</v>
      </c>
      <c r="AW329" s="236">
        <f ca="1">INDEX(Photobiology!$21:$421,1+$AH329-380,AW$14)</f>
        <v>3.09879805031992e-5</v>
      </c>
      <c r="AX329" s="236">
        <f ca="1">INDEX(Photobiology!$21:$421,1+$AH329-380,AX$14)</f>
        <v>3.90109496891859e-6</v>
      </c>
      <c r="AY329" s="236">
        <f ca="1" t="shared" si="99"/>
        <v>13.3319879209511</v>
      </c>
      <c r="AZ329" s="236">
        <f ca="1" t="shared" si="113"/>
        <v>1.89108004327702e-7</v>
      </c>
      <c r="BA329" s="236">
        <f ca="1" t="shared" si="100"/>
        <v>0.0160273570301768</v>
      </c>
      <c r="BB329" s="236">
        <f ca="1" t="shared" si="101"/>
        <v>0.203767028149344</v>
      </c>
      <c r="BC329" s="236">
        <f ca="1" t="shared" si="102"/>
        <v>0.0005576130273574</v>
      </c>
      <c r="BD329" s="236">
        <f ca="1" t="shared" si="103"/>
        <v>7.32080622295415e-5</v>
      </c>
    </row>
    <row r="330" s="234" customFormat="1" ht="0.2" customHeight="1" spans="7:56">
      <c r="G330" s="236"/>
      <c r="H330" s="236">
        <f t="shared" si="104"/>
        <v>689</v>
      </c>
      <c r="I330" s="236">
        <f>IF($H330&gt;$H329,INDEX(Spectra!330:330,1,MATCH($I$20,Spectra!$20:$20,0)),I329)</f>
        <v>5.29344933896592</v>
      </c>
      <c r="J330" s="236">
        <f>((Physics!$C$9*Physics!$C$10)/(Physics!$C$11*Physics!$C$12*$H330))^($J$17-$J$18)</f>
        <v>3.46947749680514e+18</v>
      </c>
      <c r="K330" s="236">
        <f t="shared" si="105"/>
        <v>1</v>
      </c>
      <c r="L330" s="236">
        <f ca="1">INDEX(Photobiology!$21:$421,1+$H330-380,10)</f>
        <v>0.008846157</v>
      </c>
      <c r="M330" s="236">
        <f ca="1" t="shared" si="106"/>
        <v>5.29344933896592</v>
      </c>
      <c r="N330" s="236">
        <f ca="1">INDEX(Photobiology!$21:$421,1+$H330-380,N$14)</f>
        <v>1.33625702067581e-8</v>
      </c>
      <c r="O330" s="236">
        <f ca="1">INDEX(Photobiology!$21:$421,1+$H330-380,O$14)</f>
        <v>0.00111581449803672</v>
      </c>
      <c r="P330" s="236">
        <f ca="1">INDEX(Photobiology!$21:$421,1+$H330-380,P$14)</f>
        <v>0.0142241721576428</v>
      </c>
      <c r="Q330" s="236">
        <f ca="1">INDEX(Photobiology!$21:$421,1+$H330-380,Q$14)</f>
        <v>3.89627857160806e-5</v>
      </c>
      <c r="R330" s="236">
        <f ca="1">INDEX(Photobiology!$21:$421,1+$H330-380,R$14)</f>
        <v>5.12704347410318e-6</v>
      </c>
      <c r="S330" s="236">
        <f ca="1" t="shared" si="107"/>
        <v>1.83655033620203e+19</v>
      </c>
      <c r="T330" s="236">
        <f ca="1">INDEX(Photobiology!$21:$421,1+$H330-380,T$14)</f>
        <v>8.53342654713144e-9</v>
      </c>
      <c r="U330" s="236">
        <f ca="1">INDEX(Photobiology!$21:$421,1+$H330-380,U$14)</f>
        <v>0.000879423452455679</v>
      </c>
      <c r="V330" s="236">
        <f ca="1">INDEX(Photobiology!$21:$421,1+$H330-380,V$14)</f>
        <v>0.0117525156176656</v>
      </c>
      <c r="W330" s="236">
        <f ca="1">INDEX(Photobiology!$21:$421,1+$H330-380,W$14)</f>
        <v>2.88253434380363e-5</v>
      </c>
      <c r="X330" s="236">
        <f ca="1">INDEX(Photobiology!$21:$421,1+$H330-380,X$14)</f>
        <v>3.63712928997245e-6</v>
      </c>
      <c r="Y330" s="236">
        <f ca="1" t="shared" si="94"/>
        <v>5.29344933896592</v>
      </c>
      <c r="Z330" s="236">
        <f ca="1" t="shared" si="108"/>
        <v>7.07340884278494e-8</v>
      </c>
      <c r="AA330" s="236">
        <f ca="1" t="shared" si="95"/>
        <v>0.00590650751704107</v>
      </c>
      <c r="AB330" s="236">
        <f ca="1" t="shared" si="96"/>
        <v>0.0752949347052117</v>
      </c>
      <c r="AC330" s="236">
        <f ca="1" t="shared" si="97"/>
        <v>0.000206247532293058</v>
      </c>
      <c r="AD330" s="236">
        <f ca="1" t="shared" si="98"/>
        <v>2.7139744888841e-5</v>
      </c>
      <c r="AE330" s="236"/>
      <c r="AF330" s="236"/>
      <c r="AG330" s="236"/>
      <c r="AH330" s="236">
        <f t="shared" si="109"/>
        <v>689</v>
      </c>
      <c r="AI330" s="236">
        <f>IF($AH330&gt;$AH329,INDEX(Spectra!330:330,1,MATCH($AI$20,Spectra!$20:$20,0)),AI329)</f>
        <v>1</v>
      </c>
      <c r="AJ330" s="236">
        <f>((Physics!$C$9*Physics!$C$10)/(Physics!$C$11*Physics!$C$12*$AH330))^($AJ$17-$AJ$18)</f>
        <v>3.46947749680514e+18</v>
      </c>
      <c r="AK330" s="236">
        <f t="shared" si="110"/>
        <v>1</v>
      </c>
      <c r="AL330" s="236">
        <f ca="1">INDEX(Photobiology!$21:$421,1+$AH330-380,10)</f>
        <v>0.008846157</v>
      </c>
      <c r="AM330" s="236">
        <f ca="1" t="shared" si="111"/>
        <v>13.3319879209511</v>
      </c>
      <c r="AN330" s="236">
        <f ca="1">INDEX(Photobiology!$21:$421,1+$AH330-380,AN$14)</f>
        <v>1.33625702067581e-8</v>
      </c>
      <c r="AO330" s="236">
        <f ca="1">INDEX(Photobiology!$21:$421,1+$AH330-380,AO$14)</f>
        <v>0.00111581449803672</v>
      </c>
      <c r="AP330" s="236">
        <f ca="1">INDEX(Photobiology!$21:$421,1+$AH330-380,AP$14)</f>
        <v>0.0142241721576428</v>
      </c>
      <c r="AQ330" s="236">
        <f ca="1">INDEX(Photobiology!$21:$421,1+$AH330-380,AQ$14)</f>
        <v>3.89627857160806e-5</v>
      </c>
      <c r="AR330" s="236">
        <f ca="1">INDEX(Photobiology!$21:$421,1+$AH330-380,AR$14)</f>
        <v>5.12704347410318e-6</v>
      </c>
      <c r="AS330" s="236">
        <f ca="1" t="shared" si="112"/>
        <v>4.62550320794179e+19</v>
      </c>
      <c r="AT330" s="236">
        <f ca="1">INDEX(Photobiology!$21:$421,1+$AH330-380,AT$14)</f>
        <v>8.53342654713144e-9</v>
      </c>
      <c r="AU330" s="236">
        <f ca="1">INDEX(Photobiology!$21:$421,1+$AH330-380,AU$14)</f>
        <v>0.000879423452455679</v>
      </c>
      <c r="AV330" s="236">
        <f ca="1">INDEX(Photobiology!$21:$421,1+$AH330-380,AV$14)</f>
        <v>0.0117525156176656</v>
      </c>
      <c r="AW330" s="236">
        <f ca="1">INDEX(Photobiology!$21:$421,1+$AH330-380,AW$14)</f>
        <v>2.88253434380363e-5</v>
      </c>
      <c r="AX330" s="236">
        <f ca="1">INDEX(Photobiology!$21:$421,1+$AH330-380,AX$14)</f>
        <v>3.63712928997245e-6</v>
      </c>
      <c r="AY330" s="236">
        <f ca="1" t="shared" si="99"/>
        <v>13.3319879209511</v>
      </c>
      <c r="AZ330" s="236">
        <f ca="1" t="shared" si="113"/>
        <v>1.78149624589361e-7</v>
      </c>
      <c r="BA330" s="236">
        <f ca="1" t="shared" si="100"/>
        <v>0.0148760254098477</v>
      </c>
      <c r="BB330" s="236">
        <f ca="1" t="shared" si="101"/>
        <v>0.189636491391223</v>
      </c>
      <c r="BC330" s="236">
        <f ca="1" t="shared" si="102"/>
        <v>0.000519451388533394</v>
      </c>
      <c r="BD330" s="236">
        <f ca="1" t="shared" si="103"/>
        <v>6.8353681666935e-5</v>
      </c>
    </row>
    <row r="331" s="234" customFormat="1" ht="0.2" customHeight="1" spans="7:56">
      <c r="G331" s="236"/>
      <c r="H331" s="236">
        <f t="shared" si="104"/>
        <v>690</v>
      </c>
      <c r="I331" s="236">
        <f>IF($H331&gt;$H330,INDEX(Spectra!331:331,1,MATCH($I$20,Spectra!$20:$20,0)),I330)</f>
        <v>5.15982011127164</v>
      </c>
      <c r="J331" s="236">
        <f>((Physics!$C$9*Physics!$C$10)/(Physics!$C$11*Physics!$C$12*$H331))^($J$17-$J$18)</f>
        <v>3.47451302292532e+18</v>
      </c>
      <c r="K331" s="236">
        <f t="shared" si="105"/>
        <v>1</v>
      </c>
      <c r="L331" s="236">
        <f ca="1">INDEX(Photobiology!$21:$421,1+$H331-380,10)</f>
        <v>0.00821</v>
      </c>
      <c r="M331" s="236">
        <f ca="1" t="shared" si="106"/>
        <v>5.15982011127164</v>
      </c>
      <c r="N331" s="236">
        <f ca="1">INDEX(Photobiology!$21:$421,1+$H331-380,N$14)</f>
        <v>1.25904716656266e-8</v>
      </c>
      <c r="O331" s="236">
        <f ca="1">INDEX(Photobiology!$21:$421,1+$H331-380,O$14)</f>
        <v>0.00103581453277316</v>
      </c>
      <c r="P331" s="236">
        <f ca="1">INDEX(Photobiology!$21:$421,1+$H331-380,P$14)</f>
        <v>0.0132359159297889</v>
      </c>
      <c r="Q331" s="236">
        <f ca="1">INDEX(Photobiology!$21:$421,1+$H331-380,Q$14)</f>
        <v>3.63036256270437e-5</v>
      </c>
      <c r="R331" s="236">
        <f ca="1">INDEX(Photobiology!$21:$421,1+$H331-380,R$14)</f>
        <v>4.78804253670872e-6</v>
      </c>
      <c r="S331" s="236">
        <f ca="1" t="shared" si="107"/>
        <v>1.79278621725653e+19</v>
      </c>
      <c r="T331" s="236">
        <f ca="1">INDEX(Photobiology!$21:$421,1+$H331-380,T$14)</f>
        <v>8.02870656938508e-9</v>
      </c>
      <c r="U331" s="236">
        <f ca="1">INDEX(Photobiology!$21:$421,1+$H331-380,U$14)</f>
        <v>0.000815188744000993</v>
      </c>
      <c r="V331" s="236">
        <f ca="1">INDEX(Photobiology!$21:$421,1+$H331-380,V$14)</f>
        <v>0.0109201340142066</v>
      </c>
      <c r="W331" s="236">
        <f ca="1">INDEX(Photobiology!$21:$421,1+$H331-380,W$14)</f>
        <v>2.68191260546977e-5</v>
      </c>
      <c r="X331" s="236">
        <f ca="1">INDEX(Photobiology!$21:$421,1+$H331-380,X$14)</f>
        <v>3.39171904840697e-6</v>
      </c>
      <c r="Y331" s="236">
        <f ca="1" t="shared" si="94"/>
        <v>5.15982011127164</v>
      </c>
      <c r="Z331" s="236">
        <f ca="1" t="shared" si="108"/>
        <v>6.49645689106959e-8</v>
      </c>
      <c r="AA331" s="236">
        <f ca="1" t="shared" si="95"/>
        <v>0.00534461665775039</v>
      </c>
      <c r="AB331" s="236">
        <f ca="1" t="shared" si="96"/>
        <v>0.0682949452056254</v>
      </c>
      <c r="AC331" s="236">
        <f ca="1" t="shared" si="97"/>
        <v>0.000187320177622497</v>
      </c>
      <c r="AD331" s="236">
        <f ca="1" t="shared" si="98"/>
        <v>2.47054381745337e-5</v>
      </c>
      <c r="AE331" s="236"/>
      <c r="AF331" s="236"/>
      <c r="AG331" s="236"/>
      <c r="AH331" s="236">
        <f t="shared" si="109"/>
        <v>690</v>
      </c>
      <c r="AI331" s="236">
        <f>IF($AH331&gt;$AH330,INDEX(Spectra!331:331,1,MATCH($AI$20,Spectra!$20:$20,0)),AI330)</f>
        <v>1</v>
      </c>
      <c r="AJ331" s="236">
        <f>((Physics!$C$9*Physics!$C$10)/(Physics!$C$11*Physics!$C$12*$AH331))^($AJ$17-$AJ$18)</f>
        <v>3.47451302292532e+18</v>
      </c>
      <c r="AK331" s="236">
        <f t="shared" si="110"/>
        <v>1</v>
      </c>
      <c r="AL331" s="236">
        <f ca="1">INDEX(Photobiology!$21:$421,1+$AH331-380,10)</f>
        <v>0.00821</v>
      </c>
      <c r="AM331" s="236">
        <f ca="1" t="shared" si="111"/>
        <v>13.3319879209511</v>
      </c>
      <c r="AN331" s="236">
        <f ca="1">INDEX(Photobiology!$21:$421,1+$AH331-380,AN$14)</f>
        <v>1.25904716656266e-8</v>
      </c>
      <c r="AO331" s="236">
        <f ca="1">INDEX(Photobiology!$21:$421,1+$AH331-380,AO$14)</f>
        <v>0.00103581453277316</v>
      </c>
      <c r="AP331" s="236">
        <f ca="1">INDEX(Photobiology!$21:$421,1+$AH331-380,AP$14)</f>
        <v>0.0132359159297889</v>
      </c>
      <c r="AQ331" s="236">
        <f ca="1">INDEX(Photobiology!$21:$421,1+$AH331-380,AQ$14)</f>
        <v>3.63036256270437e-5</v>
      </c>
      <c r="AR331" s="236">
        <f ca="1">INDEX(Photobiology!$21:$421,1+$AH331-380,AR$14)</f>
        <v>4.78804253670872e-6</v>
      </c>
      <c r="AS331" s="236">
        <f ca="1" t="shared" si="112"/>
        <v>4.63221656528278e+19</v>
      </c>
      <c r="AT331" s="236">
        <f ca="1">INDEX(Photobiology!$21:$421,1+$AH331-380,AT$14)</f>
        <v>8.02870656938508e-9</v>
      </c>
      <c r="AU331" s="236">
        <f ca="1">INDEX(Photobiology!$21:$421,1+$AH331-380,AU$14)</f>
        <v>0.000815188744000993</v>
      </c>
      <c r="AV331" s="236">
        <f ca="1">INDEX(Photobiology!$21:$421,1+$AH331-380,AV$14)</f>
        <v>0.0109201340142066</v>
      </c>
      <c r="AW331" s="236">
        <f ca="1">INDEX(Photobiology!$21:$421,1+$AH331-380,AW$14)</f>
        <v>2.68191260546977e-5</v>
      </c>
      <c r="AX331" s="236">
        <f ca="1">INDEX(Photobiology!$21:$421,1+$AH331-380,AX$14)</f>
        <v>3.39171904840697e-6</v>
      </c>
      <c r="AY331" s="236">
        <f ca="1" t="shared" si="99"/>
        <v>13.3319879209511</v>
      </c>
      <c r="AZ331" s="236">
        <f ca="1" t="shared" si="113"/>
        <v>1.67856016165211e-7</v>
      </c>
      <c r="BA331" s="236">
        <f ca="1" t="shared" si="100"/>
        <v>0.0138094668392774</v>
      </c>
      <c r="BB331" s="236">
        <f ca="1" t="shared" si="101"/>
        <v>0.17646107129867</v>
      </c>
      <c r="BC331" s="236">
        <f ca="1" t="shared" si="102"/>
        <v>0.000483999498346479</v>
      </c>
      <c r="BD331" s="236">
        <f ca="1" t="shared" si="103"/>
        <v>6.38341252644009e-5</v>
      </c>
    </row>
    <row r="332" s="234" customFormat="1" ht="0.2" customHeight="1" spans="7:56">
      <c r="G332" s="236"/>
      <c r="H332" s="236">
        <f t="shared" si="104"/>
        <v>691</v>
      </c>
      <c r="I332" s="236">
        <f>IF($H332&gt;$H331,INDEX(Spectra!332:332,1,MATCH($I$20,Spectra!$20:$20,0)),I331)</f>
        <v>5.06336753975284</v>
      </c>
      <c r="J332" s="236">
        <f>((Physics!$C$9*Physics!$C$10)/(Physics!$C$11*Physics!$C$12*$H332))^($J$17-$J$18)</f>
        <v>3.4795485490455e+18</v>
      </c>
      <c r="K332" s="236">
        <f t="shared" si="105"/>
        <v>1</v>
      </c>
      <c r="L332" s="236">
        <f ca="1">INDEX(Photobiology!$21:$421,1+$H332-380,10)</f>
        <v>0.007623781</v>
      </c>
      <c r="M332" s="236">
        <f ca="1" t="shared" si="106"/>
        <v>5.06336753975284</v>
      </c>
      <c r="N332" s="236">
        <f ca="1">INDEX(Photobiology!$21:$421,1+$H332-380,N$14)</f>
        <v>1.18631494061162e-8</v>
      </c>
      <c r="O332" s="236">
        <f ca="1">INDEX(Photobiology!$21:$421,1+$H332-380,O$14)</f>
        <v>0.00096153921275444</v>
      </c>
      <c r="P332" s="236">
        <f ca="1">INDEX(Photobiology!$21:$421,1+$H332-380,P$14)</f>
        <v>0.0123127766053699</v>
      </c>
      <c r="Q332" s="236">
        <f ca="1">INDEX(Photobiology!$21:$421,1+$H332-380,Q$14)</f>
        <v>3.38272739062722e-5</v>
      </c>
      <c r="R332" s="236">
        <f ca="1">INDEX(Photobiology!$21:$421,1+$H332-380,R$14)</f>
        <v>4.4716211332802e-6</v>
      </c>
      <c r="S332" s="236">
        <f ca="1" t="shared" si="107"/>
        <v>1.76182331762311e+19</v>
      </c>
      <c r="T332" s="236">
        <f ca="1">INDEX(Photobiology!$21:$421,1+$H332-380,T$14)</f>
        <v>7.55395910085547e-9</v>
      </c>
      <c r="U332" s="236">
        <f ca="1">INDEX(Photobiology!$21:$421,1+$H332-380,U$14)</f>
        <v>0.000755638744440744</v>
      </c>
      <c r="V332" s="236">
        <f ca="1">INDEX(Photobiology!$21:$421,1+$H332-380,V$14)</f>
        <v>0.010143807793143</v>
      </c>
      <c r="W332" s="236">
        <f ca="1">INDEX(Photobiology!$21:$421,1+$H332-380,W$14)</f>
        <v>2.49535687279206e-5</v>
      </c>
      <c r="X332" s="236">
        <f ca="1">INDEX(Photobiology!$21:$421,1+$H332-380,X$14)</f>
        <v>3.16299069169341e-6</v>
      </c>
      <c r="Y332" s="236">
        <f ca="1" t="shared" si="94"/>
        <v>5.06336753975284</v>
      </c>
      <c r="Z332" s="236">
        <f ca="1" t="shared" si="108"/>
        <v>6.00674856221669e-8</v>
      </c>
      <c r="AA332" s="236">
        <f ca="1" t="shared" si="95"/>
        <v>0.00486862643806033</v>
      </c>
      <c r="AB332" s="236">
        <f ca="1" t="shared" si="96"/>
        <v>0.0623441133878581</v>
      </c>
      <c r="AC332" s="236">
        <f ca="1" t="shared" si="97"/>
        <v>0.000171279920655347</v>
      </c>
      <c r="AD332" s="236">
        <f ca="1" t="shared" si="98"/>
        <v>2.26414612963238e-5</v>
      </c>
      <c r="AE332" s="236"/>
      <c r="AF332" s="236"/>
      <c r="AG332" s="236"/>
      <c r="AH332" s="236">
        <f t="shared" si="109"/>
        <v>691</v>
      </c>
      <c r="AI332" s="236">
        <f>IF($AH332&gt;$AH331,INDEX(Spectra!332:332,1,MATCH($AI$20,Spectra!$20:$20,0)),AI331)</f>
        <v>1</v>
      </c>
      <c r="AJ332" s="236">
        <f>((Physics!$C$9*Physics!$C$10)/(Physics!$C$11*Physics!$C$12*$AH332))^($AJ$17-$AJ$18)</f>
        <v>3.4795485490455e+18</v>
      </c>
      <c r="AK332" s="236">
        <f t="shared" si="110"/>
        <v>1</v>
      </c>
      <c r="AL332" s="236">
        <f ca="1">INDEX(Photobiology!$21:$421,1+$AH332-380,10)</f>
        <v>0.007623781</v>
      </c>
      <c r="AM332" s="236">
        <f ca="1" t="shared" si="111"/>
        <v>13.3319879209511</v>
      </c>
      <c r="AN332" s="236">
        <f ca="1">INDEX(Photobiology!$21:$421,1+$AH332-380,AN$14)</f>
        <v>1.18631494061162e-8</v>
      </c>
      <c r="AO332" s="236">
        <f ca="1">INDEX(Photobiology!$21:$421,1+$AH332-380,AO$14)</f>
        <v>0.00096153921275444</v>
      </c>
      <c r="AP332" s="236">
        <f ca="1">INDEX(Photobiology!$21:$421,1+$AH332-380,AP$14)</f>
        <v>0.0123127766053699</v>
      </c>
      <c r="AQ332" s="236">
        <f ca="1">INDEX(Photobiology!$21:$421,1+$AH332-380,AQ$14)</f>
        <v>3.38272739062722e-5</v>
      </c>
      <c r="AR332" s="236">
        <f ca="1">INDEX(Photobiology!$21:$421,1+$AH332-380,AR$14)</f>
        <v>4.4716211332802e-6</v>
      </c>
      <c r="AS332" s="236">
        <f ca="1" t="shared" si="112"/>
        <v>4.63892992262377e+19</v>
      </c>
      <c r="AT332" s="236">
        <f ca="1">INDEX(Photobiology!$21:$421,1+$AH332-380,AT$14)</f>
        <v>7.55395910085547e-9</v>
      </c>
      <c r="AU332" s="236">
        <f ca="1">INDEX(Photobiology!$21:$421,1+$AH332-380,AU$14)</f>
        <v>0.000755638744440744</v>
      </c>
      <c r="AV332" s="236">
        <f ca="1">INDEX(Photobiology!$21:$421,1+$AH332-380,AV$14)</f>
        <v>0.010143807793143</v>
      </c>
      <c r="AW332" s="236">
        <f ca="1">INDEX(Photobiology!$21:$421,1+$AH332-380,AW$14)</f>
        <v>2.49535687279206e-5</v>
      </c>
      <c r="AX332" s="236">
        <f ca="1">INDEX(Photobiology!$21:$421,1+$AH332-380,AX$14)</f>
        <v>3.16299069169341e-6</v>
      </c>
      <c r="AY332" s="236">
        <f ca="1" t="shared" si="99"/>
        <v>13.3319879209511</v>
      </c>
      <c r="AZ332" s="236">
        <f ca="1" t="shared" si="113"/>
        <v>1.5815936458678e-7</v>
      </c>
      <c r="BA332" s="236">
        <f ca="1" t="shared" si="100"/>
        <v>0.0128192291699631</v>
      </c>
      <c r="BB332" s="236">
        <f ca="1" t="shared" si="101"/>
        <v>0.164153788976161</v>
      </c>
      <c r="BC332" s="236">
        <f ca="1" t="shared" si="102"/>
        <v>0.000450984807117127</v>
      </c>
      <c r="BD332" s="236">
        <f ca="1" t="shared" si="103"/>
        <v>5.96155989359615e-5</v>
      </c>
    </row>
    <row r="333" s="234" customFormat="1" ht="0.2" customHeight="1" spans="7:56">
      <c r="G333" s="236"/>
      <c r="H333" s="236">
        <f t="shared" si="104"/>
        <v>692</v>
      </c>
      <c r="I333" s="236">
        <f>IF($H333&gt;$H332,INDEX(Spectra!333:333,1,MATCH($I$20,Spectra!$20:$20,0)),I332)</f>
        <v>4.94632559327431</v>
      </c>
      <c r="J333" s="236">
        <f>((Physics!$C$9*Physics!$C$10)/(Physics!$C$11*Physics!$C$12*$H333))^($J$17-$J$18)</f>
        <v>3.48458407516568e+18</v>
      </c>
      <c r="K333" s="236">
        <f t="shared" si="105"/>
        <v>1</v>
      </c>
      <c r="L333" s="236">
        <f ca="1">INDEX(Photobiology!$21:$421,1+$H333-380,10)</f>
        <v>0.007085424</v>
      </c>
      <c r="M333" s="236">
        <f ca="1" t="shared" si="106"/>
        <v>4.94632559327431</v>
      </c>
      <c r="N333" s="236">
        <f ca="1">INDEX(Photobiology!$21:$421,1+$H333-380,N$14)</f>
        <v>1.11797733733675e-8</v>
      </c>
      <c r="O333" s="236">
        <f ca="1">INDEX(Photobiology!$21:$421,1+$H333-380,O$14)</f>
        <v>0.000892729734023722</v>
      </c>
      <c r="P333" s="236">
        <f ca="1">INDEX(Photobiology!$21:$421,1+$H333-380,P$14)</f>
        <v>0.0114527557834903</v>
      </c>
      <c r="Q333" s="236">
        <f ca="1">INDEX(Photobiology!$21:$421,1+$H333-380,Q$14)</f>
        <v>3.15261545313139e-5</v>
      </c>
      <c r="R333" s="236">
        <f ca="1">INDEX(Photobiology!$21:$421,1+$H333-380,R$14)</f>
        <v>4.17693772202525e-6</v>
      </c>
      <c r="S333" s="236">
        <f ca="1" t="shared" si="107"/>
        <v>1.72358873929081e+19</v>
      </c>
      <c r="T333" s="236">
        <f ca="1">INDEX(Photobiology!$21:$421,1+$H333-380,T$14)</f>
        <v>7.1085264223724e-9</v>
      </c>
      <c r="U333" s="236">
        <f ca="1">INDEX(Photobiology!$21:$421,1+$H333-380,U$14)</f>
        <v>0.000700550053621749</v>
      </c>
      <c r="V333" s="236">
        <f ca="1">INDEX(Photobiology!$21:$421,1+$H333-380,V$14)</f>
        <v>0.00942164994826448</v>
      </c>
      <c r="W333" s="236">
        <f ca="1">INDEX(Photobiology!$21:$421,1+$H333-380,W$14)</f>
        <v>2.3222481085778e-5</v>
      </c>
      <c r="X333" s="236">
        <f ca="1">INDEX(Photobiology!$21:$421,1+$H333-380,X$14)</f>
        <v>2.95027749712021e-6</v>
      </c>
      <c r="Y333" s="236">
        <f ca="1" t="shared" si="94"/>
        <v>4.94632559327431</v>
      </c>
      <c r="Z333" s="236">
        <f ca="1" t="shared" si="108"/>
        <v>5.52987991636943e-8</v>
      </c>
      <c r="AA333" s="236">
        <f ca="1" t="shared" si="95"/>
        <v>0.0044157319312785</v>
      </c>
      <c r="AB333" s="236">
        <f ca="1" t="shared" si="96"/>
        <v>0.0566490590453985</v>
      </c>
      <c r="AC333" s="236">
        <f ca="1" t="shared" si="97"/>
        <v>0.000155938625015759</v>
      </c>
      <c r="AD333" s="236">
        <f ca="1" t="shared" si="98"/>
        <v>2.06604939559664e-5</v>
      </c>
      <c r="AE333" s="236"/>
      <c r="AF333" s="236"/>
      <c r="AG333" s="236"/>
      <c r="AH333" s="236">
        <f t="shared" si="109"/>
        <v>692</v>
      </c>
      <c r="AI333" s="236">
        <f>IF($AH333&gt;$AH332,INDEX(Spectra!333:333,1,MATCH($AI$20,Spectra!$20:$20,0)),AI332)</f>
        <v>1</v>
      </c>
      <c r="AJ333" s="236">
        <f>((Physics!$C$9*Physics!$C$10)/(Physics!$C$11*Physics!$C$12*$AH333))^($AJ$17-$AJ$18)</f>
        <v>3.48458407516568e+18</v>
      </c>
      <c r="AK333" s="236">
        <f t="shared" si="110"/>
        <v>1</v>
      </c>
      <c r="AL333" s="236">
        <f ca="1">INDEX(Photobiology!$21:$421,1+$AH333-380,10)</f>
        <v>0.007085424</v>
      </c>
      <c r="AM333" s="236">
        <f ca="1" t="shared" si="111"/>
        <v>13.3319879209511</v>
      </c>
      <c r="AN333" s="236">
        <f ca="1">INDEX(Photobiology!$21:$421,1+$AH333-380,AN$14)</f>
        <v>1.11797733733675e-8</v>
      </c>
      <c r="AO333" s="236">
        <f ca="1">INDEX(Photobiology!$21:$421,1+$AH333-380,AO$14)</f>
        <v>0.000892729734023722</v>
      </c>
      <c r="AP333" s="236">
        <f ca="1">INDEX(Photobiology!$21:$421,1+$AH333-380,AP$14)</f>
        <v>0.0114527557834903</v>
      </c>
      <c r="AQ333" s="236">
        <f ca="1">INDEX(Photobiology!$21:$421,1+$AH333-380,AQ$14)</f>
        <v>3.15261545313139e-5</v>
      </c>
      <c r="AR333" s="236">
        <f ca="1">INDEX(Photobiology!$21:$421,1+$AH333-380,AR$14)</f>
        <v>4.17693772202525e-6</v>
      </c>
      <c r="AS333" s="236">
        <f ca="1" t="shared" si="112"/>
        <v>4.64564327996476e+19</v>
      </c>
      <c r="AT333" s="236">
        <f ca="1">INDEX(Photobiology!$21:$421,1+$AH333-380,AT$14)</f>
        <v>7.1085264223724e-9</v>
      </c>
      <c r="AU333" s="236">
        <f ca="1">INDEX(Photobiology!$21:$421,1+$AH333-380,AU$14)</f>
        <v>0.000700550053621749</v>
      </c>
      <c r="AV333" s="236">
        <f ca="1">INDEX(Photobiology!$21:$421,1+$AH333-380,AV$14)</f>
        <v>0.00942164994826448</v>
      </c>
      <c r="AW333" s="236">
        <f ca="1">INDEX(Photobiology!$21:$421,1+$AH333-380,AW$14)</f>
        <v>2.3222481085778e-5</v>
      </c>
      <c r="AX333" s="236">
        <f ca="1">INDEX(Photobiology!$21:$421,1+$AH333-380,AX$14)</f>
        <v>2.95027749712021e-6</v>
      </c>
      <c r="AY333" s="236">
        <f ca="1" t="shared" si="99"/>
        <v>13.3319879209511</v>
      </c>
      <c r="AZ333" s="236">
        <f ca="1" t="shared" si="113"/>
        <v>1.49048603572707e-7</v>
      </c>
      <c r="BA333" s="236">
        <f ca="1" t="shared" si="100"/>
        <v>0.0119018620306782</v>
      </c>
      <c r="BB333" s="236">
        <f ca="1" t="shared" si="101"/>
        <v>0.152688001767096</v>
      </c>
      <c r="BC333" s="236">
        <f ca="1" t="shared" si="102"/>
        <v>0.000420306311405516</v>
      </c>
      <c r="BD333" s="236">
        <f ca="1" t="shared" si="103"/>
        <v>5.56868832566058e-5</v>
      </c>
    </row>
    <row r="334" s="234" customFormat="1" ht="0.2" customHeight="1" spans="7:56">
      <c r="G334" s="236"/>
      <c r="H334" s="236">
        <f t="shared" si="104"/>
        <v>693</v>
      </c>
      <c r="I334" s="236">
        <f>IF($H334&gt;$H333,INDEX(Spectra!334:334,1,MATCH($I$20,Spectra!$20:$20,0)),I333)</f>
        <v>4.84821082718376</v>
      </c>
      <c r="J334" s="236">
        <f>((Physics!$C$9*Physics!$C$10)/(Physics!$C$11*Physics!$C$12*$H334))^($J$17-$J$18)</f>
        <v>3.48961960128586e+18</v>
      </c>
      <c r="K334" s="236">
        <f t="shared" si="105"/>
        <v>1</v>
      </c>
      <c r="L334" s="236">
        <f ca="1">INDEX(Photobiology!$21:$421,1+$H334-380,10)</f>
        <v>0.006591476</v>
      </c>
      <c r="M334" s="236">
        <f ca="1" t="shared" si="106"/>
        <v>4.84821082718376</v>
      </c>
      <c r="N334" s="236">
        <f ca="1">INDEX(Photobiology!$21:$421,1+$H334-380,N$14)</f>
        <v>1.0537631323738e-8</v>
      </c>
      <c r="O334" s="236">
        <f ca="1">INDEX(Photobiology!$21:$421,1+$H334-380,O$14)</f>
        <v>0.00082897226392421</v>
      </c>
      <c r="P334" s="236">
        <f ca="1">INDEX(Photobiology!$21:$421,1+$H334-380,P$14)</f>
        <v>0.0106517508619791</v>
      </c>
      <c r="Q334" s="236">
        <f ca="1">INDEX(Photobiology!$21:$421,1+$H334-380,Q$14)</f>
        <v>2.9387524215875e-5</v>
      </c>
      <c r="R334" s="236">
        <f ca="1">INDEX(Photobiology!$21:$421,1+$H334-380,R$14)</f>
        <v>3.90245586419787e-6</v>
      </c>
      <c r="S334" s="236">
        <f ca="1" t="shared" si="107"/>
        <v>1.69184115337068e+19</v>
      </c>
      <c r="T334" s="236">
        <f ca="1">INDEX(Photobiology!$21:$421,1+$H334-380,T$14)</f>
        <v>6.6905595706273e-9</v>
      </c>
      <c r="U334" s="236">
        <f ca="1">INDEX(Photobiology!$21:$421,1+$H334-380,U$14)</f>
        <v>0.000649579081038949</v>
      </c>
      <c r="V334" s="236">
        <f ca="1">INDEX(Photobiology!$21:$421,1+$H334-380,V$14)</f>
        <v>0.00875005583444589</v>
      </c>
      <c r="W334" s="236">
        <f ca="1">INDEX(Photobiology!$21:$421,1+$H334-380,W$14)</f>
        <v>2.16159077213586e-5</v>
      </c>
      <c r="X334" s="236">
        <f ca="1">INDEX(Photobiology!$21:$421,1+$H334-380,X$14)</f>
        <v>2.75242647514511e-6</v>
      </c>
      <c r="Y334" s="236">
        <f ca="1" t="shared" si="94"/>
        <v>4.84821082718376</v>
      </c>
      <c r="Z334" s="236">
        <f ca="1" t="shared" si="108"/>
        <v>5.10886582766173e-8</v>
      </c>
      <c r="AA334" s="236">
        <f ca="1" t="shared" si="95"/>
        <v>0.00401903230539239</v>
      </c>
      <c r="AB334" s="236">
        <f ca="1" t="shared" si="96"/>
        <v>0.051641933857511</v>
      </c>
      <c r="AC334" s="236">
        <f ca="1" t="shared" si="97"/>
        <v>0.00014247691308753</v>
      </c>
      <c r="AD334" s="236">
        <f ca="1" t="shared" si="98"/>
        <v>1.89199287734109e-5</v>
      </c>
      <c r="AE334" s="236"/>
      <c r="AF334" s="236"/>
      <c r="AG334" s="236"/>
      <c r="AH334" s="236">
        <f t="shared" si="109"/>
        <v>693</v>
      </c>
      <c r="AI334" s="236">
        <f>IF($AH334&gt;$AH333,INDEX(Spectra!334:334,1,MATCH($AI$20,Spectra!$20:$20,0)),AI333)</f>
        <v>1</v>
      </c>
      <c r="AJ334" s="236">
        <f>((Physics!$C$9*Physics!$C$10)/(Physics!$C$11*Physics!$C$12*$AH334))^($AJ$17-$AJ$18)</f>
        <v>3.48961960128586e+18</v>
      </c>
      <c r="AK334" s="236">
        <f t="shared" si="110"/>
        <v>1</v>
      </c>
      <c r="AL334" s="236">
        <f ca="1">INDEX(Photobiology!$21:$421,1+$AH334-380,10)</f>
        <v>0.006591476</v>
      </c>
      <c r="AM334" s="236">
        <f ca="1" t="shared" si="111"/>
        <v>13.3319879209511</v>
      </c>
      <c r="AN334" s="236">
        <f ca="1">INDEX(Photobiology!$21:$421,1+$AH334-380,AN$14)</f>
        <v>1.0537631323738e-8</v>
      </c>
      <c r="AO334" s="236">
        <f ca="1">INDEX(Photobiology!$21:$421,1+$AH334-380,AO$14)</f>
        <v>0.00082897226392421</v>
      </c>
      <c r="AP334" s="236">
        <f ca="1">INDEX(Photobiology!$21:$421,1+$AH334-380,AP$14)</f>
        <v>0.0106517508619791</v>
      </c>
      <c r="AQ334" s="236">
        <f ca="1">INDEX(Photobiology!$21:$421,1+$AH334-380,AQ$14)</f>
        <v>2.9387524215875e-5</v>
      </c>
      <c r="AR334" s="236">
        <f ca="1">INDEX(Photobiology!$21:$421,1+$AH334-380,AR$14)</f>
        <v>3.90245586419787e-6</v>
      </c>
      <c r="AS334" s="236">
        <f ca="1" t="shared" si="112"/>
        <v>4.65235663730575e+19</v>
      </c>
      <c r="AT334" s="236">
        <f ca="1">INDEX(Photobiology!$21:$421,1+$AH334-380,AT$14)</f>
        <v>6.6905595706273e-9</v>
      </c>
      <c r="AU334" s="236">
        <f ca="1">INDEX(Photobiology!$21:$421,1+$AH334-380,AU$14)</f>
        <v>0.000649579081038949</v>
      </c>
      <c r="AV334" s="236">
        <f ca="1">INDEX(Photobiology!$21:$421,1+$AH334-380,AV$14)</f>
        <v>0.00875005583444589</v>
      </c>
      <c r="AW334" s="236">
        <f ca="1">INDEX(Photobiology!$21:$421,1+$AH334-380,AW$14)</f>
        <v>2.16159077213586e-5</v>
      </c>
      <c r="AX334" s="236">
        <f ca="1">INDEX(Photobiology!$21:$421,1+$AH334-380,AX$14)</f>
        <v>2.75242647514511e-6</v>
      </c>
      <c r="AY334" s="236">
        <f ca="1" t="shared" si="99"/>
        <v>13.3319879209511</v>
      </c>
      <c r="AZ334" s="236">
        <f ca="1" t="shared" si="113"/>
        <v>1.40487573523511e-7</v>
      </c>
      <c r="BA334" s="236">
        <f ca="1" t="shared" si="100"/>
        <v>0.0110518482094411</v>
      </c>
      <c r="BB334" s="236">
        <f ca="1" t="shared" si="101"/>
        <v>0.142009013828886</v>
      </c>
      <c r="BC334" s="236">
        <f ca="1" t="shared" si="102"/>
        <v>0.000391794117872705</v>
      </c>
      <c r="BD334" s="236">
        <f ca="1" t="shared" si="103"/>
        <v>5.20274944435309e-5</v>
      </c>
    </row>
    <row r="335" s="234" customFormat="1" ht="0.2" customHeight="1" spans="7:56">
      <c r="G335" s="236"/>
      <c r="H335" s="236">
        <f t="shared" si="104"/>
        <v>694</v>
      </c>
      <c r="I335" s="236">
        <f>IF($H335&gt;$H334,INDEX(Spectra!335:335,1,MATCH($I$20,Spectra!$20:$20,0)),I334)</f>
        <v>4.7222649163211</v>
      </c>
      <c r="J335" s="236">
        <f>((Physics!$C$9*Physics!$C$10)/(Physics!$C$11*Physics!$C$12*$H335))^($J$17-$J$18)</f>
        <v>3.49465512740605e+18</v>
      </c>
      <c r="K335" s="236">
        <f t="shared" si="105"/>
        <v>1</v>
      </c>
      <c r="L335" s="236">
        <f ca="1">INDEX(Photobiology!$21:$421,1+$H335-380,10)</f>
        <v>0.006138485</v>
      </c>
      <c r="M335" s="236">
        <f ca="1" t="shared" si="106"/>
        <v>4.7222649163211</v>
      </c>
      <c r="N335" s="236">
        <f ca="1">INDEX(Photobiology!$21:$421,1+$H335-380,N$14)</f>
        <v>9.93406506132398e-9</v>
      </c>
      <c r="O335" s="236">
        <f ca="1">INDEX(Photobiology!$21:$421,1+$H335-380,O$14)</f>
        <v>0.000769890569630959</v>
      </c>
      <c r="P335" s="236">
        <f ca="1">INDEX(Photobiology!$21:$421,1+$H335-380,P$14)</f>
        <v>0.00990594699914231</v>
      </c>
      <c r="Q335" s="236">
        <f ca="1">INDEX(Photobiology!$21:$421,1+$H335-380,Q$14)</f>
        <v>2.73993335909824e-5</v>
      </c>
      <c r="R335" s="236">
        <f ca="1">INDEX(Photobiology!$21:$421,1+$H335-380,R$14)</f>
        <v>3.64671648265362e-6</v>
      </c>
      <c r="S335" s="236">
        <f ca="1" t="shared" si="107"/>
        <v>1.65026873027912e+19</v>
      </c>
      <c r="T335" s="236">
        <f ca="1">INDEX(Photobiology!$21:$421,1+$H335-380,T$14)</f>
        <v>6.29825450573855e-9</v>
      </c>
      <c r="U335" s="236">
        <f ca="1">INDEX(Photobiology!$21:$421,1+$H335-380,U$14)</f>
        <v>0.000602413637147666</v>
      </c>
      <c r="V335" s="236">
        <f ca="1">INDEX(Photobiology!$21:$421,1+$H335-380,V$14)</f>
        <v>0.00812567762757536</v>
      </c>
      <c r="W335" s="236">
        <f ca="1">INDEX(Photobiology!$21:$421,1+$H335-380,W$14)</f>
        <v>2.01244602810194e-5</v>
      </c>
      <c r="X335" s="236">
        <f ca="1">INDEX(Photobiology!$21:$421,1+$H335-380,X$14)</f>
        <v>2.56834576669713e-6</v>
      </c>
      <c r="Y335" s="236">
        <f ca="1" t="shared" si="94"/>
        <v>4.7222649163211</v>
      </c>
      <c r="Z335" s="236">
        <f ca="1" t="shared" si="108"/>
        <v>4.69112869155414e-8</v>
      </c>
      <c r="AA335" s="236">
        <f ca="1" t="shared" si="95"/>
        <v>0.00363562722637474</v>
      </c>
      <c r="AB335" s="236">
        <f ca="1" t="shared" si="96"/>
        <v>0.046778505976986</v>
      </c>
      <c r="AC335" s="236">
        <f ca="1" t="shared" si="97"/>
        <v>0.000129386911747274</v>
      </c>
      <c r="AD335" s="236">
        <f ca="1" t="shared" si="98"/>
        <v>1.72207613058051e-5</v>
      </c>
      <c r="AE335" s="236"/>
      <c r="AF335" s="236"/>
      <c r="AG335" s="236"/>
      <c r="AH335" s="236">
        <f t="shared" si="109"/>
        <v>694</v>
      </c>
      <c r="AI335" s="236">
        <f>IF($AH335&gt;$AH334,INDEX(Spectra!335:335,1,MATCH($AI$20,Spectra!$20:$20,0)),AI334)</f>
        <v>1</v>
      </c>
      <c r="AJ335" s="236">
        <f>((Physics!$C$9*Physics!$C$10)/(Physics!$C$11*Physics!$C$12*$AH335))^($AJ$17-$AJ$18)</f>
        <v>3.49465512740605e+18</v>
      </c>
      <c r="AK335" s="236">
        <f t="shared" si="110"/>
        <v>1</v>
      </c>
      <c r="AL335" s="236">
        <f ca="1">INDEX(Photobiology!$21:$421,1+$AH335-380,10)</f>
        <v>0.006138485</v>
      </c>
      <c r="AM335" s="236">
        <f ca="1" t="shared" si="111"/>
        <v>13.3319879209511</v>
      </c>
      <c r="AN335" s="236">
        <f ca="1">INDEX(Photobiology!$21:$421,1+$AH335-380,AN$14)</f>
        <v>9.93406506132398e-9</v>
      </c>
      <c r="AO335" s="236">
        <f ca="1">INDEX(Photobiology!$21:$421,1+$AH335-380,AO$14)</f>
        <v>0.000769890569630959</v>
      </c>
      <c r="AP335" s="236">
        <f ca="1">INDEX(Photobiology!$21:$421,1+$AH335-380,AP$14)</f>
        <v>0.00990594699914231</v>
      </c>
      <c r="AQ335" s="236">
        <f ca="1">INDEX(Photobiology!$21:$421,1+$AH335-380,AQ$14)</f>
        <v>2.73993335909824e-5</v>
      </c>
      <c r="AR335" s="236">
        <f ca="1">INDEX(Photobiology!$21:$421,1+$AH335-380,AR$14)</f>
        <v>3.64671648265362e-6</v>
      </c>
      <c r="AS335" s="236">
        <f ca="1" t="shared" si="112"/>
        <v>4.65906999464674e+19</v>
      </c>
      <c r="AT335" s="236">
        <f ca="1">INDEX(Photobiology!$21:$421,1+$AH335-380,AT$14)</f>
        <v>6.29825450573855e-9</v>
      </c>
      <c r="AU335" s="236">
        <f ca="1">INDEX(Photobiology!$21:$421,1+$AH335-380,AU$14)</f>
        <v>0.000602413637147666</v>
      </c>
      <c r="AV335" s="236">
        <f ca="1">INDEX(Photobiology!$21:$421,1+$AH335-380,AV$14)</f>
        <v>0.00812567762757536</v>
      </c>
      <c r="AW335" s="236">
        <f ca="1">INDEX(Photobiology!$21:$421,1+$AH335-380,AW$14)</f>
        <v>2.01244602810194e-5</v>
      </c>
      <c r="AX335" s="236">
        <f ca="1">INDEX(Photobiology!$21:$421,1+$AH335-380,AX$14)</f>
        <v>2.56834576669713e-6</v>
      </c>
      <c r="AY335" s="236">
        <f ca="1" t="shared" si="99"/>
        <v>13.3319879209511</v>
      </c>
      <c r="AZ335" s="236">
        <f ca="1" t="shared" si="113"/>
        <v>1.32440835403514e-7</v>
      </c>
      <c r="BA335" s="236">
        <f ca="1" t="shared" si="100"/>
        <v>0.0102641717747741</v>
      </c>
      <c r="BB335" s="236">
        <f ca="1" t="shared" si="101"/>
        <v>0.132065965738147</v>
      </c>
      <c r="BC335" s="236">
        <f ca="1" t="shared" si="102"/>
        <v>0.000365287584477088</v>
      </c>
      <c r="BD335" s="236">
        <f ca="1" t="shared" si="103"/>
        <v>4.86179800978715e-5</v>
      </c>
    </row>
    <row r="336" s="234" customFormat="1" ht="0.2" customHeight="1" spans="7:56">
      <c r="G336" s="236"/>
      <c r="H336" s="236">
        <f t="shared" si="104"/>
        <v>695</v>
      </c>
      <c r="I336" s="236">
        <f>IF($H336&gt;$H335,INDEX(Spectra!336:336,1,MATCH($I$20,Spectra!$20:$20,0)),I335)</f>
        <v>4.63039161307131</v>
      </c>
      <c r="J336" s="236">
        <f>((Physics!$C$9*Physics!$C$10)/(Physics!$C$11*Physics!$C$12*$H336))^($J$17-$J$18)</f>
        <v>3.49969065352623e+18</v>
      </c>
      <c r="K336" s="236">
        <f t="shared" si="105"/>
        <v>1</v>
      </c>
      <c r="L336" s="236">
        <f ca="1">INDEX(Photobiology!$21:$421,1+$H336-380,10)</f>
        <v>0.005723</v>
      </c>
      <c r="M336" s="236">
        <f ca="1" t="shared" si="106"/>
        <v>4.63039161307131</v>
      </c>
      <c r="N336" s="236">
        <f ca="1">INDEX(Photobiology!$21:$421,1+$H336-380,N$14)</f>
        <v>9.36670839596412e-9</v>
      </c>
      <c r="O336" s="236">
        <f ca="1">INDEX(Photobiology!$21:$421,1+$H336-380,O$14)</f>
        <v>0.000715134944477534</v>
      </c>
      <c r="P336" s="236">
        <f ca="1">INDEX(Photobiology!$21:$421,1+$H336-380,P$14)</f>
        <v>0.00921168333404727</v>
      </c>
      <c r="Q336" s="236">
        <f ca="1">INDEX(Photobiology!$21:$421,1+$H336-380,Q$14)</f>
        <v>2.55507704353413e-5</v>
      </c>
      <c r="R336" s="236">
        <f ca="1">INDEX(Photobiology!$21:$421,1+$H336-380,R$14)</f>
        <v>3.40841132774249e-6</v>
      </c>
      <c r="S336" s="236">
        <f ca="1" t="shared" si="107"/>
        <v>1.62049382504319e+19</v>
      </c>
      <c r="T336" s="236">
        <f ca="1">INDEX(Photobiology!$21:$421,1+$H336-380,T$14)</f>
        <v>5.93000243773268e-9</v>
      </c>
      <c r="U336" s="236">
        <f ca="1">INDEX(Photobiology!$21:$421,1+$H336-380,U$14)</f>
        <v>0.00055876405514547</v>
      </c>
      <c r="V336" s="236">
        <f ca="1">INDEX(Photobiology!$21:$421,1+$H336-380,V$14)</f>
        <v>0.00754531289762085</v>
      </c>
      <c r="W336" s="236">
        <f ca="1">INDEX(Photobiology!$21:$421,1+$H336-380,W$14)</f>
        <v>1.87397118065256e-5</v>
      </c>
      <c r="X336" s="236">
        <f ca="1">INDEX(Photobiology!$21:$421,1+$H336-380,X$14)</f>
        <v>2.39705587023112e-6</v>
      </c>
      <c r="Y336" s="236">
        <f ca="1" t="shared" si="94"/>
        <v>4.63039161307131</v>
      </c>
      <c r="Z336" s="236">
        <f ca="1" t="shared" si="108"/>
        <v>4.33715279987569e-8</v>
      </c>
      <c r="AA336" s="236">
        <f ca="1" t="shared" si="95"/>
        <v>0.00331135484912299</v>
      </c>
      <c r="AB336" s="236">
        <f ca="1" t="shared" si="96"/>
        <v>0.0426537012522412</v>
      </c>
      <c r="AC336" s="236">
        <f ca="1" t="shared" si="97"/>
        <v>0.000118310073131315</v>
      </c>
      <c r="AD336" s="236">
        <f ca="1" t="shared" si="98"/>
        <v>1.57822792258761e-5</v>
      </c>
      <c r="AE336" s="236"/>
      <c r="AF336" s="236"/>
      <c r="AG336" s="236"/>
      <c r="AH336" s="236">
        <f t="shared" si="109"/>
        <v>695</v>
      </c>
      <c r="AI336" s="236">
        <f>IF($AH336&gt;$AH335,INDEX(Spectra!336:336,1,MATCH($AI$20,Spectra!$20:$20,0)),AI335)</f>
        <v>1</v>
      </c>
      <c r="AJ336" s="236">
        <f>((Physics!$C$9*Physics!$C$10)/(Physics!$C$11*Physics!$C$12*$AH336))^($AJ$17-$AJ$18)</f>
        <v>3.49969065352623e+18</v>
      </c>
      <c r="AK336" s="236">
        <f t="shared" si="110"/>
        <v>1</v>
      </c>
      <c r="AL336" s="236">
        <f ca="1">INDEX(Photobiology!$21:$421,1+$AH336-380,10)</f>
        <v>0.005723</v>
      </c>
      <c r="AM336" s="236">
        <f ca="1" t="shared" si="111"/>
        <v>13.3319879209511</v>
      </c>
      <c r="AN336" s="236">
        <f ca="1">INDEX(Photobiology!$21:$421,1+$AH336-380,AN$14)</f>
        <v>9.36670839596412e-9</v>
      </c>
      <c r="AO336" s="236">
        <f ca="1">INDEX(Photobiology!$21:$421,1+$AH336-380,AO$14)</f>
        <v>0.000715134944477534</v>
      </c>
      <c r="AP336" s="236">
        <f ca="1">INDEX(Photobiology!$21:$421,1+$AH336-380,AP$14)</f>
        <v>0.00921168333404727</v>
      </c>
      <c r="AQ336" s="236">
        <f ca="1">INDEX(Photobiology!$21:$421,1+$AH336-380,AQ$14)</f>
        <v>2.55507704353413e-5</v>
      </c>
      <c r="AR336" s="236">
        <f ca="1">INDEX(Photobiology!$21:$421,1+$AH336-380,AR$14)</f>
        <v>3.40841132774249e-6</v>
      </c>
      <c r="AS336" s="236">
        <f ca="1" t="shared" si="112"/>
        <v>4.66578335198773e+19</v>
      </c>
      <c r="AT336" s="236">
        <f ca="1">INDEX(Photobiology!$21:$421,1+$AH336-380,AT$14)</f>
        <v>5.93000243773268e-9</v>
      </c>
      <c r="AU336" s="236">
        <f ca="1">INDEX(Photobiology!$21:$421,1+$AH336-380,AU$14)</f>
        <v>0.00055876405514547</v>
      </c>
      <c r="AV336" s="236">
        <f ca="1">INDEX(Photobiology!$21:$421,1+$AH336-380,AV$14)</f>
        <v>0.00754531289762085</v>
      </c>
      <c r="AW336" s="236">
        <f ca="1">INDEX(Photobiology!$21:$421,1+$AH336-380,AW$14)</f>
        <v>1.87397118065256e-5</v>
      </c>
      <c r="AX336" s="236">
        <f ca="1">INDEX(Photobiology!$21:$421,1+$AH336-380,AX$14)</f>
        <v>2.39705587023112e-6</v>
      </c>
      <c r="AY336" s="236">
        <f ca="1" t="shared" si="99"/>
        <v>13.3319879209511</v>
      </c>
      <c r="AZ336" s="236">
        <f ca="1" t="shared" si="113"/>
        <v>1.24876843194065e-7</v>
      </c>
      <c r="BA336" s="236">
        <f ca="1" t="shared" si="100"/>
        <v>0.00953417044162455</v>
      </c>
      <c r="BB336" s="236">
        <f ca="1" t="shared" si="101"/>
        <v>0.122810050941145</v>
      </c>
      <c r="BC336" s="236">
        <f ca="1" t="shared" si="102"/>
        <v>0.000340642562814966</v>
      </c>
      <c r="BD336" s="236">
        <f ca="1" t="shared" si="103"/>
        <v>4.54408986510959e-5</v>
      </c>
    </row>
    <row r="337" s="234" customFormat="1" ht="0.2" customHeight="1" spans="7:56">
      <c r="G337" s="236"/>
      <c r="H337" s="236">
        <f t="shared" si="104"/>
        <v>696</v>
      </c>
      <c r="I337" s="236">
        <f>IF($H337&gt;$H336,INDEX(Spectra!337:337,1,MATCH($I$20,Spectra!$20:$20,0)),I336)</f>
        <v>4.51275580920995</v>
      </c>
      <c r="J337" s="236">
        <f>((Physics!$C$9*Physics!$C$10)/(Physics!$C$11*Physics!$C$12*$H337))^($J$17-$J$18)</f>
        <v>3.50472617964641e+18</v>
      </c>
      <c r="K337" s="236">
        <f t="shared" si="105"/>
        <v>1</v>
      </c>
      <c r="L337" s="236">
        <f ca="1">INDEX(Photobiology!$21:$421,1+$H337-380,10)</f>
        <v>0.005343059</v>
      </c>
      <c r="M337" s="236">
        <f ca="1" t="shared" si="106"/>
        <v>4.51275580920995</v>
      </c>
      <c r="N337" s="236">
        <f ca="1">INDEX(Photobiology!$21:$421,1+$H337-380,N$14)</f>
        <v>8.83328005992252e-9</v>
      </c>
      <c r="O337" s="236">
        <f ca="1">INDEX(Photobiology!$21:$421,1+$H337-380,O$14)</f>
        <v>0.000664380687949172</v>
      </c>
      <c r="P337" s="236">
        <f ca="1">INDEX(Photobiology!$21:$421,1+$H337-380,P$14)</f>
        <v>0.0085655844253886</v>
      </c>
      <c r="Q337" s="236">
        <f ca="1">INDEX(Photobiology!$21:$421,1+$H337-380,Q$14)</f>
        <v>2.38316987256543e-5</v>
      </c>
      <c r="R337" s="236">
        <f ca="1">INDEX(Photobiology!$21:$421,1+$H337-380,R$14)</f>
        <v>3.18630246837731e-6</v>
      </c>
      <c r="S337" s="236">
        <f ca="1" t="shared" si="107"/>
        <v>1.58159734268895e+19</v>
      </c>
      <c r="T337" s="236">
        <f ca="1">INDEX(Photobiology!$21:$421,1+$H337-380,T$14)</f>
        <v>5.58425750914642e-9</v>
      </c>
      <c r="U337" s="236">
        <f ca="1">INDEX(Photobiology!$21:$421,1+$H337-380,U$14)</f>
        <v>0.000518361843234012</v>
      </c>
      <c r="V337" s="236">
        <f ca="1">INDEX(Photobiology!$21:$421,1+$H337-380,V$14)</f>
        <v>0.0070060110713502</v>
      </c>
      <c r="W337" s="236">
        <f ca="1">INDEX(Photobiology!$21:$421,1+$H337-380,W$14)</f>
        <v>1.74537790020415e-5</v>
      </c>
      <c r="X337" s="236">
        <f ca="1">INDEX(Photobiology!$21:$421,1+$H337-380,X$14)</f>
        <v>2.23763229586599e-6</v>
      </c>
      <c r="Y337" s="236">
        <f ca="1" t="shared" si="94"/>
        <v>4.51275580920995</v>
      </c>
      <c r="Z337" s="236">
        <f ca="1" t="shared" si="108"/>
        <v>3.98624359047938e-8</v>
      </c>
      <c r="AA337" s="236">
        <f ca="1" t="shared" si="95"/>
        <v>0.00299818780906953</v>
      </c>
      <c r="AB337" s="236">
        <f ca="1" t="shared" si="96"/>
        <v>0.0386543908749507</v>
      </c>
      <c r="AC337" s="236">
        <f ca="1" t="shared" si="97"/>
        <v>0.000107546636867538</v>
      </c>
      <c r="AD337" s="236">
        <f ca="1" t="shared" si="98"/>
        <v>1.43790049740697e-5</v>
      </c>
      <c r="AE337" s="236"/>
      <c r="AF337" s="236"/>
      <c r="AG337" s="236"/>
      <c r="AH337" s="236">
        <f t="shared" si="109"/>
        <v>696</v>
      </c>
      <c r="AI337" s="236">
        <f>IF($AH337&gt;$AH336,INDEX(Spectra!337:337,1,MATCH($AI$20,Spectra!$20:$20,0)),AI336)</f>
        <v>1</v>
      </c>
      <c r="AJ337" s="236">
        <f>((Physics!$C$9*Physics!$C$10)/(Physics!$C$11*Physics!$C$12*$AH337))^($AJ$17-$AJ$18)</f>
        <v>3.50472617964641e+18</v>
      </c>
      <c r="AK337" s="236">
        <f t="shared" si="110"/>
        <v>1</v>
      </c>
      <c r="AL337" s="236">
        <f ca="1">INDEX(Photobiology!$21:$421,1+$AH337-380,10)</f>
        <v>0.005343059</v>
      </c>
      <c r="AM337" s="236">
        <f ca="1" t="shared" si="111"/>
        <v>13.3319879209511</v>
      </c>
      <c r="AN337" s="236">
        <f ca="1">INDEX(Photobiology!$21:$421,1+$AH337-380,AN$14)</f>
        <v>8.83328005992252e-9</v>
      </c>
      <c r="AO337" s="236">
        <f ca="1">INDEX(Photobiology!$21:$421,1+$AH337-380,AO$14)</f>
        <v>0.000664380687949172</v>
      </c>
      <c r="AP337" s="236">
        <f ca="1">INDEX(Photobiology!$21:$421,1+$AH337-380,AP$14)</f>
        <v>0.0085655844253886</v>
      </c>
      <c r="AQ337" s="236">
        <f ca="1">INDEX(Photobiology!$21:$421,1+$AH337-380,AQ$14)</f>
        <v>2.38316987256543e-5</v>
      </c>
      <c r="AR337" s="236">
        <f ca="1">INDEX(Photobiology!$21:$421,1+$AH337-380,AR$14)</f>
        <v>3.18630246837731e-6</v>
      </c>
      <c r="AS337" s="236">
        <f ca="1" t="shared" si="112"/>
        <v>4.67249670932872e+19</v>
      </c>
      <c r="AT337" s="236">
        <f ca="1">INDEX(Photobiology!$21:$421,1+$AH337-380,AT$14)</f>
        <v>5.58425750914642e-9</v>
      </c>
      <c r="AU337" s="236">
        <f ca="1">INDEX(Photobiology!$21:$421,1+$AH337-380,AU$14)</f>
        <v>0.000518361843234012</v>
      </c>
      <c r="AV337" s="236">
        <f ca="1">INDEX(Photobiology!$21:$421,1+$AH337-380,AV$14)</f>
        <v>0.0070060110713502</v>
      </c>
      <c r="AW337" s="236">
        <f ca="1">INDEX(Photobiology!$21:$421,1+$AH337-380,AW$14)</f>
        <v>1.74537790020415e-5</v>
      </c>
      <c r="AX337" s="236">
        <f ca="1">INDEX(Photobiology!$21:$421,1+$AH337-380,AX$14)</f>
        <v>2.23763229586599e-6</v>
      </c>
      <c r="AY337" s="236">
        <f ca="1" t="shared" si="99"/>
        <v>13.3319879209511</v>
      </c>
      <c r="AZ337" s="236">
        <f ca="1" t="shared" si="113"/>
        <v>1.17765183061266e-7</v>
      </c>
      <c r="BA337" s="236">
        <f ca="1" t="shared" si="100"/>
        <v>0.00885751530665157</v>
      </c>
      <c r="BB337" s="236">
        <f ca="1" t="shared" si="101"/>
        <v>0.114196268095168</v>
      </c>
      <c r="BC337" s="236">
        <f ca="1" t="shared" si="102"/>
        <v>0.00031772391954617</v>
      </c>
      <c r="BD337" s="236">
        <f ca="1" t="shared" si="103"/>
        <v>4.24797460209031e-5</v>
      </c>
    </row>
    <row r="338" s="234" customFormat="1" ht="0.2" customHeight="1" spans="7:56">
      <c r="G338" s="236"/>
      <c r="H338" s="236">
        <f t="shared" si="104"/>
        <v>697</v>
      </c>
      <c r="I338" s="236">
        <f>IF($H338&gt;$H337,INDEX(Spectra!338:338,1,MATCH($I$20,Spectra!$20:$20,0)),I337)</f>
        <v>4.41360693750348</v>
      </c>
      <c r="J338" s="236">
        <f>((Physics!$C$9*Physics!$C$10)/(Physics!$C$11*Physics!$C$12*$H338))^($J$17-$J$18)</f>
        <v>3.50976170576659e+18</v>
      </c>
      <c r="K338" s="236">
        <f t="shared" si="105"/>
        <v>1</v>
      </c>
      <c r="L338" s="236">
        <f ca="1">INDEX(Photobiology!$21:$421,1+$H338-380,10)</f>
        <v>0.004995796</v>
      </c>
      <c r="M338" s="236">
        <f ca="1" t="shared" si="106"/>
        <v>4.41360693750348</v>
      </c>
      <c r="N338" s="236">
        <f ca="1">INDEX(Photobiology!$21:$421,1+$H338-380,N$14)</f>
        <v>8.33163047794265e-9</v>
      </c>
      <c r="O338" s="236">
        <f ca="1">INDEX(Photobiology!$21:$421,1+$H338-380,O$14)</f>
        <v>0.000617329456126992</v>
      </c>
      <c r="P338" s="236">
        <f ca="1">INDEX(Photobiology!$21:$421,1+$H338-380,P$14)</f>
        <v>0.00796441717074096</v>
      </c>
      <c r="Q338" s="236">
        <f ca="1">INDEX(Photobiology!$21:$421,1+$H338-380,Q$14)</f>
        <v>2.2232638168869e-5</v>
      </c>
      <c r="R338" s="236">
        <f ca="1">INDEX(Photobiology!$21:$421,1+$H338-380,R$14)</f>
        <v>2.97924349663283e-6</v>
      </c>
      <c r="S338" s="236">
        <f ca="1" t="shared" si="107"/>
        <v>1.54907086135555e+19</v>
      </c>
      <c r="T338" s="236">
        <f ca="1">INDEX(Photobiology!$21:$421,1+$H338-380,T$14)</f>
        <v>5.25956586842865e-9</v>
      </c>
      <c r="U338" s="236">
        <f ca="1">INDEX(Photobiology!$21:$421,1+$H338-380,U$14)</f>
        <v>0.000480960584847335</v>
      </c>
      <c r="V338" s="236">
        <f ca="1">INDEX(Photobiology!$21:$421,1+$H338-380,V$14)</f>
        <v>0.00650495476410448</v>
      </c>
      <c r="W338" s="236">
        <f ca="1">INDEX(Photobiology!$21:$421,1+$H338-380,W$14)</f>
        <v>1.62593033655172e-5</v>
      </c>
      <c r="X338" s="236">
        <f ca="1">INDEX(Photobiology!$21:$421,1+$H338-380,X$14)</f>
        <v>2.08922004065981e-6</v>
      </c>
      <c r="Y338" s="236">
        <f ca="1" t="shared" si="94"/>
        <v>4.41360693750348</v>
      </c>
      <c r="Z338" s="236">
        <f ca="1" t="shared" si="108"/>
        <v>3.67725420781631e-8</v>
      </c>
      <c r="AA338" s="236">
        <f ca="1" t="shared" si="95"/>
        <v>0.00272464957028734</v>
      </c>
      <c r="AB338" s="236">
        <f ca="1" t="shared" si="96"/>
        <v>0.0351518068779541</v>
      </c>
      <c r="AC338" s="236">
        <f ca="1" t="shared" si="97"/>
        <v>9.81261260611249e-5</v>
      </c>
      <c r="AD338" s="236">
        <f ca="1" t="shared" si="98"/>
        <v>1.31492097652508e-5</v>
      </c>
      <c r="AE338" s="236"/>
      <c r="AF338" s="236"/>
      <c r="AG338" s="236"/>
      <c r="AH338" s="236">
        <f t="shared" si="109"/>
        <v>697</v>
      </c>
      <c r="AI338" s="236">
        <f>IF($AH338&gt;$AH337,INDEX(Spectra!338:338,1,MATCH($AI$20,Spectra!$20:$20,0)),AI337)</f>
        <v>1</v>
      </c>
      <c r="AJ338" s="236">
        <f>((Physics!$C$9*Physics!$C$10)/(Physics!$C$11*Physics!$C$12*$AH338))^($AJ$17-$AJ$18)</f>
        <v>3.50976170576659e+18</v>
      </c>
      <c r="AK338" s="236">
        <f t="shared" si="110"/>
        <v>1</v>
      </c>
      <c r="AL338" s="236">
        <f ca="1">INDEX(Photobiology!$21:$421,1+$AH338-380,10)</f>
        <v>0.004995796</v>
      </c>
      <c r="AM338" s="236">
        <f ca="1" t="shared" si="111"/>
        <v>13.3319879209511</v>
      </c>
      <c r="AN338" s="236">
        <f ca="1">INDEX(Photobiology!$21:$421,1+$AH338-380,AN$14)</f>
        <v>8.33163047794265e-9</v>
      </c>
      <c r="AO338" s="236">
        <f ca="1">INDEX(Photobiology!$21:$421,1+$AH338-380,AO$14)</f>
        <v>0.000617329456126992</v>
      </c>
      <c r="AP338" s="236">
        <f ca="1">INDEX(Photobiology!$21:$421,1+$AH338-380,AP$14)</f>
        <v>0.00796441717074096</v>
      </c>
      <c r="AQ338" s="236">
        <f ca="1">INDEX(Photobiology!$21:$421,1+$AH338-380,AQ$14)</f>
        <v>2.2232638168869e-5</v>
      </c>
      <c r="AR338" s="236">
        <f ca="1">INDEX(Photobiology!$21:$421,1+$AH338-380,AR$14)</f>
        <v>2.97924349663283e-6</v>
      </c>
      <c r="AS338" s="236">
        <f ca="1" t="shared" si="112"/>
        <v>4.67921006666971e+19</v>
      </c>
      <c r="AT338" s="236">
        <f ca="1">INDEX(Photobiology!$21:$421,1+$AH338-380,AT$14)</f>
        <v>5.25956586842865e-9</v>
      </c>
      <c r="AU338" s="236">
        <f ca="1">INDEX(Photobiology!$21:$421,1+$AH338-380,AU$14)</f>
        <v>0.000480960584847335</v>
      </c>
      <c r="AV338" s="236">
        <f ca="1">INDEX(Photobiology!$21:$421,1+$AH338-380,AV$14)</f>
        <v>0.00650495476410448</v>
      </c>
      <c r="AW338" s="236">
        <f ca="1">INDEX(Photobiology!$21:$421,1+$AH338-380,AW$14)</f>
        <v>1.62593033655172e-5</v>
      </c>
      <c r="AX338" s="236">
        <f ca="1">INDEX(Photobiology!$21:$421,1+$AH338-380,AX$14)</f>
        <v>2.08922004065981e-6</v>
      </c>
      <c r="AY338" s="236">
        <f ca="1" t="shared" si="99"/>
        <v>13.3319879209511</v>
      </c>
      <c r="AZ338" s="236">
        <f ca="1" t="shared" si="113"/>
        <v>1.1107719689376e-7</v>
      </c>
      <c r="BA338" s="236">
        <f ca="1" t="shared" si="100"/>
        <v>0.00823022885233239</v>
      </c>
      <c r="BB338" s="236">
        <f ca="1" t="shared" si="101"/>
        <v>0.106181513517734</v>
      </c>
      <c r="BC338" s="236">
        <f ca="1" t="shared" si="102"/>
        <v>0.000296405263518239</v>
      </c>
      <c r="BD338" s="236">
        <f ca="1" t="shared" si="103"/>
        <v>3.97192383106811e-5</v>
      </c>
    </row>
    <row r="339" s="234" customFormat="1" ht="0.2" customHeight="1" spans="7:56">
      <c r="G339" s="236"/>
      <c r="H339" s="236">
        <f t="shared" si="104"/>
        <v>698</v>
      </c>
      <c r="I339" s="236">
        <f>IF($H339&gt;$H338,INDEX(Spectra!339:339,1,MATCH($I$20,Spectra!$20:$20,0)),I338)</f>
        <v>4.30150022738071</v>
      </c>
      <c r="J339" s="236">
        <f>((Physics!$C$9*Physics!$C$10)/(Physics!$C$11*Physics!$C$12*$H339))^($J$17-$J$18)</f>
        <v>3.51479723188677e+18</v>
      </c>
      <c r="K339" s="236">
        <f t="shared" si="105"/>
        <v>1</v>
      </c>
      <c r="L339" s="236">
        <f ca="1">INDEX(Photobiology!$21:$421,1+$H339-380,10)</f>
        <v>0.004676404</v>
      </c>
      <c r="M339" s="236">
        <f ca="1" t="shared" si="106"/>
        <v>4.30150022738071</v>
      </c>
      <c r="N339" s="236">
        <f ca="1">INDEX(Photobiology!$21:$421,1+$H339-380,N$14)</f>
        <v>7.85982723463395e-9</v>
      </c>
      <c r="O339" s="236">
        <f ca="1">INDEX(Photobiology!$21:$421,1+$H339-380,O$14)</f>
        <v>0.000573706803309933</v>
      </c>
      <c r="P339" s="236">
        <f ca="1">INDEX(Photobiology!$21:$421,1+$H339-380,P$14)</f>
        <v>0.00740518648766084</v>
      </c>
      <c r="Q339" s="236">
        <f ca="1">INDEX(Photobiology!$21:$421,1+$H339-380,Q$14)</f>
        <v>2.07449312553359e-5</v>
      </c>
      <c r="R339" s="236">
        <f ca="1">INDEX(Photobiology!$21:$421,1+$H339-380,R$14)</f>
        <v>2.78617890675766e-6</v>
      </c>
      <c r="S339" s="236">
        <f ca="1" t="shared" si="107"/>
        <v>1.5118901092158e+19</v>
      </c>
      <c r="T339" s="236">
        <f ca="1">INDEX(Photobiology!$21:$421,1+$H339-380,T$14)</f>
        <v>4.9546188871618e-9</v>
      </c>
      <c r="U339" s="236">
        <f ca="1">INDEX(Photobiology!$21:$421,1+$H339-380,U$14)</f>
        <v>0.000446333867944662</v>
      </c>
      <c r="V339" s="236">
        <f ca="1">INDEX(Photobiology!$21:$421,1+$H339-380,V$14)</f>
        <v>0.0060395368615102</v>
      </c>
      <c r="W339" s="236">
        <f ca="1">INDEX(Photobiology!$21:$421,1+$H339-380,W$14)</f>
        <v>1.51495694246863e-5</v>
      </c>
      <c r="X339" s="236">
        <f ca="1">INDEX(Photobiology!$21:$421,1+$H339-380,X$14)</f>
        <v>1.95103265600311e-6</v>
      </c>
      <c r="Y339" s="236">
        <f ca="1" t="shared" si="94"/>
        <v>4.30150022738071</v>
      </c>
      <c r="Z339" s="236">
        <f ca="1" t="shared" si="108"/>
        <v>3.3809048636951e-8</v>
      </c>
      <c r="AA339" s="236">
        <f ca="1" t="shared" si="95"/>
        <v>0.00246779994488754</v>
      </c>
      <c r="AB339" s="236">
        <f ca="1" t="shared" si="96"/>
        <v>0.0318534113604697</v>
      </c>
      <c r="AC339" s="236">
        <f ca="1" t="shared" si="97"/>
        <v>8.92343265118246e-5</v>
      </c>
      <c r="AD339" s="236">
        <f ca="1" t="shared" si="98"/>
        <v>1.19847492009414e-5</v>
      </c>
      <c r="AE339" s="236"/>
      <c r="AF339" s="236"/>
      <c r="AG339" s="236"/>
      <c r="AH339" s="236">
        <f t="shared" si="109"/>
        <v>698</v>
      </c>
      <c r="AI339" s="236">
        <f>IF($AH339&gt;$AH338,INDEX(Spectra!339:339,1,MATCH($AI$20,Spectra!$20:$20,0)),AI338)</f>
        <v>1</v>
      </c>
      <c r="AJ339" s="236">
        <f>((Physics!$C$9*Physics!$C$10)/(Physics!$C$11*Physics!$C$12*$AH339))^($AJ$17-$AJ$18)</f>
        <v>3.51479723188677e+18</v>
      </c>
      <c r="AK339" s="236">
        <f t="shared" si="110"/>
        <v>1</v>
      </c>
      <c r="AL339" s="236">
        <f ca="1">INDEX(Photobiology!$21:$421,1+$AH339-380,10)</f>
        <v>0.004676404</v>
      </c>
      <c r="AM339" s="236">
        <f ca="1" t="shared" si="111"/>
        <v>13.3319879209511</v>
      </c>
      <c r="AN339" s="236">
        <f ca="1">INDEX(Photobiology!$21:$421,1+$AH339-380,AN$14)</f>
        <v>7.85982723463395e-9</v>
      </c>
      <c r="AO339" s="236">
        <f ca="1">INDEX(Photobiology!$21:$421,1+$AH339-380,AO$14)</f>
        <v>0.000573706803309933</v>
      </c>
      <c r="AP339" s="236">
        <f ca="1">INDEX(Photobiology!$21:$421,1+$AH339-380,AP$14)</f>
        <v>0.00740518648766084</v>
      </c>
      <c r="AQ339" s="236">
        <f ca="1">INDEX(Photobiology!$21:$421,1+$AH339-380,AQ$14)</f>
        <v>2.07449312553359e-5</v>
      </c>
      <c r="AR339" s="236">
        <f ca="1">INDEX(Photobiology!$21:$421,1+$AH339-380,AR$14)</f>
        <v>2.78617890675766e-6</v>
      </c>
      <c r="AS339" s="236">
        <f ca="1" t="shared" si="112"/>
        <v>4.6859234240107e+19</v>
      </c>
      <c r="AT339" s="236">
        <f ca="1">INDEX(Photobiology!$21:$421,1+$AH339-380,AT$14)</f>
        <v>4.9546188871618e-9</v>
      </c>
      <c r="AU339" s="236">
        <f ca="1">INDEX(Photobiology!$21:$421,1+$AH339-380,AU$14)</f>
        <v>0.000446333867944662</v>
      </c>
      <c r="AV339" s="236">
        <f ca="1">INDEX(Photobiology!$21:$421,1+$AH339-380,AV$14)</f>
        <v>0.0060395368615102</v>
      </c>
      <c r="AW339" s="236">
        <f ca="1">INDEX(Photobiology!$21:$421,1+$AH339-380,AW$14)</f>
        <v>1.51495694246863e-5</v>
      </c>
      <c r="AX339" s="236">
        <f ca="1">INDEX(Photobiology!$21:$421,1+$AH339-380,AX$14)</f>
        <v>1.95103265600311e-6</v>
      </c>
      <c r="AY339" s="236">
        <f ca="1" t="shared" si="99"/>
        <v>13.3319879209511</v>
      </c>
      <c r="AZ339" s="236">
        <f ca="1" t="shared" si="113"/>
        <v>1.04787121752903e-7</v>
      </c>
      <c r="BA339" s="236">
        <f ca="1" t="shared" si="100"/>
        <v>0.00764865217189552</v>
      </c>
      <c r="BB339" s="236">
        <f ca="1" t="shared" si="101"/>
        <v>0.0987258568058849</v>
      </c>
      <c r="BC339" s="236">
        <f ca="1" t="shared" si="102"/>
        <v>0.0002765711729171</v>
      </c>
      <c r="BD339" s="236">
        <f ca="1" t="shared" si="103"/>
        <v>3.7145303530502e-5</v>
      </c>
    </row>
    <row r="340" s="234" customFormat="1" ht="0.2" customHeight="1" spans="7:56">
      <c r="G340" s="236"/>
      <c r="H340" s="236">
        <f t="shared" si="104"/>
        <v>699</v>
      </c>
      <c r="I340" s="236">
        <f>IF($H340&gt;$H339,INDEX(Spectra!340:340,1,MATCH($I$20,Spectra!$20:$20,0)),I339)</f>
        <v>4.20031564430055</v>
      </c>
      <c r="J340" s="236">
        <f>((Physics!$C$9*Physics!$C$10)/(Physics!$C$11*Physics!$C$12*$H340))^($J$17-$J$18)</f>
        <v>3.51983275800695e+18</v>
      </c>
      <c r="K340" s="236">
        <f t="shared" si="105"/>
        <v>1</v>
      </c>
      <c r="L340" s="236">
        <f ca="1">INDEX(Photobiology!$21:$421,1+$H340-380,10)</f>
        <v>0.004380075</v>
      </c>
      <c r="M340" s="236">
        <f ca="1" t="shared" si="106"/>
        <v>4.20031564430055</v>
      </c>
      <c r="N340" s="236">
        <f ca="1">INDEX(Photobiology!$21:$421,1+$H340-380,N$14)</f>
        <v>7.41598768590524e-9</v>
      </c>
      <c r="O340" s="236">
        <f ca="1">INDEX(Photobiology!$21:$421,1+$H340-380,O$14)</f>
        <v>0.000533255078277117</v>
      </c>
      <c r="P340" s="236">
        <f ca="1">INDEX(Photobiology!$21:$421,1+$H340-380,P$14)</f>
        <v>0.00688503258505845</v>
      </c>
      <c r="Q340" s="236">
        <f ca="1">INDEX(Photobiology!$21:$421,1+$H340-380,Q$14)</f>
        <v>1.93606083674028e-5</v>
      </c>
      <c r="R340" s="236">
        <f ca="1">INDEX(Photobiology!$21:$421,1+$H340-380,R$14)</f>
        <v>2.60613554739013e-6</v>
      </c>
      <c r="S340" s="236">
        <f ca="1" t="shared" si="107"/>
        <v>1.47844085987781e+19</v>
      </c>
      <c r="T340" s="236">
        <f ca="1">INDEX(Photobiology!$21:$421,1+$H340-380,T$14)</f>
        <v>4.66814675507626e-9</v>
      </c>
      <c r="U340" s="236">
        <f ca="1">INDEX(Photobiology!$21:$421,1+$H340-380,U$14)</f>
        <v>0.000414269623239177</v>
      </c>
      <c r="V340" s="236">
        <f ca="1">INDEX(Photobiology!$21:$421,1+$H340-380,V$14)</f>
        <v>0.00560727535164136</v>
      </c>
      <c r="W340" s="236">
        <f ca="1">INDEX(Photobiology!$21:$421,1+$H340-380,W$14)</f>
        <v>1.4118401770111e-5</v>
      </c>
      <c r="X340" s="236">
        <f ca="1">INDEX(Photobiology!$21:$421,1+$H340-380,X$14)</f>
        <v>1.82234578018838e-6</v>
      </c>
      <c r="Y340" s="236">
        <f ca="1" t="shared" si="94"/>
        <v>4.20031564430055</v>
      </c>
      <c r="Z340" s="236">
        <f ca="1" t="shared" si="108"/>
        <v>3.1149489095048e-8</v>
      </c>
      <c r="AA340" s="236">
        <f ca="1" t="shared" si="95"/>
        <v>0.00223983964769009</v>
      </c>
      <c r="AB340" s="236">
        <f ca="1" t="shared" si="96"/>
        <v>0.0289193100785401</v>
      </c>
      <c r="AC340" s="236">
        <f ca="1" t="shared" si="97"/>
        <v>8.13206662087781e-5</v>
      </c>
      <c r="AD340" s="236">
        <f ca="1" t="shared" si="98"/>
        <v>1.09465919108705e-5</v>
      </c>
      <c r="AE340" s="236"/>
      <c r="AF340" s="236"/>
      <c r="AG340" s="236"/>
      <c r="AH340" s="236">
        <f t="shared" si="109"/>
        <v>699</v>
      </c>
      <c r="AI340" s="236">
        <f>IF($AH340&gt;$AH339,INDEX(Spectra!340:340,1,MATCH($AI$20,Spectra!$20:$20,0)),AI339)</f>
        <v>1</v>
      </c>
      <c r="AJ340" s="236">
        <f>((Physics!$C$9*Physics!$C$10)/(Physics!$C$11*Physics!$C$12*$AH340))^($AJ$17-$AJ$18)</f>
        <v>3.51983275800695e+18</v>
      </c>
      <c r="AK340" s="236">
        <f t="shared" si="110"/>
        <v>1</v>
      </c>
      <c r="AL340" s="236">
        <f ca="1">INDEX(Photobiology!$21:$421,1+$AH340-380,10)</f>
        <v>0.004380075</v>
      </c>
      <c r="AM340" s="236">
        <f ca="1" t="shared" si="111"/>
        <v>13.3319879209511</v>
      </c>
      <c r="AN340" s="236">
        <f ca="1">INDEX(Photobiology!$21:$421,1+$AH340-380,AN$14)</f>
        <v>7.41598768590524e-9</v>
      </c>
      <c r="AO340" s="236">
        <f ca="1">INDEX(Photobiology!$21:$421,1+$AH340-380,AO$14)</f>
        <v>0.000533255078277117</v>
      </c>
      <c r="AP340" s="236">
        <f ca="1">INDEX(Photobiology!$21:$421,1+$AH340-380,AP$14)</f>
        <v>0.00688503258505845</v>
      </c>
      <c r="AQ340" s="236">
        <f ca="1">INDEX(Photobiology!$21:$421,1+$AH340-380,AQ$14)</f>
        <v>1.93606083674028e-5</v>
      </c>
      <c r="AR340" s="236">
        <f ca="1">INDEX(Photobiology!$21:$421,1+$AH340-380,AR$14)</f>
        <v>2.60613554739013e-6</v>
      </c>
      <c r="AS340" s="236">
        <f ca="1" t="shared" si="112"/>
        <v>4.69263678135169e+19</v>
      </c>
      <c r="AT340" s="236">
        <f ca="1">INDEX(Photobiology!$21:$421,1+$AH340-380,AT$14)</f>
        <v>4.66814675507626e-9</v>
      </c>
      <c r="AU340" s="236">
        <f ca="1">INDEX(Photobiology!$21:$421,1+$AH340-380,AU$14)</f>
        <v>0.000414269623239177</v>
      </c>
      <c r="AV340" s="236">
        <f ca="1">INDEX(Photobiology!$21:$421,1+$AH340-380,AV$14)</f>
        <v>0.00560727535164136</v>
      </c>
      <c r="AW340" s="236">
        <f ca="1">INDEX(Photobiology!$21:$421,1+$AH340-380,AW$14)</f>
        <v>1.4118401770111e-5</v>
      </c>
      <c r="AX340" s="236">
        <f ca="1">INDEX(Photobiology!$21:$421,1+$AH340-380,AX$14)</f>
        <v>1.82234578018838e-6</v>
      </c>
      <c r="AY340" s="236">
        <f ca="1" t="shared" si="99"/>
        <v>13.3319879209511</v>
      </c>
      <c r="AZ340" s="236">
        <f ca="1" t="shared" si="113"/>
        <v>9.88698582504111e-8</v>
      </c>
      <c r="BA340" s="236">
        <f ca="1" t="shared" si="100"/>
        <v>0.00710935026237638</v>
      </c>
      <c r="BB340" s="236">
        <f ca="1" t="shared" si="101"/>
        <v>0.0917911712593543</v>
      </c>
      <c r="BC340" s="236">
        <f ca="1" t="shared" si="102"/>
        <v>0.00025811539689648</v>
      </c>
      <c r="BD340" s="236">
        <f ca="1" t="shared" si="103"/>
        <v>3.47449676381666e-5</v>
      </c>
    </row>
    <row r="341" s="234" customFormat="1" ht="0.2" customHeight="1" spans="7:56">
      <c r="G341" s="236"/>
      <c r="H341" s="236">
        <f t="shared" si="104"/>
        <v>700</v>
      </c>
      <c r="I341" s="236">
        <f>IF($H341&gt;$H340,INDEX(Spectra!341:341,1,MATCH($I$20,Spectra!$20:$20,0)),I340)</f>
        <v>4.11137653053453</v>
      </c>
      <c r="J341" s="236">
        <f>((Physics!$C$9*Physics!$C$10)/(Physics!$C$11*Physics!$C$12*$H341))^($J$17-$J$18)</f>
        <v>3.52486828412714e+18</v>
      </c>
      <c r="K341" s="236">
        <f t="shared" si="105"/>
        <v>1</v>
      </c>
      <c r="L341" s="236">
        <f ca="1">INDEX(Photobiology!$21:$421,1+$H341-380,10)</f>
        <v>0.004102</v>
      </c>
      <c r="M341" s="236">
        <f ca="1" t="shared" si="106"/>
        <v>4.11137653053453</v>
      </c>
      <c r="N341" s="236">
        <f ca="1">INDEX(Photobiology!$21:$421,1+$H341-380,N$14)</f>
        <v>6.9984038455838e-9</v>
      </c>
      <c r="O341" s="236">
        <f ca="1">INDEX(Photobiology!$21:$421,1+$H341-380,O$14)</f>
        <v>0.00049574004287829</v>
      </c>
      <c r="P341" s="236">
        <f ca="1">INDEX(Photobiology!$21:$421,1+$H341-380,P$14)</f>
        <v>0.00640134154953199</v>
      </c>
      <c r="Q341" s="236">
        <f ca="1">INDEX(Photobiology!$21:$421,1+$H341-380,Q$14)</f>
        <v>1.80721989948484e-5</v>
      </c>
      <c r="R341" s="236">
        <f ca="1">INDEX(Photobiology!$21:$421,1+$H341-380,R$14)</f>
        <v>2.4381869362594e-6</v>
      </c>
      <c r="S341" s="236">
        <f ca="1" t="shared" si="107"/>
        <v>1.44920607365858e+19</v>
      </c>
      <c r="T341" s="236">
        <f ca="1">INDEX(Photobiology!$21:$421,1+$H341-380,T$14)</f>
        <v>4.39899670293839e-9</v>
      </c>
      <c r="U341" s="236">
        <f ca="1">INDEX(Photobiology!$21:$421,1+$H341-380,U$14)</f>
        <v>0.000384575156185642</v>
      </c>
      <c r="V341" s="236">
        <f ca="1">INDEX(Photobiology!$21:$421,1+$H341-380,V$14)</f>
        <v>0.00520590236596302</v>
      </c>
      <c r="W341" s="236">
        <f ca="1">INDEX(Photobiology!$21:$421,1+$H341-380,W$14)</f>
        <v>1.31600237262522e-5</v>
      </c>
      <c r="X341" s="236">
        <f ca="1">INDEX(Photobiology!$21:$421,1+$H341-380,X$14)</f>
        <v>1.70247177755892e-6</v>
      </c>
      <c r="Y341" s="236">
        <f ca="1" t="shared" ref="Y341:Y404" si="114">IF(TRUE,M341,S341)</f>
        <v>4.11137653053453</v>
      </c>
      <c r="Z341" s="236">
        <f ca="1" t="shared" si="108"/>
        <v>2.87730733219358e-8</v>
      </c>
      <c r="AA341" s="236">
        <f ca="1" t="shared" ref="AA341:AA404" si="115">$Y341*O341</f>
        <v>0.00203817397753598</v>
      </c>
      <c r="AB341" s="236">
        <f ca="1" t="shared" ref="AB341:AB404" si="116">$Y341*P341</f>
        <v>0.0263183254106814</v>
      </c>
      <c r="AC341" s="236">
        <f ca="1" t="shared" ref="AC341:AC404" si="117">$Y341*Q341</f>
        <v>7.43016148025694e-5</v>
      </c>
      <c r="AD341" s="236">
        <f ca="1" t="shared" ref="AD341:AD404" si="118">$Y341*R341</f>
        <v>1.00243045467928e-5</v>
      </c>
      <c r="AE341" s="236"/>
      <c r="AF341" s="236"/>
      <c r="AG341" s="236"/>
      <c r="AH341" s="236">
        <f t="shared" si="109"/>
        <v>700</v>
      </c>
      <c r="AI341" s="236">
        <f>IF($AH341&gt;$AH340,INDEX(Spectra!341:341,1,MATCH($AI$20,Spectra!$20:$20,0)),AI340)</f>
        <v>1</v>
      </c>
      <c r="AJ341" s="236">
        <f>((Physics!$C$9*Physics!$C$10)/(Physics!$C$11*Physics!$C$12*$AH341))^($AJ$17-$AJ$18)</f>
        <v>3.52486828412714e+18</v>
      </c>
      <c r="AK341" s="236">
        <f t="shared" si="110"/>
        <v>1</v>
      </c>
      <c r="AL341" s="236">
        <f ca="1">INDEX(Photobiology!$21:$421,1+$AH341-380,10)</f>
        <v>0.004102</v>
      </c>
      <c r="AM341" s="236">
        <f ca="1" t="shared" si="111"/>
        <v>13.3319879209511</v>
      </c>
      <c r="AN341" s="236">
        <f ca="1">INDEX(Photobiology!$21:$421,1+$AH341-380,AN$14)</f>
        <v>6.9984038455838e-9</v>
      </c>
      <c r="AO341" s="236">
        <f ca="1">INDEX(Photobiology!$21:$421,1+$AH341-380,AO$14)</f>
        <v>0.00049574004287829</v>
      </c>
      <c r="AP341" s="236">
        <f ca="1">INDEX(Photobiology!$21:$421,1+$AH341-380,AP$14)</f>
        <v>0.00640134154953199</v>
      </c>
      <c r="AQ341" s="236">
        <f ca="1">INDEX(Photobiology!$21:$421,1+$AH341-380,AQ$14)</f>
        <v>1.80721989948484e-5</v>
      </c>
      <c r="AR341" s="236">
        <f ca="1">INDEX(Photobiology!$21:$421,1+$AH341-380,AR$14)</f>
        <v>2.4381869362594e-6</v>
      </c>
      <c r="AS341" s="236">
        <f ca="1" t="shared" si="112"/>
        <v>4.69935013869267e+19</v>
      </c>
      <c r="AT341" s="236">
        <f ca="1">INDEX(Photobiology!$21:$421,1+$AH341-380,AT$14)</f>
        <v>4.39899670293839e-9</v>
      </c>
      <c r="AU341" s="236">
        <f ca="1">INDEX(Photobiology!$21:$421,1+$AH341-380,AU$14)</f>
        <v>0.000384575156185642</v>
      </c>
      <c r="AV341" s="236">
        <f ca="1">INDEX(Photobiology!$21:$421,1+$AH341-380,AV$14)</f>
        <v>0.00520590236596302</v>
      </c>
      <c r="AW341" s="236">
        <f ca="1">INDEX(Photobiology!$21:$421,1+$AH341-380,AW$14)</f>
        <v>1.31600237262522e-5</v>
      </c>
      <c r="AX341" s="236">
        <f ca="1">INDEX(Photobiology!$21:$421,1+$AH341-380,AX$14)</f>
        <v>1.70247177755892e-6</v>
      </c>
      <c r="AY341" s="236">
        <f ca="1" t="shared" ref="AY341:AY404" si="119">IF(TRUE,AM341,AS341)</f>
        <v>13.3319879209511</v>
      </c>
      <c r="AZ341" s="236">
        <f ca="1" t="shared" si="113"/>
        <v>9.33026355352612e-8</v>
      </c>
      <c r="BA341" s="236">
        <f ca="1" t="shared" ref="BA341:BA404" si="120">$AY341*AO341</f>
        <v>0.00660920026358516</v>
      </c>
      <c r="BB341" s="236">
        <f ca="1" t="shared" ref="BB341:BB404" si="121">$AY341*AP341</f>
        <v>0.0853426082162431</v>
      </c>
      <c r="BC341" s="236">
        <f ca="1" t="shared" ref="BC341:BC404" si="122">$AY341*AQ341</f>
        <v>0.000240938338704344</v>
      </c>
      <c r="BD341" s="236">
        <f ca="1" t="shared" ref="BD341:BD404" si="123">$AY341*AR341</f>
        <v>3.25058787832312e-5</v>
      </c>
    </row>
    <row r="342" s="234" customFormat="1" ht="0.2" customHeight="1" spans="7:56">
      <c r="G342" s="236"/>
      <c r="H342" s="236">
        <f t="shared" ref="H342:H405" si="124">MIN(780,H341+$J$14)</f>
        <v>701</v>
      </c>
      <c r="I342" s="236">
        <f>IF($H342&gt;$H341,INDEX(Spectra!342:342,1,MATCH($I$20,Spectra!$20:$20,0)),I341)</f>
        <v>4.00479891415034</v>
      </c>
      <c r="J342" s="236">
        <f>((Physics!$C$9*Physics!$C$10)/(Physics!$C$11*Physics!$C$12*$H342))^($J$17-$J$18)</f>
        <v>3.52990381024732e+18</v>
      </c>
      <c r="K342" s="236">
        <f t="shared" ref="K342:K405" si="125">(H342&lt;&gt;H341)*1</f>
        <v>1</v>
      </c>
      <c r="L342" s="236">
        <f ca="1">INDEX(Photobiology!$21:$421,1+$H342-380,10)</f>
        <v>0.003838453</v>
      </c>
      <c r="M342" s="236">
        <f ca="1" t="shared" ref="M342:M405" si="126">$I342*$J$15*IF($J$18,1,$J342)</f>
        <v>4.00479891415034</v>
      </c>
      <c r="N342" s="236">
        <f ca="1">INDEX(Photobiology!$21:$421,1+$H342-380,N$14)</f>
        <v>6.60544377144723e-9</v>
      </c>
      <c r="O342" s="236">
        <f ca="1">INDEX(Photobiology!$21:$421,1+$H342-380,O$14)</f>
        <v>0.000460942762198586</v>
      </c>
      <c r="P342" s="236">
        <f ca="1">INDEX(Photobiology!$21:$421,1+$H342-380,P$14)</f>
        <v>0.00595158992615093</v>
      </c>
      <c r="Q342" s="236">
        <f ca="1">INDEX(Photobiology!$21:$421,1+$H342-380,Q$14)</f>
        <v>1.68728326862208e-5</v>
      </c>
      <c r="R342" s="236">
        <f ca="1">INDEX(Photobiology!$21:$421,1+$H342-380,R$14)</f>
        <v>2.28150276794508e-6</v>
      </c>
      <c r="S342" s="236">
        <f ca="1" t="shared" ref="S342:S405" si="127">$I342*$J$15*IF($J$17,1,$J342)</f>
        <v>1.41365549463336e+19</v>
      </c>
      <c r="T342" s="236">
        <f ca="1">INDEX(Photobiology!$21:$421,1+$H342-380,T$14)</f>
        <v>4.14607027023792e-9</v>
      </c>
      <c r="U342" s="236">
        <f ca="1">INDEX(Photobiology!$21:$421,1+$H342-380,U$14)</f>
        <v>0.000357070726478025</v>
      </c>
      <c r="V342" s="236">
        <f ca="1">INDEX(Photobiology!$21:$421,1+$H342-380,V$14)</f>
        <v>0.00483323643727068</v>
      </c>
      <c r="W342" s="236">
        <f ca="1">INDEX(Photobiology!$21:$421,1+$H342-380,W$14)</f>
        <v>1.22691279144838e-5</v>
      </c>
      <c r="X342" s="236">
        <f ca="1">INDEX(Photobiology!$21:$421,1+$H342-380,X$14)</f>
        <v>1.59079399619076e-6</v>
      </c>
      <c r="Y342" s="236">
        <f ca="1" t="shared" si="114"/>
        <v>4.00479891415034</v>
      </c>
      <c r="Z342" s="236">
        <f ca="1" t="shared" ref="Z342:Z405" si="128">$Y342*N342</f>
        <v>2.6453474043373e-8</v>
      </c>
      <c r="AA342" s="236">
        <f ca="1" t="shared" si="115"/>
        <v>0.00184598307353836</v>
      </c>
      <c r="AB342" s="236">
        <f ca="1" t="shared" si="116"/>
        <v>0.0238349208737173</v>
      </c>
      <c r="AC342" s="236">
        <f ca="1" t="shared" si="117"/>
        <v>6.75723020204174e-5</v>
      </c>
      <c r="AD342" s="236">
        <f ca="1" t="shared" si="118"/>
        <v>9.13695980769745e-6</v>
      </c>
      <c r="AE342" s="236"/>
      <c r="AF342" s="236"/>
      <c r="AG342" s="236"/>
      <c r="AH342" s="236">
        <f t="shared" ref="AH342:AH405" si="129">MIN(780,AH341+$AJ$14)</f>
        <v>701</v>
      </c>
      <c r="AI342" s="236">
        <f>IF($AH342&gt;$AH341,INDEX(Spectra!342:342,1,MATCH($AI$20,Spectra!$20:$20,0)),AI341)</f>
        <v>1</v>
      </c>
      <c r="AJ342" s="236">
        <f>((Physics!$C$9*Physics!$C$10)/(Physics!$C$11*Physics!$C$12*$AH342))^($AJ$17-$AJ$18)</f>
        <v>3.52990381024732e+18</v>
      </c>
      <c r="AK342" s="236">
        <f t="shared" ref="AK342:AK405" si="130">(AH342&lt;&gt;AH341)*1</f>
        <v>1</v>
      </c>
      <c r="AL342" s="236">
        <f ca="1">INDEX(Photobiology!$21:$421,1+$AH342-380,10)</f>
        <v>0.003838453</v>
      </c>
      <c r="AM342" s="236">
        <f ca="1" t="shared" ref="AM342:AM405" si="131">$AI342*$AJ$15*IF($AJ$18,1,$AJ342)</f>
        <v>13.3319879209511</v>
      </c>
      <c r="AN342" s="236">
        <f ca="1">INDEX(Photobiology!$21:$421,1+$AH342-380,AN$14)</f>
        <v>6.60544377144723e-9</v>
      </c>
      <c r="AO342" s="236">
        <f ca="1">INDEX(Photobiology!$21:$421,1+$AH342-380,AO$14)</f>
        <v>0.000460942762198586</v>
      </c>
      <c r="AP342" s="236">
        <f ca="1">INDEX(Photobiology!$21:$421,1+$AH342-380,AP$14)</f>
        <v>0.00595158992615093</v>
      </c>
      <c r="AQ342" s="236">
        <f ca="1">INDEX(Photobiology!$21:$421,1+$AH342-380,AQ$14)</f>
        <v>1.68728326862208e-5</v>
      </c>
      <c r="AR342" s="236">
        <f ca="1">INDEX(Photobiology!$21:$421,1+$AH342-380,AR$14)</f>
        <v>2.28150276794508e-6</v>
      </c>
      <c r="AS342" s="236">
        <f ca="1" t="shared" ref="AS342:AS405" si="132">$AI342*$AJ$15*IF($AJ$17,1,$AJ342)</f>
        <v>4.70606349603366e+19</v>
      </c>
      <c r="AT342" s="236">
        <f ca="1">INDEX(Photobiology!$21:$421,1+$AH342-380,AT$14)</f>
        <v>4.14607027023792e-9</v>
      </c>
      <c r="AU342" s="236">
        <f ca="1">INDEX(Photobiology!$21:$421,1+$AH342-380,AU$14)</f>
        <v>0.000357070726478025</v>
      </c>
      <c r="AV342" s="236">
        <f ca="1">INDEX(Photobiology!$21:$421,1+$AH342-380,AV$14)</f>
        <v>0.00483323643727068</v>
      </c>
      <c r="AW342" s="236">
        <f ca="1">INDEX(Photobiology!$21:$421,1+$AH342-380,AW$14)</f>
        <v>1.22691279144838e-5</v>
      </c>
      <c r="AX342" s="236">
        <f ca="1">INDEX(Photobiology!$21:$421,1+$AH342-380,AX$14)</f>
        <v>1.59079399619076e-6</v>
      </c>
      <c r="AY342" s="236">
        <f ca="1" t="shared" si="119"/>
        <v>13.3319879209511</v>
      </c>
      <c r="AZ342" s="236">
        <f ca="1" t="shared" ref="AZ342:AZ405" si="133">$AY342*AN342</f>
        <v>8.80636965734564e-8</v>
      </c>
      <c r="BA342" s="236">
        <f ca="1" t="shared" si="120"/>
        <v>0.0061452833378814</v>
      </c>
      <c r="BB342" s="236">
        <f ca="1" t="shared" si="121"/>
        <v>0.0793465250058987</v>
      </c>
      <c r="BC342" s="236">
        <f ca="1" t="shared" si="122"/>
        <v>0.000224948401564925</v>
      </c>
      <c r="BD342" s="236">
        <f ca="1" t="shared" si="123"/>
        <v>3.04169673438604e-5</v>
      </c>
    </row>
    <row r="343" s="234" customFormat="1" ht="0.2" customHeight="1" spans="7:56">
      <c r="G343" s="236"/>
      <c r="H343" s="236">
        <f t="shared" si="124"/>
        <v>702</v>
      </c>
      <c r="I343" s="236">
        <f>IF($H343&gt;$H342,INDEX(Spectra!343:343,1,MATCH($I$20,Spectra!$20:$20,0)),I342)</f>
        <v>3.90729512122913</v>
      </c>
      <c r="J343" s="236">
        <f>((Physics!$C$9*Physics!$C$10)/(Physics!$C$11*Physics!$C$12*$H343))^($J$17-$J$18)</f>
        <v>3.5349393363675e+18</v>
      </c>
      <c r="K343" s="236">
        <f t="shared" si="125"/>
        <v>1</v>
      </c>
      <c r="L343" s="236">
        <f ca="1">INDEX(Photobiology!$21:$421,1+$H343-380,10)</f>
        <v>0.003589099</v>
      </c>
      <c r="M343" s="236">
        <f ca="1" t="shared" si="126"/>
        <v>3.90729512122913</v>
      </c>
      <c r="N343" s="236">
        <f ca="1">INDEX(Photobiology!$21:$421,1+$H343-380,N$14)</f>
        <v>6.23559643381481e-9</v>
      </c>
      <c r="O343" s="236">
        <f ca="1">INDEX(Photobiology!$21:$421,1+$H343-380,O$14)</f>
        <v>0.000428661026878526</v>
      </c>
      <c r="P343" s="236">
        <f ca="1">INDEX(Photobiology!$21:$421,1+$H343-380,P$14)</f>
        <v>0.00553347560950178</v>
      </c>
      <c r="Q343" s="236">
        <f ca="1">INDEX(Photobiology!$21:$421,1+$H343-380,Q$14)</f>
        <v>1.57561098498279e-5</v>
      </c>
      <c r="R343" s="236">
        <f ca="1">INDEX(Photobiology!$21:$421,1+$H343-380,R$14)</f>
        <v>2.13529557467199e-6</v>
      </c>
      <c r="S343" s="236">
        <f ca="1" t="shared" si="127"/>
        <v>1.38120512228297e+19</v>
      </c>
      <c r="T343" s="236">
        <f ca="1">INDEX(Photobiology!$21:$421,1+$H343-380,T$14)</f>
        <v>3.90835104113749e-9</v>
      </c>
      <c r="U343" s="236">
        <f ca="1">INDEX(Photobiology!$21:$421,1+$H343-380,U$14)</f>
        <v>0.00033159055601788</v>
      </c>
      <c r="V343" s="236">
        <f ca="1">INDEX(Photobiology!$21:$421,1+$H343-380,V$14)</f>
        <v>0.00448728802840242</v>
      </c>
      <c r="W343" s="236">
        <f ca="1">INDEX(Photobiology!$21:$421,1+$H343-380,W$14)</f>
        <v>1.14407790969263e-5</v>
      </c>
      <c r="X343" s="236">
        <f ca="1">INDEX(Photobiology!$21:$421,1+$H343-380,X$14)</f>
        <v>1.48672912415006e-6</v>
      </c>
      <c r="Y343" s="236">
        <f ca="1" t="shared" si="114"/>
        <v>3.90729512122913</v>
      </c>
      <c r="Z343" s="236">
        <f ca="1" t="shared" si="128"/>
        <v>2.43643155237984e-8</v>
      </c>
      <c r="AA343" s="236">
        <f ca="1" t="shared" si="115"/>
        <v>0.00167490513898353</v>
      </c>
      <c r="AB343" s="236">
        <f ca="1" t="shared" si="116"/>
        <v>0.0216209222524467</v>
      </c>
      <c r="AC343" s="236">
        <f ca="1" t="shared" si="117"/>
        <v>6.15637711457828e-5</v>
      </c>
      <c r="AD343" s="236">
        <f ca="1" t="shared" si="118"/>
        <v>8.34322998129802e-6</v>
      </c>
      <c r="AE343" s="236"/>
      <c r="AF343" s="236"/>
      <c r="AG343" s="236"/>
      <c r="AH343" s="236">
        <f t="shared" si="129"/>
        <v>702</v>
      </c>
      <c r="AI343" s="236">
        <f>IF($AH343&gt;$AH342,INDEX(Spectra!343:343,1,MATCH($AI$20,Spectra!$20:$20,0)),AI342)</f>
        <v>1</v>
      </c>
      <c r="AJ343" s="236">
        <f>((Physics!$C$9*Physics!$C$10)/(Physics!$C$11*Physics!$C$12*$AH343))^($AJ$17-$AJ$18)</f>
        <v>3.5349393363675e+18</v>
      </c>
      <c r="AK343" s="236">
        <f t="shared" si="130"/>
        <v>1</v>
      </c>
      <c r="AL343" s="236">
        <f ca="1">INDEX(Photobiology!$21:$421,1+$AH343-380,10)</f>
        <v>0.003589099</v>
      </c>
      <c r="AM343" s="236">
        <f ca="1" t="shared" si="131"/>
        <v>13.3319879209511</v>
      </c>
      <c r="AN343" s="236">
        <f ca="1">INDEX(Photobiology!$21:$421,1+$AH343-380,AN$14)</f>
        <v>6.23559643381481e-9</v>
      </c>
      <c r="AO343" s="236">
        <f ca="1">INDEX(Photobiology!$21:$421,1+$AH343-380,AO$14)</f>
        <v>0.000428661026878526</v>
      </c>
      <c r="AP343" s="236">
        <f ca="1">INDEX(Photobiology!$21:$421,1+$AH343-380,AP$14)</f>
        <v>0.00553347560950178</v>
      </c>
      <c r="AQ343" s="236">
        <f ca="1">INDEX(Photobiology!$21:$421,1+$AH343-380,AQ$14)</f>
        <v>1.57561098498279e-5</v>
      </c>
      <c r="AR343" s="236">
        <f ca="1">INDEX(Photobiology!$21:$421,1+$AH343-380,AR$14)</f>
        <v>2.13529557467199e-6</v>
      </c>
      <c r="AS343" s="236">
        <f ca="1" t="shared" si="132"/>
        <v>4.71277685337465e+19</v>
      </c>
      <c r="AT343" s="236">
        <f ca="1">INDEX(Photobiology!$21:$421,1+$AH343-380,AT$14)</f>
        <v>3.90835104113749e-9</v>
      </c>
      <c r="AU343" s="236">
        <f ca="1">INDEX(Photobiology!$21:$421,1+$AH343-380,AU$14)</f>
        <v>0.00033159055601788</v>
      </c>
      <c r="AV343" s="236">
        <f ca="1">INDEX(Photobiology!$21:$421,1+$AH343-380,AV$14)</f>
        <v>0.00448728802840242</v>
      </c>
      <c r="AW343" s="236">
        <f ca="1">INDEX(Photobiology!$21:$421,1+$AH343-380,AW$14)</f>
        <v>1.14407790969263e-5</v>
      </c>
      <c r="AX343" s="236">
        <f ca="1">INDEX(Photobiology!$21:$421,1+$AH343-380,AX$14)</f>
        <v>1.48672912415006e-6</v>
      </c>
      <c r="AY343" s="236">
        <f ca="1" t="shared" si="119"/>
        <v>13.3319879209511</v>
      </c>
      <c r="AZ343" s="236">
        <f ca="1" t="shared" si="133"/>
        <v>8.31328963355451e-8</v>
      </c>
      <c r="BA343" s="236">
        <f ca="1" t="shared" si="120"/>
        <v>0.00571490363252702</v>
      </c>
      <c r="BB343" s="236">
        <f ca="1" t="shared" si="121"/>
        <v>0.0737722299867555</v>
      </c>
      <c r="BC343" s="236">
        <f ca="1" t="shared" si="122"/>
        <v>0.000210060266199085</v>
      </c>
      <c r="BD343" s="236">
        <f ca="1" t="shared" si="123"/>
        <v>2.84677348091874e-5</v>
      </c>
    </row>
    <row r="344" s="234" customFormat="1" ht="0.2" customHeight="1" spans="7:56">
      <c r="G344" s="236"/>
      <c r="H344" s="236">
        <f t="shared" si="124"/>
        <v>703</v>
      </c>
      <c r="I344" s="236">
        <f>IF($H344&gt;$H343,INDEX(Spectra!344:344,1,MATCH($I$20,Spectra!$20:$20,0)),I343)</f>
        <v>3.81092726278538</v>
      </c>
      <c r="J344" s="236">
        <f>((Physics!$C$9*Physics!$C$10)/(Physics!$C$11*Physics!$C$12*$H344))^($J$17-$J$18)</f>
        <v>3.53997486248768e+18</v>
      </c>
      <c r="K344" s="236">
        <f t="shared" si="125"/>
        <v>1</v>
      </c>
      <c r="L344" s="236">
        <f ca="1">INDEX(Photobiology!$21:$421,1+$H344-380,10)</f>
        <v>0.003354219</v>
      </c>
      <c r="M344" s="236">
        <f ca="1" t="shared" si="126"/>
        <v>3.81092726278538</v>
      </c>
      <c r="N344" s="236">
        <f ca="1">INDEX(Photobiology!$21:$421,1+$H344-380,N$14)</f>
        <v>5.88743330069012e-9</v>
      </c>
      <c r="O344" s="236">
        <f ca="1">INDEX(Photobiology!$21:$421,1+$H344-380,O$14)</f>
        <v>0.000398708964159873</v>
      </c>
      <c r="P344" s="236">
        <f ca="1">INDEX(Photobiology!$21:$421,1+$H344-380,P$14)</f>
        <v>0.0051447941174106</v>
      </c>
      <c r="Q344" s="236">
        <f ca="1">INDEX(Photobiology!$21:$421,1+$H344-380,Q$14)</f>
        <v>1.47161769084339e-5</v>
      </c>
      <c r="R344" s="236">
        <f ca="1">INDEX(Photobiology!$21:$421,1+$H344-380,R$14)</f>
        <v>1.99883985369628e-6</v>
      </c>
      <c r="S344" s="236">
        <f ca="1" t="shared" si="127"/>
        <v>1.34905867130292e+19</v>
      </c>
      <c r="T344" s="236">
        <f ca="1">INDEX(Photobiology!$21:$421,1+$H344-380,T$14)</f>
        <v>3.68488001750164e-9</v>
      </c>
      <c r="U344" s="236">
        <f ca="1">INDEX(Photobiology!$21:$421,1+$H344-380,U$14)</f>
        <v>0.000307982429162552</v>
      </c>
      <c r="V344" s="236">
        <f ca="1">INDEX(Photobiology!$21:$421,1+$H344-380,V$14)</f>
        <v>0.00416615797593672</v>
      </c>
      <c r="W344" s="236">
        <f ca="1">INDEX(Photobiology!$21:$421,1+$H344-380,W$14)</f>
        <v>1.06704660231178e-5</v>
      </c>
      <c r="X344" s="236">
        <f ca="1">INDEX(Photobiology!$21:$421,1+$H344-380,X$14)</f>
        <v>1.38974025112996e-6</v>
      </c>
      <c r="Y344" s="236">
        <f ca="1" t="shared" si="114"/>
        <v>3.81092726278538</v>
      </c>
      <c r="Z344" s="236">
        <f ca="1" t="shared" si="128"/>
        <v>2.24365800734305e-8</v>
      </c>
      <c r="AA344" s="236">
        <f ca="1" t="shared" si="115"/>
        <v>0.00151945086143378</v>
      </c>
      <c r="AB344" s="236">
        <f ca="1" t="shared" si="116"/>
        <v>0.0196064361634579</v>
      </c>
      <c r="AC344" s="236">
        <f ca="1" t="shared" si="117"/>
        <v>5.60822797843234e-5</v>
      </c>
      <c r="AD344" s="236">
        <f ca="1" t="shared" si="118"/>
        <v>7.61743329239309e-6</v>
      </c>
      <c r="AE344" s="236"/>
      <c r="AF344" s="236"/>
      <c r="AG344" s="236"/>
      <c r="AH344" s="236">
        <f t="shared" si="129"/>
        <v>703</v>
      </c>
      <c r="AI344" s="236">
        <f>IF($AH344&gt;$AH343,INDEX(Spectra!344:344,1,MATCH($AI$20,Spectra!$20:$20,0)),AI343)</f>
        <v>1</v>
      </c>
      <c r="AJ344" s="236">
        <f>((Physics!$C$9*Physics!$C$10)/(Physics!$C$11*Physics!$C$12*$AH344))^($AJ$17-$AJ$18)</f>
        <v>3.53997486248768e+18</v>
      </c>
      <c r="AK344" s="236">
        <f t="shared" si="130"/>
        <v>1</v>
      </c>
      <c r="AL344" s="236">
        <f ca="1">INDEX(Photobiology!$21:$421,1+$AH344-380,10)</f>
        <v>0.003354219</v>
      </c>
      <c r="AM344" s="236">
        <f ca="1" t="shared" si="131"/>
        <v>13.3319879209511</v>
      </c>
      <c r="AN344" s="236">
        <f ca="1">INDEX(Photobiology!$21:$421,1+$AH344-380,AN$14)</f>
        <v>5.88743330069012e-9</v>
      </c>
      <c r="AO344" s="236">
        <f ca="1">INDEX(Photobiology!$21:$421,1+$AH344-380,AO$14)</f>
        <v>0.000398708964159873</v>
      </c>
      <c r="AP344" s="236">
        <f ca="1">INDEX(Photobiology!$21:$421,1+$AH344-380,AP$14)</f>
        <v>0.0051447941174106</v>
      </c>
      <c r="AQ344" s="236">
        <f ca="1">INDEX(Photobiology!$21:$421,1+$AH344-380,AQ$14)</f>
        <v>1.47161769084339e-5</v>
      </c>
      <c r="AR344" s="236">
        <f ca="1">INDEX(Photobiology!$21:$421,1+$AH344-380,AR$14)</f>
        <v>1.99883985369628e-6</v>
      </c>
      <c r="AS344" s="236">
        <f ca="1" t="shared" si="132"/>
        <v>4.71949021071564e+19</v>
      </c>
      <c r="AT344" s="236">
        <f ca="1">INDEX(Photobiology!$21:$421,1+$AH344-380,AT$14)</f>
        <v>3.68488001750164e-9</v>
      </c>
      <c r="AU344" s="236">
        <f ca="1">INDEX(Photobiology!$21:$421,1+$AH344-380,AU$14)</f>
        <v>0.000307982429162552</v>
      </c>
      <c r="AV344" s="236">
        <f ca="1">INDEX(Photobiology!$21:$421,1+$AH344-380,AV$14)</f>
        <v>0.00416615797593672</v>
      </c>
      <c r="AW344" s="236">
        <f ca="1">INDEX(Photobiology!$21:$421,1+$AH344-380,AW$14)</f>
        <v>1.06704660231178e-5</v>
      </c>
      <c r="AX344" s="236">
        <f ca="1">INDEX(Photobiology!$21:$421,1+$AH344-380,AX$14)</f>
        <v>1.38974025112996e-6</v>
      </c>
      <c r="AY344" s="236">
        <f ca="1" t="shared" si="119"/>
        <v>13.3319879209511</v>
      </c>
      <c r="AZ344" s="236">
        <f ca="1" t="shared" si="133"/>
        <v>7.84911896502062e-8</v>
      </c>
      <c r="BA344" s="236">
        <f ca="1" t="shared" si="120"/>
        <v>0.00531558309415437</v>
      </c>
      <c r="BB344" s="236">
        <f ca="1" t="shared" si="121"/>
        <v>0.0685903330290986</v>
      </c>
      <c r="BC344" s="236">
        <f ca="1" t="shared" si="122"/>
        <v>0.000196195892785821</v>
      </c>
      <c r="BD344" s="236">
        <f ca="1" t="shared" si="123"/>
        <v>2.66485087853946e-5</v>
      </c>
    </row>
    <row r="345" s="234" customFormat="1" ht="0.2" customHeight="1" spans="7:56">
      <c r="G345" s="236"/>
      <c r="H345" s="236">
        <f t="shared" si="124"/>
        <v>704</v>
      </c>
      <c r="I345" s="236">
        <f>IF($H345&gt;$H344,INDEX(Spectra!345:345,1,MATCH($I$20,Spectra!$20:$20,0)),I344)</f>
        <v>3.73745574568672</v>
      </c>
      <c r="J345" s="236">
        <f>((Physics!$C$9*Physics!$C$10)/(Physics!$C$11*Physics!$C$12*$H345))^($J$17-$J$18)</f>
        <v>3.54501038860786e+18</v>
      </c>
      <c r="K345" s="236">
        <f t="shared" si="125"/>
        <v>1</v>
      </c>
      <c r="L345" s="236">
        <f ca="1">INDEX(Photobiology!$21:$421,1+$H345-380,10)</f>
        <v>0.003134093</v>
      </c>
      <c r="M345" s="236">
        <f ca="1" t="shared" si="126"/>
        <v>3.73745574568672</v>
      </c>
      <c r="N345" s="236">
        <f ca="1">INDEX(Photobiology!$21:$421,1+$H345-380,N$14)</f>
        <v>5.55963141164179e-9</v>
      </c>
      <c r="O345" s="236">
        <f ca="1">INDEX(Photobiology!$21:$421,1+$H345-380,O$14)</f>
        <v>0.000370913807060128</v>
      </c>
      <c r="P345" s="236">
        <f ca="1">INDEX(Photobiology!$21:$421,1+$H345-380,P$14)</f>
        <v>0.00478353548528995</v>
      </c>
      <c r="Q345" s="236">
        <f ca="1">INDEX(Photobiology!$21:$421,1+$H345-380,Q$14)</f>
        <v>1.3747508598902e-5</v>
      </c>
      <c r="R345" s="236">
        <f ca="1">INDEX(Photobiology!$21:$421,1+$H345-380,R$14)</f>
        <v>1.87145332474263e-6</v>
      </c>
      <c r="S345" s="236">
        <f ca="1" t="shared" si="127"/>
        <v>1.32493194454216e+19</v>
      </c>
      <c r="T345" s="236">
        <f ca="1">INDEX(Photobiology!$21:$421,1+$H345-380,T$14)</f>
        <v>3.47476963227612e-9</v>
      </c>
      <c r="U345" s="236">
        <f ca="1">INDEX(Photobiology!$21:$421,1+$H345-380,U$14)</f>
        <v>0.000286105104297228</v>
      </c>
      <c r="V345" s="236">
        <f ca="1">INDEX(Photobiology!$21:$421,1+$H345-380,V$14)</f>
        <v>0.0038681152001086</v>
      </c>
      <c r="W345" s="236">
        <f ca="1">INDEX(Photobiology!$21:$421,1+$H345-380,W$14)</f>
        <v>9.95394079189046e-6</v>
      </c>
      <c r="X345" s="236">
        <f ca="1">INDEX(Photobiology!$21:$421,1+$H345-380,X$14)</f>
        <v>1.29932352619781e-6</v>
      </c>
      <c r="Y345" s="236">
        <f ca="1" t="shared" si="114"/>
        <v>3.73745574568672</v>
      </c>
      <c r="Z345" s="236">
        <f ca="1" t="shared" si="128"/>
        <v>2.0778876363341e-8</v>
      </c>
      <c r="AA345" s="236">
        <f ca="1" t="shared" si="115"/>
        <v>0.00138627393935141</v>
      </c>
      <c r="AB345" s="236">
        <f ca="1" t="shared" si="116"/>
        <v>0.0178782521841932</v>
      </c>
      <c r="AC345" s="236">
        <f ca="1" t="shared" si="117"/>
        <v>5.13807050018439e-5</v>
      </c>
      <c r="AD345" s="236">
        <f ca="1" t="shared" si="118"/>
        <v>6.99447398134386e-6</v>
      </c>
      <c r="AE345" s="236"/>
      <c r="AF345" s="236"/>
      <c r="AG345" s="236"/>
      <c r="AH345" s="236">
        <f t="shared" si="129"/>
        <v>704</v>
      </c>
      <c r="AI345" s="236">
        <f>IF($AH345&gt;$AH344,INDEX(Spectra!345:345,1,MATCH($AI$20,Spectra!$20:$20,0)),AI344)</f>
        <v>1</v>
      </c>
      <c r="AJ345" s="236">
        <f>((Physics!$C$9*Physics!$C$10)/(Physics!$C$11*Physics!$C$12*$AH345))^($AJ$17-$AJ$18)</f>
        <v>3.54501038860786e+18</v>
      </c>
      <c r="AK345" s="236">
        <f t="shared" si="130"/>
        <v>1</v>
      </c>
      <c r="AL345" s="236">
        <f ca="1">INDEX(Photobiology!$21:$421,1+$AH345-380,10)</f>
        <v>0.003134093</v>
      </c>
      <c r="AM345" s="236">
        <f ca="1" t="shared" si="131"/>
        <v>13.3319879209511</v>
      </c>
      <c r="AN345" s="236">
        <f ca="1">INDEX(Photobiology!$21:$421,1+$AH345-380,AN$14)</f>
        <v>5.55963141164179e-9</v>
      </c>
      <c r="AO345" s="236">
        <f ca="1">INDEX(Photobiology!$21:$421,1+$AH345-380,AO$14)</f>
        <v>0.000370913807060128</v>
      </c>
      <c r="AP345" s="236">
        <f ca="1">INDEX(Photobiology!$21:$421,1+$AH345-380,AP$14)</f>
        <v>0.00478353548528995</v>
      </c>
      <c r="AQ345" s="236">
        <f ca="1">INDEX(Photobiology!$21:$421,1+$AH345-380,AQ$14)</f>
        <v>1.3747508598902e-5</v>
      </c>
      <c r="AR345" s="236">
        <f ca="1">INDEX(Photobiology!$21:$421,1+$AH345-380,AR$14)</f>
        <v>1.87145332474263e-6</v>
      </c>
      <c r="AS345" s="236">
        <f ca="1" t="shared" si="132"/>
        <v>4.72620356805663e+19</v>
      </c>
      <c r="AT345" s="236">
        <f ca="1">INDEX(Photobiology!$21:$421,1+$AH345-380,AT$14)</f>
        <v>3.47476963227612e-9</v>
      </c>
      <c r="AU345" s="236">
        <f ca="1">INDEX(Photobiology!$21:$421,1+$AH345-380,AU$14)</f>
        <v>0.000286105104297228</v>
      </c>
      <c r="AV345" s="236">
        <f ca="1">INDEX(Photobiology!$21:$421,1+$AH345-380,AV$14)</f>
        <v>0.0038681152001086</v>
      </c>
      <c r="AW345" s="236">
        <f ca="1">INDEX(Photobiology!$21:$421,1+$AH345-380,AW$14)</f>
        <v>9.95394079189046e-6</v>
      </c>
      <c r="AX345" s="236">
        <f ca="1">INDEX(Photobiology!$21:$421,1+$AH345-380,AX$14)</f>
        <v>1.29932352619781e-6</v>
      </c>
      <c r="AY345" s="236">
        <f ca="1" t="shared" si="119"/>
        <v>13.3319879209511</v>
      </c>
      <c r="AZ345" s="236">
        <f ca="1" t="shared" si="133"/>
        <v>7.41209388249489e-8</v>
      </c>
      <c r="BA345" s="236">
        <f ca="1" t="shared" si="120"/>
        <v>0.00494501839543963</v>
      </c>
      <c r="BB345" s="236">
        <f ca="1" t="shared" si="121"/>
        <v>0.0637740373093268</v>
      </c>
      <c r="BC345" s="236">
        <f ca="1" t="shared" si="122"/>
        <v>0.000183281618583733</v>
      </c>
      <c r="BD345" s="236">
        <f ca="1" t="shared" si="123"/>
        <v>2.49501931200926e-5</v>
      </c>
    </row>
    <row r="346" s="234" customFormat="1" ht="0.2" customHeight="1" spans="7:56">
      <c r="G346" s="236"/>
      <c r="H346" s="236">
        <f t="shared" si="124"/>
        <v>705</v>
      </c>
      <c r="I346" s="236">
        <f>IF($H346&gt;$H345,INDEX(Spectra!346:346,1,MATCH($I$20,Spectra!$20:$20,0)),I345)</f>
        <v>3.63913775480177</v>
      </c>
      <c r="J346" s="236">
        <f>((Physics!$C$9*Physics!$C$10)/(Physics!$C$11*Physics!$C$12*$H346))^($J$17-$J$18)</f>
        <v>3.55004591472804e+18</v>
      </c>
      <c r="K346" s="236">
        <f t="shared" si="125"/>
        <v>1</v>
      </c>
      <c r="L346" s="236">
        <f ca="1">INDEX(Photobiology!$21:$421,1+$H346-380,10)</f>
        <v>0.002929</v>
      </c>
      <c r="M346" s="236">
        <f ca="1" t="shared" si="126"/>
        <v>3.63913775480177</v>
      </c>
      <c r="N346" s="236">
        <f ca="1">INDEX(Photobiology!$21:$421,1+$H346-380,N$14)</f>
        <v>5.25095141562095e-9</v>
      </c>
      <c r="O346" s="236">
        <f ca="1">INDEX(Photobiology!$21:$421,1+$H346-380,O$14)</f>
        <v>0.00034511671981733</v>
      </c>
      <c r="P346" s="236">
        <f ca="1">INDEX(Photobiology!$21:$421,1+$H346-380,P$14)</f>
        <v>0.00444776671027528</v>
      </c>
      <c r="Q346" s="236">
        <f ca="1">INDEX(Photobiology!$21:$421,1+$H346-380,Q$14)</f>
        <v>1.28450855183011e-5</v>
      </c>
      <c r="R346" s="236">
        <f ca="1">INDEX(Photobiology!$21:$421,1+$H346-380,R$14)</f>
        <v>1.75252006902218e-6</v>
      </c>
      <c r="S346" s="236">
        <f ca="1" t="shared" si="127"/>
        <v>1.29191061195666e+19</v>
      </c>
      <c r="T346" s="236">
        <f ca="1">INDEX(Photobiology!$21:$421,1+$H346-380,T$14)</f>
        <v>3.27718953599038e-9</v>
      </c>
      <c r="U346" s="236">
        <f ca="1">INDEX(Photobiology!$21:$421,1+$H346-380,U$14)</f>
        <v>0.000265828871810308</v>
      </c>
      <c r="V346" s="236">
        <f ca="1">INDEX(Photobiology!$21:$421,1+$H346-380,V$14)</f>
        <v>0.00359150058824436</v>
      </c>
      <c r="W346" s="236">
        <f ca="1">INDEX(Photobiology!$21:$421,1+$H346-380,W$14)</f>
        <v>9.28734535429758e-6</v>
      </c>
      <c r="X346" s="236">
        <f ca="1">INDEX(Photobiology!$21:$421,1+$H346-380,X$14)</f>
        <v>1.21502396563645e-6</v>
      </c>
      <c r="Y346" s="236">
        <f ca="1" t="shared" si="114"/>
        <v>3.63913775480177</v>
      </c>
      <c r="Z346" s="236">
        <f ca="1" t="shared" si="128"/>
        <v>1.9108935545216e-8</v>
      </c>
      <c r="AA346" s="236">
        <f ca="1" t="shared" si="115"/>
        <v>0.00125592728490059</v>
      </c>
      <c r="AB346" s="236">
        <f ca="1" t="shared" si="116"/>
        <v>0.0161860357599132</v>
      </c>
      <c r="AC346" s="236">
        <f ca="1" t="shared" si="117"/>
        <v>4.6745035673307e-5</v>
      </c>
      <c r="AD346" s="236">
        <f ca="1" t="shared" si="118"/>
        <v>6.37766194922642e-6</v>
      </c>
      <c r="AE346" s="236"/>
      <c r="AF346" s="236"/>
      <c r="AG346" s="236"/>
      <c r="AH346" s="236">
        <f t="shared" si="129"/>
        <v>705</v>
      </c>
      <c r="AI346" s="236">
        <f>IF($AH346&gt;$AH345,INDEX(Spectra!346:346,1,MATCH($AI$20,Spectra!$20:$20,0)),AI345)</f>
        <v>1</v>
      </c>
      <c r="AJ346" s="236">
        <f>((Physics!$C$9*Physics!$C$10)/(Physics!$C$11*Physics!$C$12*$AH346))^($AJ$17-$AJ$18)</f>
        <v>3.55004591472804e+18</v>
      </c>
      <c r="AK346" s="236">
        <f t="shared" si="130"/>
        <v>1</v>
      </c>
      <c r="AL346" s="236">
        <f ca="1">INDEX(Photobiology!$21:$421,1+$AH346-380,10)</f>
        <v>0.002929</v>
      </c>
      <c r="AM346" s="236">
        <f ca="1" t="shared" si="131"/>
        <v>13.3319879209511</v>
      </c>
      <c r="AN346" s="236">
        <f ca="1">INDEX(Photobiology!$21:$421,1+$AH346-380,AN$14)</f>
        <v>5.25095141562095e-9</v>
      </c>
      <c r="AO346" s="236">
        <f ca="1">INDEX(Photobiology!$21:$421,1+$AH346-380,AO$14)</f>
        <v>0.00034511671981733</v>
      </c>
      <c r="AP346" s="236">
        <f ca="1">INDEX(Photobiology!$21:$421,1+$AH346-380,AP$14)</f>
        <v>0.00444776671027528</v>
      </c>
      <c r="AQ346" s="236">
        <f ca="1">INDEX(Photobiology!$21:$421,1+$AH346-380,AQ$14)</f>
        <v>1.28450855183011e-5</v>
      </c>
      <c r="AR346" s="236">
        <f ca="1">INDEX(Photobiology!$21:$421,1+$AH346-380,AR$14)</f>
        <v>1.75252006902218e-6</v>
      </c>
      <c r="AS346" s="236">
        <f ca="1" t="shared" si="132"/>
        <v>4.73291692539762e+19</v>
      </c>
      <c r="AT346" s="236">
        <f ca="1">INDEX(Photobiology!$21:$421,1+$AH346-380,AT$14)</f>
        <v>3.27718953599038e-9</v>
      </c>
      <c r="AU346" s="236">
        <f ca="1">INDEX(Photobiology!$21:$421,1+$AH346-380,AU$14)</f>
        <v>0.000265828871810308</v>
      </c>
      <c r="AV346" s="236">
        <f ca="1">INDEX(Photobiology!$21:$421,1+$AH346-380,AV$14)</f>
        <v>0.00359150058824436</v>
      </c>
      <c r="AW346" s="236">
        <f ca="1">INDEX(Photobiology!$21:$421,1+$AH346-380,AW$14)</f>
        <v>9.28734535429758e-6</v>
      </c>
      <c r="AX346" s="236">
        <f ca="1">INDEX(Photobiology!$21:$421,1+$AH346-380,AX$14)</f>
        <v>1.21502396563645e-6</v>
      </c>
      <c r="AY346" s="236">
        <f ca="1" t="shared" si="119"/>
        <v>13.3319879209511</v>
      </c>
      <c r="AZ346" s="236">
        <f ca="1" t="shared" si="133"/>
        <v>7.00056208465598e-8</v>
      </c>
      <c r="BA346" s="236">
        <f ca="1" t="shared" si="120"/>
        <v>0.00460109193992292</v>
      </c>
      <c r="BB346" s="236">
        <f ca="1" t="shared" si="121"/>
        <v>0.0592975720565986</v>
      </c>
      <c r="BC346" s="236">
        <f ca="1" t="shared" si="122"/>
        <v>0.000171250524973575</v>
      </c>
      <c r="BD346" s="236">
        <f ca="1" t="shared" si="123"/>
        <v>2.33645763914282e-5</v>
      </c>
    </row>
    <row r="347" s="234" customFormat="1" ht="0.2" customHeight="1" spans="7:56">
      <c r="G347" s="236"/>
      <c r="H347" s="236">
        <f t="shared" si="124"/>
        <v>706</v>
      </c>
      <c r="I347" s="236">
        <f>IF($H347&gt;$H346,INDEX(Spectra!347:347,1,MATCH($I$20,Spectra!$20:$20,0)),I346)</f>
        <v>3.55394702848325</v>
      </c>
      <c r="J347" s="236">
        <f>((Physics!$C$9*Physics!$C$10)/(Physics!$C$11*Physics!$C$12*$H347))^($J$17-$J$18)</f>
        <v>3.55508144084823e+18</v>
      </c>
      <c r="K347" s="236">
        <f t="shared" si="125"/>
        <v>1</v>
      </c>
      <c r="L347" s="236">
        <f ca="1">INDEX(Photobiology!$21:$421,1+$H347-380,10)</f>
        <v>0.002738139</v>
      </c>
      <c r="M347" s="236">
        <f ca="1" t="shared" si="126"/>
        <v>3.55394702848325</v>
      </c>
      <c r="N347" s="236">
        <f ca="1">INDEX(Photobiology!$21:$421,1+$H347-380,N$14)</f>
        <v>4.96022069527682e-9</v>
      </c>
      <c r="O347" s="236">
        <f ca="1">INDEX(Photobiology!$21:$421,1+$H347-380,O$14)</f>
        <v>0.00032117002091677</v>
      </c>
      <c r="P347" s="236">
        <f ca="1">INDEX(Photobiology!$21:$421,1+$H347-380,P$14)</f>
        <v>0.00413573782575858</v>
      </c>
      <c r="Q347" s="236">
        <f ca="1">INDEX(Photobiology!$21:$421,1+$H347-380,Q$14)</f>
        <v>1.20041938493406e-5</v>
      </c>
      <c r="R347" s="236">
        <f ca="1">INDEX(Photobiology!$21:$421,1+$H347-380,R$14)</f>
        <v>1.64145129156641e-6</v>
      </c>
      <c r="S347" s="236">
        <f ca="1" t="shared" si="127"/>
        <v>1.26345711227185e+19</v>
      </c>
      <c r="T347" s="236">
        <f ca="1">INDEX(Photobiology!$21:$421,1+$H347-380,T$14)</f>
        <v>3.0913556741102e-9</v>
      </c>
      <c r="U347" s="236">
        <f ca="1">INDEX(Photobiology!$21:$421,1+$H347-380,U$14)</f>
        <v>0.000247033336466175</v>
      </c>
      <c r="V347" s="236">
        <f ca="1">INDEX(Photobiology!$21:$421,1+$H347-380,V$14)</f>
        <v>0.00333481201724943</v>
      </c>
      <c r="W347" s="236">
        <f ca="1">INDEX(Photobiology!$21:$421,1+$H347-380,W$14)</f>
        <v>8.66706415378053e-6</v>
      </c>
      <c r="X347" s="236">
        <f ca="1">INDEX(Photobiology!$21:$421,1+$H347-380,X$14)</f>
        <v>1.13640794187676e-6</v>
      </c>
      <c r="Y347" s="236">
        <f ca="1" t="shared" si="114"/>
        <v>3.55394702848325</v>
      </c>
      <c r="Z347" s="236">
        <f ca="1" t="shared" si="128"/>
        <v>1.76283616006002e-8</v>
      </c>
      <c r="AA347" s="236">
        <f ca="1" t="shared" si="115"/>
        <v>0.00114142124147506</v>
      </c>
      <c r="AB347" s="236">
        <f ca="1" t="shared" si="116"/>
        <v>0.0146981931564405</v>
      </c>
      <c r="AC347" s="236">
        <f ca="1" t="shared" si="117"/>
        <v>4.26622690602009e-5</v>
      </c>
      <c r="AD347" s="236">
        <f ca="1" t="shared" si="118"/>
        <v>5.83363094006244e-6</v>
      </c>
      <c r="AE347" s="236"/>
      <c r="AF347" s="236"/>
      <c r="AG347" s="236"/>
      <c r="AH347" s="236">
        <f t="shared" si="129"/>
        <v>706</v>
      </c>
      <c r="AI347" s="236">
        <f>IF($AH347&gt;$AH346,INDEX(Spectra!347:347,1,MATCH($AI$20,Spectra!$20:$20,0)),AI346)</f>
        <v>1</v>
      </c>
      <c r="AJ347" s="236">
        <f>((Physics!$C$9*Physics!$C$10)/(Physics!$C$11*Physics!$C$12*$AH347))^($AJ$17-$AJ$18)</f>
        <v>3.55508144084823e+18</v>
      </c>
      <c r="AK347" s="236">
        <f t="shared" si="130"/>
        <v>1</v>
      </c>
      <c r="AL347" s="236">
        <f ca="1">INDEX(Photobiology!$21:$421,1+$AH347-380,10)</f>
        <v>0.002738139</v>
      </c>
      <c r="AM347" s="236">
        <f ca="1" t="shared" si="131"/>
        <v>13.3319879209511</v>
      </c>
      <c r="AN347" s="236">
        <f ca="1">INDEX(Photobiology!$21:$421,1+$AH347-380,AN$14)</f>
        <v>4.96022069527682e-9</v>
      </c>
      <c r="AO347" s="236">
        <f ca="1">INDEX(Photobiology!$21:$421,1+$AH347-380,AO$14)</f>
        <v>0.00032117002091677</v>
      </c>
      <c r="AP347" s="236">
        <f ca="1">INDEX(Photobiology!$21:$421,1+$AH347-380,AP$14)</f>
        <v>0.00413573782575858</v>
      </c>
      <c r="AQ347" s="236">
        <f ca="1">INDEX(Photobiology!$21:$421,1+$AH347-380,AQ$14)</f>
        <v>1.20041938493406e-5</v>
      </c>
      <c r="AR347" s="236">
        <f ca="1">INDEX(Photobiology!$21:$421,1+$AH347-380,AR$14)</f>
        <v>1.64145129156641e-6</v>
      </c>
      <c r="AS347" s="236">
        <f ca="1" t="shared" si="132"/>
        <v>4.73963028273861e+19</v>
      </c>
      <c r="AT347" s="236">
        <f ca="1">INDEX(Photobiology!$21:$421,1+$AH347-380,AT$14)</f>
        <v>3.0913556741102e-9</v>
      </c>
      <c r="AU347" s="236">
        <f ca="1">INDEX(Photobiology!$21:$421,1+$AH347-380,AU$14)</f>
        <v>0.000247033336466175</v>
      </c>
      <c r="AV347" s="236">
        <f ca="1">INDEX(Photobiology!$21:$421,1+$AH347-380,AV$14)</f>
        <v>0.00333481201724943</v>
      </c>
      <c r="AW347" s="236">
        <f ca="1">INDEX(Photobiology!$21:$421,1+$AH347-380,AW$14)</f>
        <v>8.66706415378053e-6</v>
      </c>
      <c r="AX347" s="236">
        <f ca="1">INDEX(Photobiology!$21:$421,1+$AH347-380,AX$14)</f>
        <v>1.13640794187676e-6</v>
      </c>
      <c r="AY347" s="236">
        <f ca="1" t="shared" si="119"/>
        <v>13.3319879209511</v>
      </c>
      <c r="AZ347" s="236">
        <f ca="1" t="shared" si="133"/>
        <v>6.61296023946824e-8</v>
      </c>
      <c r="BA347" s="236">
        <f ca="1" t="shared" si="120"/>
        <v>0.004281834839434</v>
      </c>
      <c r="BB347" s="236">
        <f ca="1" t="shared" si="121"/>
        <v>0.0551376067372341</v>
      </c>
      <c r="BC347" s="236">
        <f ca="1" t="shared" si="122"/>
        <v>0.000160039767400165</v>
      </c>
      <c r="BD347" s="236">
        <f ca="1" t="shared" si="123"/>
        <v>2.1883808791993e-5</v>
      </c>
    </row>
    <row r="348" s="234" customFormat="1" ht="0.2" customHeight="1" spans="7:56">
      <c r="G348" s="236"/>
      <c r="H348" s="236">
        <f t="shared" si="124"/>
        <v>707</v>
      </c>
      <c r="I348" s="236">
        <f>IF($H348&gt;$H347,INDEX(Spectra!348:348,1,MATCH($I$20,Spectra!$20:$20,0)),I347)</f>
        <v>3.46297220334354</v>
      </c>
      <c r="J348" s="236">
        <f>((Physics!$C$9*Physics!$C$10)/(Physics!$C$11*Physics!$C$12*$H348))^($J$17-$J$18)</f>
        <v>3.56011696696841e+18</v>
      </c>
      <c r="K348" s="236">
        <f t="shared" si="125"/>
        <v>1</v>
      </c>
      <c r="L348" s="236">
        <f ca="1">INDEX(Photobiology!$21:$421,1+$H348-380,10)</f>
        <v>0.002559876</v>
      </c>
      <c r="M348" s="236">
        <f ca="1" t="shared" si="126"/>
        <v>3.46297220334354</v>
      </c>
      <c r="N348" s="236">
        <f ca="1">INDEX(Photobiology!$21:$421,1+$H348-380,N$14)</f>
        <v>4.68636380403776e-9</v>
      </c>
      <c r="O348" s="236">
        <f ca="1">INDEX(Photobiology!$21:$421,1+$H348-380,O$14)</f>
        <v>0.000298937914225657</v>
      </c>
      <c r="P348" s="236">
        <f ca="1">INDEX(Photobiology!$21:$421,1+$H348-380,P$14)</f>
        <v>0.00384577613421483</v>
      </c>
      <c r="Q348" s="236">
        <f ca="1">INDEX(Photobiology!$21:$421,1+$H348-380,Q$14)</f>
        <v>1.12204945724589e-5</v>
      </c>
      <c r="R348" s="236">
        <f ca="1">INDEX(Photobiology!$21:$421,1+$H348-380,R$14)</f>
        <v>1.53770844680714e-6</v>
      </c>
      <c r="S348" s="236">
        <f ca="1" t="shared" si="127"/>
        <v>1.23285860972633e+19</v>
      </c>
      <c r="T348" s="236">
        <f ca="1">INDEX(Photobiology!$21:$421,1+$H348-380,T$14)</f>
        <v>2.91654890208856e-9</v>
      </c>
      <c r="U348" s="236">
        <f ca="1">INDEX(Photobiology!$21:$421,1+$H348-380,U$14)</f>
        <v>0.000229607913101796</v>
      </c>
      <c r="V348" s="236">
        <f ca="1">INDEX(Photobiology!$21:$421,1+$H348-380,V$14)</f>
        <v>0.00309661807965226</v>
      </c>
      <c r="W348" s="236">
        <f ca="1">INDEX(Photobiology!$21:$421,1+$H348-380,W$14)</f>
        <v>8.08977231188545e-6</v>
      </c>
      <c r="X348" s="236">
        <f ca="1">INDEX(Photobiology!$21:$421,1+$H348-380,X$14)</f>
        <v>1.06307902009742e-6</v>
      </c>
      <c r="Y348" s="236">
        <f ca="1" t="shared" si="114"/>
        <v>3.46297220334354</v>
      </c>
      <c r="Z348" s="236">
        <f ca="1" t="shared" si="128"/>
        <v>1.62287475881381e-8</v>
      </c>
      <c r="AA348" s="236">
        <f ca="1" t="shared" si="115"/>
        <v>0.00103521368748895</v>
      </c>
      <c r="AB348" s="236">
        <f ca="1" t="shared" si="116"/>
        <v>0.0133178158530679</v>
      </c>
      <c r="AC348" s="236">
        <f ca="1" t="shared" si="117"/>
        <v>3.88562608121922e-5</v>
      </c>
      <c r="AD348" s="236">
        <f ca="1" t="shared" si="118"/>
        <v>5.32504160813969e-6</v>
      </c>
      <c r="AE348" s="236"/>
      <c r="AF348" s="236"/>
      <c r="AG348" s="236"/>
      <c r="AH348" s="236">
        <f t="shared" si="129"/>
        <v>707</v>
      </c>
      <c r="AI348" s="236">
        <f>IF($AH348&gt;$AH347,INDEX(Spectra!348:348,1,MATCH($AI$20,Spectra!$20:$20,0)),AI347)</f>
        <v>1</v>
      </c>
      <c r="AJ348" s="236">
        <f>((Physics!$C$9*Physics!$C$10)/(Physics!$C$11*Physics!$C$12*$AH348))^($AJ$17-$AJ$18)</f>
        <v>3.56011696696841e+18</v>
      </c>
      <c r="AK348" s="236">
        <f t="shared" si="130"/>
        <v>1</v>
      </c>
      <c r="AL348" s="236">
        <f ca="1">INDEX(Photobiology!$21:$421,1+$AH348-380,10)</f>
        <v>0.002559876</v>
      </c>
      <c r="AM348" s="236">
        <f ca="1" t="shared" si="131"/>
        <v>13.3319879209511</v>
      </c>
      <c r="AN348" s="236">
        <f ca="1">INDEX(Photobiology!$21:$421,1+$AH348-380,AN$14)</f>
        <v>4.68636380403776e-9</v>
      </c>
      <c r="AO348" s="236">
        <f ca="1">INDEX(Photobiology!$21:$421,1+$AH348-380,AO$14)</f>
        <v>0.000298937914225657</v>
      </c>
      <c r="AP348" s="236">
        <f ca="1">INDEX(Photobiology!$21:$421,1+$AH348-380,AP$14)</f>
        <v>0.00384577613421483</v>
      </c>
      <c r="AQ348" s="236">
        <f ca="1">INDEX(Photobiology!$21:$421,1+$AH348-380,AQ$14)</f>
        <v>1.12204945724589e-5</v>
      </c>
      <c r="AR348" s="236">
        <f ca="1">INDEX(Photobiology!$21:$421,1+$AH348-380,AR$14)</f>
        <v>1.53770844680714e-6</v>
      </c>
      <c r="AS348" s="236">
        <f ca="1" t="shared" si="132"/>
        <v>4.7463436400796e+19</v>
      </c>
      <c r="AT348" s="236">
        <f ca="1">INDEX(Photobiology!$21:$421,1+$AH348-380,AT$14)</f>
        <v>2.91654890208856e-9</v>
      </c>
      <c r="AU348" s="236">
        <f ca="1">INDEX(Photobiology!$21:$421,1+$AH348-380,AU$14)</f>
        <v>0.000229607913101796</v>
      </c>
      <c r="AV348" s="236">
        <f ca="1">INDEX(Photobiology!$21:$421,1+$AH348-380,AV$14)</f>
        <v>0.00309661807965226</v>
      </c>
      <c r="AW348" s="236">
        <f ca="1">INDEX(Photobiology!$21:$421,1+$AH348-380,AW$14)</f>
        <v>8.08977231188545e-6</v>
      </c>
      <c r="AX348" s="236">
        <f ca="1">INDEX(Photobiology!$21:$421,1+$AH348-380,AX$14)</f>
        <v>1.06307902009742e-6</v>
      </c>
      <c r="AY348" s="236">
        <f ca="1" t="shared" si="119"/>
        <v>13.3319879209511</v>
      </c>
      <c r="AZ348" s="236">
        <f ca="1" t="shared" si="133"/>
        <v>6.24785456286141e-8</v>
      </c>
      <c r="BA348" s="236">
        <f ca="1" t="shared" si="120"/>
        <v>0.00398543666157079</v>
      </c>
      <c r="BB348" s="236">
        <f ca="1" t="shared" si="121"/>
        <v>0.0512718409680343</v>
      </c>
      <c r="BC348" s="236">
        <f ca="1" t="shared" si="122"/>
        <v>0.00014959149810712</v>
      </c>
      <c r="BD348" s="236">
        <f ca="1" t="shared" si="123"/>
        <v>2.05007104387773e-5</v>
      </c>
    </row>
    <row r="349" s="234" customFormat="1" ht="0.2" customHeight="1" spans="7:56">
      <c r="G349" s="236"/>
      <c r="H349" s="236">
        <f t="shared" si="124"/>
        <v>708</v>
      </c>
      <c r="I349" s="236">
        <f>IF($H349&gt;$H348,INDEX(Spectra!349:349,1,MATCH($I$20,Spectra!$20:$20,0)),I348)</f>
        <v>3.38035203482705</v>
      </c>
      <c r="J349" s="236">
        <f>((Physics!$C$9*Physics!$C$10)/(Physics!$C$11*Physics!$C$12*$H349))^($J$17-$J$18)</f>
        <v>3.56515249308859e+18</v>
      </c>
      <c r="K349" s="236">
        <f t="shared" si="125"/>
        <v>1</v>
      </c>
      <c r="L349" s="236">
        <f ca="1">INDEX(Photobiology!$21:$421,1+$H349-380,10)</f>
        <v>0.002393244</v>
      </c>
      <c r="M349" s="236">
        <f ca="1" t="shared" si="126"/>
        <v>3.38035203482705</v>
      </c>
      <c r="N349" s="236">
        <f ca="1">INDEX(Photobiology!$21:$421,1+$H349-380,N$14)</f>
        <v>4.42835062655341e-9</v>
      </c>
      <c r="O349" s="236">
        <f ca="1">INDEX(Photobiology!$21:$421,1+$H349-380,O$14)</f>
        <v>0.000278293459761736</v>
      </c>
      <c r="P349" s="236">
        <f ca="1">INDEX(Photobiology!$21:$421,1+$H349-380,P$14)</f>
        <v>0.00357633341097531</v>
      </c>
      <c r="Q349" s="236">
        <f ca="1">INDEX(Photobiology!$21:$421,1+$H349-380,Q$14)</f>
        <v>1.04899640540593e-5</v>
      </c>
      <c r="R349" s="236">
        <f ca="1">INDEX(Photobiology!$21:$421,1+$H349-380,R$14)</f>
        <v>1.44079104322885e-6</v>
      </c>
      <c r="S349" s="236">
        <f ca="1" t="shared" si="127"/>
        <v>1.20514704844807e+19</v>
      </c>
      <c r="T349" s="236">
        <f ca="1">INDEX(Photobiology!$21:$421,1+$H349-380,T$14)</f>
        <v>2.75208231028743e-9</v>
      </c>
      <c r="U349" s="236">
        <f ca="1">INDEX(Photobiology!$21:$421,1+$H349-380,U$14)</f>
        <v>0.000213449433944031</v>
      </c>
      <c r="V349" s="236">
        <f ca="1">INDEX(Photobiology!$21:$421,1+$H349-380,V$14)</f>
        <v>0.00287559553898367</v>
      </c>
      <c r="W349" s="236">
        <f ca="1">INDEX(Photobiology!$21:$421,1+$H349-380,W$14)</f>
        <v>7.5523908011526e-6</v>
      </c>
      <c r="X349" s="236">
        <f ca="1">INDEX(Photobiology!$21:$421,1+$H349-380,X$14)</f>
        <v>9.94669276343731e-7</v>
      </c>
      <c r="Y349" s="236">
        <f ca="1" t="shared" si="114"/>
        <v>3.38035203482705</v>
      </c>
      <c r="Z349" s="236">
        <f ca="1" t="shared" si="128"/>
        <v>1.49693840513975e-8</v>
      </c>
      <c r="AA349" s="236">
        <f ca="1" t="shared" si="115"/>
        <v>0.000940729862984644</v>
      </c>
      <c r="AB349" s="236">
        <f ca="1" t="shared" si="116"/>
        <v>0.0120892659230104</v>
      </c>
      <c r="AC349" s="236">
        <f ca="1" t="shared" si="117"/>
        <v>3.5459771335402e-5</v>
      </c>
      <c r="AD349" s="236">
        <f ca="1" t="shared" si="118"/>
        <v>4.87038093473923e-6</v>
      </c>
      <c r="AE349" s="236"/>
      <c r="AF349" s="236"/>
      <c r="AG349" s="236"/>
      <c r="AH349" s="236">
        <f t="shared" si="129"/>
        <v>708</v>
      </c>
      <c r="AI349" s="236">
        <f>IF($AH349&gt;$AH348,INDEX(Spectra!349:349,1,MATCH($AI$20,Spectra!$20:$20,0)),AI348)</f>
        <v>1</v>
      </c>
      <c r="AJ349" s="236">
        <f>((Physics!$C$9*Physics!$C$10)/(Physics!$C$11*Physics!$C$12*$AH349))^($AJ$17-$AJ$18)</f>
        <v>3.56515249308859e+18</v>
      </c>
      <c r="AK349" s="236">
        <f t="shared" si="130"/>
        <v>1</v>
      </c>
      <c r="AL349" s="236">
        <f ca="1">INDEX(Photobiology!$21:$421,1+$AH349-380,10)</f>
        <v>0.002393244</v>
      </c>
      <c r="AM349" s="236">
        <f ca="1" t="shared" si="131"/>
        <v>13.3319879209511</v>
      </c>
      <c r="AN349" s="236">
        <f ca="1">INDEX(Photobiology!$21:$421,1+$AH349-380,AN$14)</f>
        <v>4.42835062655341e-9</v>
      </c>
      <c r="AO349" s="236">
        <f ca="1">INDEX(Photobiology!$21:$421,1+$AH349-380,AO$14)</f>
        <v>0.000278293459761736</v>
      </c>
      <c r="AP349" s="236">
        <f ca="1">INDEX(Photobiology!$21:$421,1+$AH349-380,AP$14)</f>
        <v>0.00357633341097531</v>
      </c>
      <c r="AQ349" s="236">
        <f ca="1">INDEX(Photobiology!$21:$421,1+$AH349-380,AQ$14)</f>
        <v>1.04899640540593e-5</v>
      </c>
      <c r="AR349" s="236">
        <f ca="1">INDEX(Photobiology!$21:$421,1+$AH349-380,AR$14)</f>
        <v>1.44079104322885e-6</v>
      </c>
      <c r="AS349" s="236">
        <f ca="1" t="shared" si="132"/>
        <v>4.75305699742059e+19</v>
      </c>
      <c r="AT349" s="236">
        <f ca="1">INDEX(Photobiology!$21:$421,1+$AH349-380,AT$14)</f>
        <v>2.75208231028743e-9</v>
      </c>
      <c r="AU349" s="236">
        <f ca="1">INDEX(Photobiology!$21:$421,1+$AH349-380,AU$14)</f>
        <v>0.000213449433944031</v>
      </c>
      <c r="AV349" s="236">
        <f ca="1">INDEX(Photobiology!$21:$421,1+$AH349-380,AV$14)</f>
        <v>0.00287559553898367</v>
      </c>
      <c r="AW349" s="236">
        <f ca="1">INDEX(Photobiology!$21:$421,1+$AH349-380,AW$14)</f>
        <v>7.5523908011526e-6</v>
      </c>
      <c r="AX349" s="236">
        <f ca="1">INDEX(Photobiology!$21:$421,1+$AH349-380,AX$14)</f>
        <v>9.94669276343731e-7</v>
      </c>
      <c r="AY349" s="236">
        <f ca="1" t="shared" si="119"/>
        <v>13.3319879209511</v>
      </c>
      <c r="AZ349" s="236">
        <f ca="1" t="shared" si="133"/>
        <v>5.90387170629465e-8</v>
      </c>
      <c r="BA349" s="236">
        <f ca="1" t="shared" si="120"/>
        <v>0.00371020504402317</v>
      </c>
      <c r="BB349" s="236">
        <f ca="1" t="shared" si="121"/>
        <v>0.0476796338364168</v>
      </c>
      <c r="BC349" s="236">
        <f ca="1" t="shared" si="122"/>
        <v>0.00013985207405993</v>
      </c>
      <c r="BD349" s="236">
        <f ca="1" t="shared" si="123"/>
        <v>1.92086087849416e-5</v>
      </c>
    </row>
    <row r="350" s="234" customFormat="1" ht="0.2" customHeight="1" spans="7:56">
      <c r="G350" s="236"/>
      <c r="H350" s="236">
        <f t="shared" si="124"/>
        <v>709</v>
      </c>
      <c r="I350" s="236">
        <f>IF($H350&gt;$H349,INDEX(Spectra!350:350,1,MATCH($I$20,Spectra!$20:$20,0)),I349)</f>
        <v>3.28580677784239</v>
      </c>
      <c r="J350" s="236">
        <f>((Physics!$C$9*Physics!$C$10)/(Physics!$C$11*Physics!$C$12*$H350))^($J$17-$J$18)</f>
        <v>3.57018801920877e+18</v>
      </c>
      <c r="K350" s="236">
        <f t="shared" si="125"/>
        <v>1</v>
      </c>
      <c r="L350" s="236">
        <f ca="1">INDEX(Photobiology!$21:$421,1+$H350-380,10)</f>
        <v>0.002237275</v>
      </c>
      <c r="M350" s="236">
        <f ca="1" t="shared" si="126"/>
        <v>3.28580677784239</v>
      </c>
      <c r="N350" s="236">
        <f ca="1">INDEX(Photobiology!$21:$421,1+$H350-380,N$14)</f>
        <v>4.18521718581124e-9</v>
      </c>
      <c r="O350" s="236">
        <f ca="1">INDEX(Photobiology!$21:$421,1+$H350-380,O$14)</f>
        <v>0.000259121232075342</v>
      </c>
      <c r="P350" s="236">
        <f ca="1">INDEX(Photobiology!$21:$421,1+$H350-380,P$14)</f>
        <v>0.00332595983283714</v>
      </c>
      <c r="Q350" s="236">
        <f ca="1">INDEX(Photobiology!$21:$421,1+$H350-380,Q$14)</f>
        <v>9.80887048034217e-6</v>
      </c>
      <c r="R350" s="236">
        <f ca="1">INDEX(Photobiology!$21:$421,1+$H350-380,R$14)</f>
        <v>1.35023387662787e-6</v>
      </c>
      <c r="S350" s="236">
        <f ca="1" t="shared" si="127"/>
        <v>1.17309479916879e+19</v>
      </c>
      <c r="T350" s="236">
        <f ca="1">INDEX(Photobiology!$21:$421,1+$H350-380,T$14)</f>
        <v>2.5973139093892e-9</v>
      </c>
      <c r="U350" s="236">
        <f ca="1">INDEX(Photobiology!$21:$421,1+$H350-380,U$14)</f>
        <v>0.000198464132388268</v>
      </c>
      <c r="V350" s="236">
        <f ca="1">INDEX(Photobiology!$21:$421,1+$H350-380,V$14)</f>
        <v>0.00267050763347472</v>
      </c>
      <c r="W350" s="236">
        <f ca="1">INDEX(Photobiology!$21:$421,1+$H350-380,W$14)</f>
        <v>7.05206776848024e-6</v>
      </c>
      <c r="X350" s="236">
        <f ca="1">INDEX(Photobiology!$21:$421,1+$H350-380,X$14)</f>
        <v>9.30837189101262e-7</v>
      </c>
      <c r="Y350" s="236">
        <f ca="1" t="shared" si="114"/>
        <v>3.28580677784239</v>
      </c>
      <c r="Z350" s="236">
        <f ca="1" t="shared" si="128"/>
        <v>1.3751814995881e-8</v>
      </c>
      <c r="AA350" s="236">
        <f ca="1" t="shared" si="115"/>
        <v>0.00085142230063603</v>
      </c>
      <c r="AB350" s="236">
        <f ca="1" t="shared" si="116"/>
        <v>0.0109284613615678</v>
      </c>
      <c r="AC350" s="236">
        <f ca="1" t="shared" si="117"/>
        <v>3.22300531072864e-5</v>
      </c>
      <c r="AD350" s="236">
        <f ca="1" t="shared" si="118"/>
        <v>4.43660762349626e-6</v>
      </c>
      <c r="AE350" s="236"/>
      <c r="AF350" s="236"/>
      <c r="AG350" s="236"/>
      <c r="AH350" s="236">
        <f t="shared" si="129"/>
        <v>709</v>
      </c>
      <c r="AI350" s="236">
        <f>IF($AH350&gt;$AH349,INDEX(Spectra!350:350,1,MATCH($AI$20,Spectra!$20:$20,0)),AI349)</f>
        <v>1</v>
      </c>
      <c r="AJ350" s="236">
        <f>((Physics!$C$9*Physics!$C$10)/(Physics!$C$11*Physics!$C$12*$AH350))^($AJ$17-$AJ$18)</f>
        <v>3.57018801920877e+18</v>
      </c>
      <c r="AK350" s="236">
        <f t="shared" si="130"/>
        <v>1</v>
      </c>
      <c r="AL350" s="236">
        <f ca="1">INDEX(Photobiology!$21:$421,1+$AH350-380,10)</f>
        <v>0.002237275</v>
      </c>
      <c r="AM350" s="236">
        <f ca="1" t="shared" si="131"/>
        <v>13.3319879209511</v>
      </c>
      <c r="AN350" s="236">
        <f ca="1">INDEX(Photobiology!$21:$421,1+$AH350-380,AN$14)</f>
        <v>4.18521718581124e-9</v>
      </c>
      <c r="AO350" s="236">
        <f ca="1">INDEX(Photobiology!$21:$421,1+$AH350-380,AO$14)</f>
        <v>0.000259121232075342</v>
      </c>
      <c r="AP350" s="236">
        <f ca="1">INDEX(Photobiology!$21:$421,1+$AH350-380,AP$14)</f>
        <v>0.00332595983283714</v>
      </c>
      <c r="AQ350" s="236">
        <f ca="1">INDEX(Photobiology!$21:$421,1+$AH350-380,AQ$14)</f>
        <v>9.80887048034217e-6</v>
      </c>
      <c r="AR350" s="236">
        <f ca="1">INDEX(Photobiology!$21:$421,1+$AH350-380,AR$14)</f>
        <v>1.35023387662787e-6</v>
      </c>
      <c r="AS350" s="236">
        <f ca="1" t="shared" si="132"/>
        <v>4.75977035476158e+19</v>
      </c>
      <c r="AT350" s="236">
        <f ca="1">INDEX(Photobiology!$21:$421,1+$AH350-380,AT$14)</f>
        <v>2.5973139093892e-9</v>
      </c>
      <c r="AU350" s="236">
        <f ca="1">INDEX(Photobiology!$21:$421,1+$AH350-380,AU$14)</f>
        <v>0.000198464132388268</v>
      </c>
      <c r="AV350" s="236">
        <f ca="1">INDEX(Photobiology!$21:$421,1+$AH350-380,AV$14)</f>
        <v>0.00267050763347472</v>
      </c>
      <c r="AW350" s="236">
        <f ca="1">INDEX(Photobiology!$21:$421,1+$AH350-380,AW$14)</f>
        <v>7.05206776848024e-6</v>
      </c>
      <c r="AX350" s="236">
        <f ca="1">INDEX(Photobiology!$21:$421,1+$AH350-380,AX$14)</f>
        <v>9.30837189101262e-7</v>
      </c>
      <c r="AY350" s="236">
        <f ca="1" t="shared" si="119"/>
        <v>13.3319879209511</v>
      </c>
      <c r="AZ350" s="236">
        <f ca="1" t="shared" si="133"/>
        <v>5.57972649677926e-8</v>
      </c>
      <c r="BA350" s="236">
        <f ca="1" t="shared" si="120"/>
        <v>0.00345460113609044</v>
      </c>
      <c r="BB350" s="236">
        <f ca="1" t="shared" si="121"/>
        <v>0.0443416563169534</v>
      </c>
      <c r="BC350" s="236">
        <f ca="1" t="shared" si="122"/>
        <v>0.000130771742762096</v>
      </c>
      <c r="BD350" s="236">
        <f ca="1" t="shared" si="123"/>
        <v>1.80013017336618e-5</v>
      </c>
    </row>
    <row r="351" s="234" customFormat="1" ht="0.2" customHeight="1" spans="7:56">
      <c r="G351" s="236"/>
      <c r="H351" s="236">
        <f t="shared" si="124"/>
        <v>710</v>
      </c>
      <c r="I351" s="236">
        <f>IF($H351&gt;$H350,INDEX(Spectra!351:351,1,MATCH($I$20,Spectra!$20:$20,0)),I350)</f>
        <v>3.20027676629493</v>
      </c>
      <c r="J351" s="236">
        <f>((Physics!$C$9*Physics!$C$10)/(Physics!$C$11*Physics!$C$12*$H351))^($J$17-$J$18)</f>
        <v>3.57522354532895e+18</v>
      </c>
      <c r="K351" s="236">
        <f t="shared" si="125"/>
        <v>1</v>
      </c>
      <c r="L351" s="236">
        <f ca="1">INDEX(Photobiology!$21:$421,1+$H351-380,10)</f>
        <v>0.002091</v>
      </c>
      <c r="M351" s="236">
        <f ca="1" t="shared" si="126"/>
        <v>3.20027676629493</v>
      </c>
      <c r="N351" s="236">
        <f ca="1">INDEX(Photobiology!$21:$421,1+$H351-380,N$14)</f>
        <v>3.9560702956649e-9</v>
      </c>
      <c r="O351" s="236">
        <f ca="1">INDEX(Photobiology!$21:$421,1+$H351-380,O$14)</f>
        <v>0.000241312044946879</v>
      </c>
      <c r="P351" s="236">
        <f ca="1">INDEX(Photobiology!$21:$421,1+$H351-380,P$14)</f>
        <v>0.00309332819434179</v>
      </c>
      <c r="Q351" s="236">
        <f ca="1">INDEX(Photobiology!$21:$421,1+$H351-380,Q$14)</f>
        <v>9.17373097406504e-6</v>
      </c>
      <c r="R351" s="236">
        <f ca="1">INDEX(Photobiology!$21:$421,1+$H351-380,R$14)</f>
        <v>1.26560155571034e-6</v>
      </c>
      <c r="S351" s="236">
        <f ca="1" t="shared" si="127"/>
        <v>1.14417048464268e+19</v>
      </c>
      <c r="T351" s="236">
        <f ca="1">INDEX(Photobiology!$21:$421,1+$H351-380,T$14)</f>
        <v>2.45164919731346e-9</v>
      </c>
      <c r="U351" s="236">
        <f ca="1">INDEX(Photobiology!$21:$421,1+$H351-380,U$14)</f>
        <v>0.000184563542064786</v>
      </c>
      <c r="V351" s="236">
        <f ca="1">INDEX(Photobiology!$21:$421,1+$H351-380,V$14)</f>
        <v>0.00248022288363209</v>
      </c>
      <c r="W351" s="236">
        <f ca="1">INDEX(Photobiology!$21:$421,1+$H351-380,W$14)</f>
        <v>6.58614614790959e-6</v>
      </c>
      <c r="X351" s="236">
        <f ca="1">INDEX(Photobiology!$21:$421,1+$H351-380,X$14)</f>
        <v>8.71263684682898e-7</v>
      </c>
      <c r="Y351" s="236">
        <f ca="1" t="shared" si="114"/>
        <v>3.20027676629493</v>
      </c>
      <c r="Z351" s="236">
        <f ca="1" t="shared" si="128"/>
        <v>1.26605198530459e-8</v>
      </c>
      <c r="AA351" s="236">
        <f ca="1" t="shared" si="115"/>
        <v>0.000772265330870615</v>
      </c>
      <c r="AB351" s="236">
        <f ca="1" t="shared" si="116"/>
        <v>0.00989950635087708</v>
      </c>
      <c r="AC351" s="236">
        <f ca="1" t="shared" si="117"/>
        <v>2.93584780965405e-5</v>
      </c>
      <c r="AD351" s="236">
        <f ca="1" t="shared" si="118"/>
        <v>4.05027525412652e-6</v>
      </c>
      <c r="AE351" s="236"/>
      <c r="AF351" s="236"/>
      <c r="AG351" s="236"/>
      <c r="AH351" s="236">
        <f t="shared" si="129"/>
        <v>710</v>
      </c>
      <c r="AI351" s="236">
        <f>IF($AH351&gt;$AH350,INDEX(Spectra!351:351,1,MATCH($AI$20,Spectra!$20:$20,0)),AI350)</f>
        <v>1</v>
      </c>
      <c r="AJ351" s="236">
        <f>((Physics!$C$9*Physics!$C$10)/(Physics!$C$11*Physics!$C$12*$AH351))^($AJ$17-$AJ$18)</f>
        <v>3.57522354532895e+18</v>
      </c>
      <c r="AK351" s="236">
        <f t="shared" si="130"/>
        <v>1</v>
      </c>
      <c r="AL351" s="236">
        <f ca="1">INDEX(Photobiology!$21:$421,1+$AH351-380,10)</f>
        <v>0.002091</v>
      </c>
      <c r="AM351" s="236">
        <f ca="1" t="shared" si="131"/>
        <v>13.3319879209511</v>
      </c>
      <c r="AN351" s="236">
        <f ca="1">INDEX(Photobiology!$21:$421,1+$AH351-380,AN$14)</f>
        <v>3.9560702956649e-9</v>
      </c>
      <c r="AO351" s="236">
        <f ca="1">INDEX(Photobiology!$21:$421,1+$AH351-380,AO$14)</f>
        <v>0.000241312044946879</v>
      </c>
      <c r="AP351" s="236">
        <f ca="1">INDEX(Photobiology!$21:$421,1+$AH351-380,AP$14)</f>
        <v>0.00309332819434179</v>
      </c>
      <c r="AQ351" s="236">
        <f ca="1">INDEX(Photobiology!$21:$421,1+$AH351-380,AQ$14)</f>
        <v>9.17373097406504e-6</v>
      </c>
      <c r="AR351" s="236">
        <f ca="1">INDEX(Photobiology!$21:$421,1+$AH351-380,AR$14)</f>
        <v>1.26560155571034e-6</v>
      </c>
      <c r="AS351" s="236">
        <f ca="1" t="shared" si="132"/>
        <v>4.76648371210257e+19</v>
      </c>
      <c r="AT351" s="236">
        <f ca="1">INDEX(Photobiology!$21:$421,1+$AH351-380,AT$14)</f>
        <v>2.45164919731346e-9</v>
      </c>
      <c r="AU351" s="236">
        <f ca="1">INDEX(Photobiology!$21:$421,1+$AH351-380,AU$14)</f>
        <v>0.000184563542064786</v>
      </c>
      <c r="AV351" s="236">
        <f ca="1">INDEX(Photobiology!$21:$421,1+$AH351-380,AV$14)</f>
        <v>0.00248022288363209</v>
      </c>
      <c r="AW351" s="236">
        <f ca="1">INDEX(Photobiology!$21:$421,1+$AH351-380,AW$14)</f>
        <v>6.58614614790959e-6</v>
      </c>
      <c r="AX351" s="236">
        <f ca="1">INDEX(Photobiology!$21:$421,1+$AH351-380,AX$14)</f>
        <v>8.71263684682898e-7</v>
      </c>
      <c r="AY351" s="236">
        <f ca="1" t="shared" si="119"/>
        <v>13.3319879209511</v>
      </c>
      <c r="AZ351" s="236">
        <f ca="1" t="shared" si="133"/>
        <v>5.27422813962381e-8</v>
      </c>
      <c r="BA351" s="236">
        <f ca="1" t="shared" si="120"/>
        <v>0.00321716926841181</v>
      </c>
      <c r="BB351" s="236">
        <f ca="1" t="shared" si="121"/>
        <v>0.0412402141225023</v>
      </c>
      <c r="BC351" s="236">
        <f ca="1" t="shared" si="122"/>
        <v>0.00012230407053629</v>
      </c>
      <c r="BD351" s="236">
        <f ca="1" t="shared" si="123"/>
        <v>1.68729846534672e-5</v>
      </c>
    </row>
    <row r="352" s="234" customFormat="1" ht="0.2" customHeight="1" spans="7:56">
      <c r="G352" s="236"/>
      <c r="H352" s="236">
        <f t="shared" si="124"/>
        <v>711</v>
      </c>
      <c r="I352" s="236">
        <f>IF($H352&gt;$H351,INDEX(Spectra!352:352,1,MATCH($I$20,Spectra!$20:$20,0)),I351)</f>
        <v>3.12685616362704</v>
      </c>
      <c r="J352" s="236">
        <f>((Physics!$C$9*Physics!$C$10)/(Physics!$C$11*Physics!$C$12*$H352))^($J$17-$J$18)</f>
        <v>3.58025907144913e+18</v>
      </c>
      <c r="K352" s="236">
        <f t="shared" si="125"/>
        <v>1</v>
      </c>
      <c r="L352" s="236">
        <f ca="1">INDEX(Photobiology!$21:$421,1+$H352-380,10)</f>
        <v>0.001953587</v>
      </c>
      <c r="M352" s="236">
        <f ca="1" t="shared" si="126"/>
        <v>3.12685616362704</v>
      </c>
      <c r="N352" s="236">
        <f ca="1">INDEX(Photobiology!$21:$421,1+$H352-380,N$14)</f>
        <v>3.73999481405283e-9</v>
      </c>
      <c r="O352" s="236">
        <f ca="1">INDEX(Photobiology!$21:$421,1+$H352-380,O$14)</f>
        <v>0.000224762058003513</v>
      </c>
      <c r="P352" s="236">
        <f ca="1">INDEX(Photobiology!$21:$421,1+$H352-380,P$14)</f>
        <v>0.00287711353428713</v>
      </c>
      <c r="Q352" s="236">
        <f ca="1">INDEX(Photobiology!$21:$421,1+$H352-380,Q$14)</f>
        <v>8.58112048863238e-6</v>
      </c>
      <c r="R352" s="236">
        <f ca="1">INDEX(Photobiology!$21:$421,1+$H352-380,R$14)</f>
        <v>1.1864651876356e-6</v>
      </c>
      <c r="S352" s="236">
        <f ca="1" t="shared" si="127"/>
        <v>1.11949551449423e+19</v>
      </c>
      <c r="T352" s="236">
        <f ca="1">INDEX(Photobiology!$21:$421,1+$H352-380,T$14)</f>
        <v>2.31448342923101e-9</v>
      </c>
      <c r="U352" s="236">
        <f ca="1">INDEX(Photobiology!$21:$421,1+$H352-380,U$14)</f>
        <v>0.000171663777237176</v>
      </c>
      <c r="V352" s="236">
        <f ca="1">INDEX(Photobiology!$21:$421,1+$H352-380,V$14)</f>
        <v>0.00230361797243759</v>
      </c>
      <c r="W352" s="236">
        <f ca="1">INDEX(Photobiology!$21:$421,1+$H352-380,W$14)</f>
        <v>6.15202528208699e-6</v>
      </c>
      <c r="X352" s="236">
        <f ca="1">INDEX(Photobiology!$21:$421,1+$H352-380,X$14)</f>
        <v>8.1563595183565e-7</v>
      </c>
      <c r="Y352" s="236">
        <f ca="1" t="shared" si="114"/>
        <v>3.12685616362704</v>
      </c>
      <c r="Z352" s="236">
        <f ca="1" t="shared" si="128"/>
        <v>1.16944258362543e-8</v>
      </c>
      <c r="AA352" s="236">
        <f ca="1" t="shared" si="115"/>
        <v>0.000702798626417783</v>
      </c>
      <c r="AB352" s="236">
        <f ca="1" t="shared" si="116"/>
        <v>0.00899632018814049</v>
      </c>
      <c r="AC352" s="236">
        <f ca="1" t="shared" si="117"/>
        <v>2.68319294907064e-5</v>
      </c>
      <c r="AD352" s="236">
        <f ca="1" t="shared" si="118"/>
        <v>3.70990598488729e-6</v>
      </c>
      <c r="AE352" s="236"/>
      <c r="AF352" s="236"/>
      <c r="AG352" s="236"/>
      <c r="AH352" s="236">
        <f t="shared" si="129"/>
        <v>711</v>
      </c>
      <c r="AI352" s="236">
        <f>IF($AH352&gt;$AH351,INDEX(Spectra!352:352,1,MATCH($AI$20,Spectra!$20:$20,0)),AI351)</f>
        <v>1</v>
      </c>
      <c r="AJ352" s="236">
        <f>((Physics!$C$9*Physics!$C$10)/(Physics!$C$11*Physics!$C$12*$AH352))^($AJ$17-$AJ$18)</f>
        <v>3.58025907144913e+18</v>
      </c>
      <c r="AK352" s="236">
        <f t="shared" si="130"/>
        <v>1</v>
      </c>
      <c r="AL352" s="236">
        <f ca="1">INDEX(Photobiology!$21:$421,1+$AH352-380,10)</f>
        <v>0.001953587</v>
      </c>
      <c r="AM352" s="236">
        <f ca="1" t="shared" si="131"/>
        <v>13.3319879209511</v>
      </c>
      <c r="AN352" s="236">
        <f ca="1">INDEX(Photobiology!$21:$421,1+$AH352-380,AN$14)</f>
        <v>3.73999481405283e-9</v>
      </c>
      <c r="AO352" s="236">
        <f ca="1">INDEX(Photobiology!$21:$421,1+$AH352-380,AO$14)</f>
        <v>0.000224762058003513</v>
      </c>
      <c r="AP352" s="236">
        <f ca="1">INDEX(Photobiology!$21:$421,1+$AH352-380,AP$14)</f>
        <v>0.00287711353428713</v>
      </c>
      <c r="AQ352" s="236">
        <f ca="1">INDEX(Photobiology!$21:$421,1+$AH352-380,AQ$14)</f>
        <v>8.58112048863238e-6</v>
      </c>
      <c r="AR352" s="236">
        <f ca="1">INDEX(Photobiology!$21:$421,1+$AH352-380,AR$14)</f>
        <v>1.1864651876356e-6</v>
      </c>
      <c r="AS352" s="236">
        <f ca="1" t="shared" si="132"/>
        <v>4.77319706944356e+19</v>
      </c>
      <c r="AT352" s="236">
        <f ca="1">INDEX(Photobiology!$21:$421,1+$AH352-380,AT$14)</f>
        <v>2.31448342923101e-9</v>
      </c>
      <c r="AU352" s="236">
        <f ca="1">INDEX(Photobiology!$21:$421,1+$AH352-380,AU$14)</f>
        <v>0.000171663777237176</v>
      </c>
      <c r="AV352" s="236">
        <f ca="1">INDEX(Photobiology!$21:$421,1+$AH352-380,AV$14)</f>
        <v>0.00230361797243759</v>
      </c>
      <c r="AW352" s="236">
        <f ca="1">INDEX(Photobiology!$21:$421,1+$AH352-380,AW$14)</f>
        <v>6.15202528208699e-6</v>
      </c>
      <c r="AX352" s="236">
        <f ca="1">INDEX(Photobiology!$21:$421,1+$AH352-380,AX$14)</f>
        <v>8.1563595183565e-7</v>
      </c>
      <c r="AY352" s="236">
        <f ca="1" t="shared" si="119"/>
        <v>13.3319879209511</v>
      </c>
      <c r="AZ352" s="236">
        <f ca="1" t="shared" si="133"/>
        <v>4.98615656853722e-8</v>
      </c>
      <c r="BA352" s="236">
        <f ca="1" t="shared" si="120"/>
        <v>0.00299652504239096</v>
      </c>
      <c r="BB352" s="236">
        <f ca="1" t="shared" si="121"/>
        <v>0.0383576428863211</v>
      </c>
      <c r="BC352" s="236">
        <f ca="1" t="shared" si="122"/>
        <v>0.000114403394702673</v>
      </c>
      <c r="BD352" s="236">
        <f ca="1" t="shared" si="123"/>
        <v>1.58179395501868e-5</v>
      </c>
    </row>
    <row r="353" s="234" customFormat="1" ht="0.2" customHeight="1" spans="7:56">
      <c r="G353" s="236"/>
      <c r="H353" s="236">
        <f t="shared" si="124"/>
        <v>712</v>
      </c>
      <c r="I353" s="236">
        <f>IF($H353&gt;$H352,INDEX(Spectra!353:353,1,MATCH($I$20,Spectra!$20:$20,0)),I352)</f>
        <v>3.03839239552452</v>
      </c>
      <c r="J353" s="236">
        <f>((Physics!$C$9*Physics!$C$10)/(Physics!$C$11*Physics!$C$12*$H353))^($J$17-$J$18)</f>
        <v>3.58529459756932e+18</v>
      </c>
      <c r="K353" s="236">
        <f t="shared" si="125"/>
        <v>1</v>
      </c>
      <c r="L353" s="236">
        <f ca="1">INDEX(Photobiology!$21:$421,1+$H353-380,10)</f>
        <v>0.00182458</v>
      </c>
      <c r="M353" s="236">
        <f ca="1" t="shared" si="126"/>
        <v>3.03839239552452</v>
      </c>
      <c r="N353" s="236">
        <f ca="1">INDEX(Photobiology!$21:$421,1+$H353-380,N$14)</f>
        <v>3.5362828921331e-9</v>
      </c>
      <c r="O353" s="236">
        <f ca="1">INDEX(Photobiology!$21:$421,1+$H353-380,O$14)</f>
        <v>0.000209384726967631</v>
      </c>
      <c r="P353" s="236">
        <f ca="1">INDEX(Photobiology!$21:$421,1+$H353-380,P$14)</f>
        <v>0.00267621499653859</v>
      </c>
      <c r="Q353" s="236">
        <f ca="1">INDEX(Photobiology!$21:$421,1+$H353-380,Q$14)</f>
        <v>8.02830752830897e-6</v>
      </c>
      <c r="R353" s="236">
        <f ca="1">INDEX(Photobiology!$21:$421,1+$H353-380,R$14)</f>
        <v>1.11248201842035e-6</v>
      </c>
      <c r="S353" s="236">
        <f ca="1" t="shared" si="127"/>
        <v>1.08935318409698e+19</v>
      </c>
      <c r="T353" s="236">
        <f ca="1">INDEX(Photobiology!$21:$421,1+$H353-380,T$14)</f>
        <v>2.18534336030697e-9</v>
      </c>
      <c r="U353" s="236">
        <f ca="1">INDEX(Photobiology!$21:$421,1+$H353-380,U$14)</f>
        <v>0.000159694614911613</v>
      </c>
      <c r="V353" s="236">
        <f ca="1">INDEX(Photobiology!$21:$421,1+$H353-380,V$14)</f>
        <v>0.00213975507579239</v>
      </c>
      <c r="W353" s="236">
        <f ca="1">INDEX(Photobiology!$21:$421,1+$H353-380,W$14)</f>
        <v>5.7476156501376e-6</v>
      </c>
      <c r="X353" s="236">
        <f ca="1">INDEX(Photobiology!$21:$421,1+$H353-380,X$14)</f>
        <v>7.63702069695099e-7</v>
      </c>
      <c r="Y353" s="236">
        <f ca="1" t="shared" si="114"/>
        <v>3.03839239552452</v>
      </c>
      <c r="Z353" s="236">
        <f ca="1" t="shared" si="128"/>
        <v>1.07446150478807e-8</v>
      </c>
      <c r="AA353" s="236">
        <f ca="1" t="shared" si="115"/>
        <v>0.000636192962157428</v>
      </c>
      <c r="AB353" s="236">
        <f ca="1" t="shared" si="116"/>
        <v>0.00813139129427153</v>
      </c>
      <c r="AC353" s="236">
        <f ca="1" t="shared" si="117"/>
        <v>2.43931485429462e-5</v>
      </c>
      <c r="AD353" s="236">
        <f ca="1" t="shared" si="118"/>
        <v>3.38015690492616e-6</v>
      </c>
      <c r="AE353" s="236"/>
      <c r="AF353" s="236"/>
      <c r="AG353" s="236"/>
      <c r="AH353" s="236">
        <f t="shared" si="129"/>
        <v>712</v>
      </c>
      <c r="AI353" s="236">
        <f>IF($AH353&gt;$AH352,INDEX(Spectra!353:353,1,MATCH($AI$20,Spectra!$20:$20,0)),AI352)</f>
        <v>1</v>
      </c>
      <c r="AJ353" s="236">
        <f>((Physics!$C$9*Physics!$C$10)/(Physics!$C$11*Physics!$C$12*$AH353))^($AJ$17-$AJ$18)</f>
        <v>3.58529459756932e+18</v>
      </c>
      <c r="AK353" s="236">
        <f t="shared" si="130"/>
        <v>1</v>
      </c>
      <c r="AL353" s="236">
        <f ca="1">INDEX(Photobiology!$21:$421,1+$AH353-380,10)</f>
        <v>0.00182458</v>
      </c>
      <c r="AM353" s="236">
        <f ca="1" t="shared" si="131"/>
        <v>13.3319879209511</v>
      </c>
      <c r="AN353" s="236">
        <f ca="1">INDEX(Photobiology!$21:$421,1+$AH353-380,AN$14)</f>
        <v>3.5362828921331e-9</v>
      </c>
      <c r="AO353" s="236">
        <f ca="1">INDEX(Photobiology!$21:$421,1+$AH353-380,AO$14)</f>
        <v>0.000209384726967631</v>
      </c>
      <c r="AP353" s="236">
        <f ca="1">INDEX(Photobiology!$21:$421,1+$AH353-380,AP$14)</f>
        <v>0.00267621499653859</v>
      </c>
      <c r="AQ353" s="236">
        <f ca="1">INDEX(Photobiology!$21:$421,1+$AH353-380,AQ$14)</f>
        <v>8.02830752830897e-6</v>
      </c>
      <c r="AR353" s="236">
        <f ca="1">INDEX(Photobiology!$21:$421,1+$AH353-380,AR$14)</f>
        <v>1.11248201842035e-6</v>
      </c>
      <c r="AS353" s="236">
        <f ca="1" t="shared" si="132"/>
        <v>4.77991042678455e+19</v>
      </c>
      <c r="AT353" s="236">
        <f ca="1">INDEX(Photobiology!$21:$421,1+$AH353-380,AT$14)</f>
        <v>2.18534336030697e-9</v>
      </c>
      <c r="AU353" s="236">
        <f ca="1">INDEX(Photobiology!$21:$421,1+$AH353-380,AU$14)</f>
        <v>0.000159694614911613</v>
      </c>
      <c r="AV353" s="236">
        <f ca="1">INDEX(Photobiology!$21:$421,1+$AH353-380,AV$14)</f>
        <v>0.00213975507579239</v>
      </c>
      <c r="AW353" s="236">
        <f ca="1">INDEX(Photobiology!$21:$421,1+$AH353-380,AW$14)</f>
        <v>5.7476156501376e-6</v>
      </c>
      <c r="AX353" s="236">
        <f ca="1">INDEX(Photobiology!$21:$421,1+$AH353-380,AX$14)</f>
        <v>7.63702069695099e-7</v>
      </c>
      <c r="AY353" s="236">
        <f ca="1" t="shared" si="119"/>
        <v>13.3319879209511</v>
      </c>
      <c r="AZ353" s="236">
        <f ca="1" t="shared" si="133"/>
        <v>4.71456808029847e-8</v>
      </c>
      <c r="BA353" s="236">
        <f ca="1" t="shared" si="120"/>
        <v>0.00279151465076411</v>
      </c>
      <c r="BB353" s="236">
        <f ca="1" t="shared" si="121"/>
        <v>0.0356792660077208</v>
      </c>
      <c r="BC353" s="236">
        <f ca="1" t="shared" si="122"/>
        <v>0.000107033298993096</v>
      </c>
      <c r="BD353" s="236">
        <f ca="1" t="shared" si="123"/>
        <v>1.48315968318555e-5</v>
      </c>
    </row>
    <row r="354" s="234" customFormat="1" ht="0.2" customHeight="1" spans="7:56">
      <c r="G354" s="236"/>
      <c r="H354" s="236">
        <f t="shared" si="124"/>
        <v>713</v>
      </c>
      <c r="I354" s="236">
        <f>IF($H354&gt;$H353,INDEX(Spectra!354:354,1,MATCH($I$20,Spectra!$20:$20,0)),I353)</f>
        <v>2.96532776094337</v>
      </c>
      <c r="J354" s="236">
        <f>((Physics!$C$9*Physics!$C$10)/(Physics!$C$11*Physics!$C$12*$H354))^($J$17-$J$18)</f>
        <v>3.5903301236895e+18</v>
      </c>
      <c r="K354" s="236">
        <f t="shared" si="125"/>
        <v>1</v>
      </c>
      <c r="L354" s="236">
        <f ca="1">INDEX(Photobiology!$21:$421,1+$H354-380,10)</f>
        <v>0.00170358</v>
      </c>
      <c r="M354" s="236">
        <f ca="1" t="shared" si="126"/>
        <v>2.96532776094337</v>
      </c>
      <c r="N354" s="236">
        <f ca="1">INDEX(Photobiology!$21:$421,1+$H354-380,N$14)</f>
        <v>3.34420583267344e-9</v>
      </c>
      <c r="O354" s="236">
        <f ca="1">INDEX(Photobiology!$21:$421,1+$H354-380,O$14)</f>
        <v>0.000195094039023223</v>
      </c>
      <c r="P354" s="236">
        <f ca="1">INDEX(Photobiology!$21:$421,1+$H354-380,P$14)</f>
        <v>0.00248955657479643</v>
      </c>
      <c r="Q354" s="236">
        <f ca="1">INDEX(Photobiology!$21:$421,1+$H354-380,Q$14)</f>
        <v>7.51250890837633e-6</v>
      </c>
      <c r="R354" s="236">
        <f ca="1">INDEX(Photobiology!$21:$421,1+$H354-380,R$14)</f>
        <v>1.04329950180887e-6</v>
      </c>
      <c r="S354" s="236">
        <f ca="1" t="shared" si="127"/>
        <v>1.06465055867277e+19</v>
      </c>
      <c r="T354" s="236">
        <f ca="1">INDEX(Photobiology!$21:$421,1+$H354-380,T$14)</f>
        <v>2.06374553488964e-9</v>
      </c>
      <c r="U354" s="236">
        <f ca="1">INDEX(Photobiology!$21:$421,1+$H354-380,U$14)</f>
        <v>0.00014858663082152</v>
      </c>
      <c r="V354" s="236">
        <f ca="1">INDEX(Photobiology!$21:$421,1+$H354-380,V$14)</f>
        <v>0.00198772147158498</v>
      </c>
      <c r="W354" s="236">
        <f ca="1">INDEX(Photobiology!$21:$421,1+$H354-380,W$14)</f>
        <v>5.37080250039365e-6</v>
      </c>
      <c r="X354" s="236">
        <f ca="1">INDEX(Photobiology!$21:$421,1+$H354-380,X$14)</f>
        <v>7.15204817878904e-7</v>
      </c>
      <c r="Y354" s="236">
        <f ca="1" t="shared" si="114"/>
        <v>2.96532776094337</v>
      </c>
      <c r="Z354" s="236">
        <f ca="1" t="shared" si="128"/>
        <v>9.91666639393529e-9</v>
      </c>
      <c r="AA354" s="236">
        <f ca="1" t="shared" si="115"/>
        <v>0.000578517769910132</v>
      </c>
      <c r="AB354" s="236">
        <f ca="1" t="shared" si="116"/>
        <v>0.00738235122368294</v>
      </c>
      <c r="AC354" s="236">
        <f ca="1" t="shared" si="117"/>
        <v>2.22770512203427e-5</v>
      </c>
      <c r="AD354" s="236">
        <f ca="1" t="shared" si="118"/>
        <v>3.09372497569223e-6</v>
      </c>
      <c r="AE354" s="236"/>
      <c r="AF354" s="236"/>
      <c r="AG354" s="236"/>
      <c r="AH354" s="236">
        <f t="shared" si="129"/>
        <v>713</v>
      </c>
      <c r="AI354" s="236">
        <f>IF($AH354&gt;$AH353,INDEX(Spectra!354:354,1,MATCH($AI$20,Spectra!$20:$20,0)),AI353)</f>
        <v>1</v>
      </c>
      <c r="AJ354" s="236">
        <f>((Physics!$C$9*Physics!$C$10)/(Physics!$C$11*Physics!$C$12*$AH354))^($AJ$17-$AJ$18)</f>
        <v>3.5903301236895e+18</v>
      </c>
      <c r="AK354" s="236">
        <f t="shared" si="130"/>
        <v>1</v>
      </c>
      <c r="AL354" s="236">
        <f ca="1">INDEX(Photobiology!$21:$421,1+$AH354-380,10)</f>
        <v>0.00170358</v>
      </c>
      <c r="AM354" s="236">
        <f ca="1" t="shared" si="131"/>
        <v>13.3319879209511</v>
      </c>
      <c r="AN354" s="236">
        <f ca="1">INDEX(Photobiology!$21:$421,1+$AH354-380,AN$14)</f>
        <v>3.34420583267344e-9</v>
      </c>
      <c r="AO354" s="236">
        <f ca="1">INDEX(Photobiology!$21:$421,1+$AH354-380,AO$14)</f>
        <v>0.000195094039023223</v>
      </c>
      <c r="AP354" s="236">
        <f ca="1">INDEX(Photobiology!$21:$421,1+$AH354-380,AP$14)</f>
        <v>0.00248955657479643</v>
      </c>
      <c r="AQ354" s="236">
        <f ca="1">INDEX(Photobiology!$21:$421,1+$AH354-380,AQ$14)</f>
        <v>7.51250890837633e-6</v>
      </c>
      <c r="AR354" s="236">
        <f ca="1">INDEX(Photobiology!$21:$421,1+$AH354-380,AR$14)</f>
        <v>1.04329950180887e-6</v>
      </c>
      <c r="AS354" s="236">
        <f ca="1" t="shared" si="132"/>
        <v>4.78662378412554e+19</v>
      </c>
      <c r="AT354" s="236">
        <f ca="1">INDEX(Photobiology!$21:$421,1+$AH354-380,AT$14)</f>
        <v>2.06374553488964e-9</v>
      </c>
      <c r="AU354" s="236">
        <f ca="1">INDEX(Photobiology!$21:$421,1+$AH354-380,AU$14)</f>
        <v>0.00014858663082152</v>
      </c>
      <c r="AV354" s="236">
        <f ca="1">INDEX(Photobiology!$21:$421,1+$AH354-380,AV$14)</f>
        <v>0.00198772147158498</v>
      </c>
      <c r="AW354" s="236">
        <f ca="1">INDEX(Photobiology!$21:$421,1+$AH354-380,AW$14)</f>
        <v>5.37080250039365e-6</v>
      </c>
      <c r="AX354" s="236">
        <f ca="1">INDEX(Photobiology!$21:$421,1+$AH354-380,AX$14)</f>
        <v>7.15204817878904e-7</v>
      </c>
      <c r="AY354" s="236">
        <f ca="1" t="shared" si="119"/>
        <v>13.3319879209511</v>
      </c>
      <c r="AZ354" s="236">
        <f ca="1" t="shared" si="133"/>
        <v>4.45849117663767e-8</v>
      </c>
      <c r="BA354" s="236">
        <f ca="1" t="shared" si="120"/>
        <v>0.00260099137170718</v>
      </c>
      <c r="BB354" s="236">
        <f ca="1" t="shared" si="121"/>
        <v>0.0331907381837105</v>
      </c>
      <c r="BC354" s="236">
        <f ca="1" t="shared" si="122"/>
        <v>0.000100156678022511</v>
      </c>
      <c r="BD354" s="236">
        <f ca="1" t="shared" si="123"/>
        <v>1.39092563560502e-5</v>
      </c>
    </row>
    <row r="355" s="234" customFormat="1" ht="0.2" customHeight="1" spans="7:56">
      <c r="G355" s="236"/>
      <c r="H355" s="236">
        <f t="shared" si="124"/>
        <v>714</v>
      </c>
      <c r="I355" s="236">
        <f>IF($H355&gt;$H354,INDEX(Spectra!355:355,1,MATCH($I$20,Spectra!$20:$20,0)),I354)</f>
        <v>2.89835184591064</v>
      </c>
      <c r="J355" s="236">
        <f>((Physics!$C$9*Physics!$C$10)/(Physics!$C$11*Physics!$C$12*$H355))^($J$17-$J$18)</f>
        <v>3.59536564980968e+18</v>
      </c>
      <c r="K355" s="236">
        <f t="shared" si="125"/>
        <v>1</v>
      </c>
      <c r="L355" s="236">
        <f ca="1">INDEX(Photobiology!$21:$421,1+$H355-380,10)</f>
        <v>0.001590187</v>
      </c>
      <c r="M355" s="236">
        <f ca="1" t="shared" si="126"/>
        <v>2.89835184591064</v>
      </c>
      <c r="N355" s="236">
        <f ca="1">INDEX(Photobiology!$21:$421,1+$H355-380,N$14)</f>
        <v>3.16305686738747e-9</v>
      </c>
      <c r="O355" s="236">
        <f ca="1">INDEX(Photobiology!$21:$421,1+$H355-380,O$14)</f>
        <v>0.000181811353523239</v>
      </c>
      <c r="P355" s="236">
        <f ca="1">INDEX(Photobiology!$21:$421,1+$H355-380,P$14)</f>
        <v>0.00231611969720351</v>
      </c>
      <c r="Q355" s="236">
        <f ca="1">INDEX(Photobiology!$21:$421,1+$H355-380,Q$14)</f>
        <v>7.03117650092696e-6</v>
      </c>
      <c r="R355" s="236">
        <f ca="1">INDEX(Photobiology!$21:$421,1+$H355-380,R$14)</f>
        <v>9.78599523596531e-7</v>
      </c>
      <c r="S355" s="236">
        <f ca="1" t="shared" si="127"/>
        <v>1.04206346678496e+19</v>
      </c>
      <c r="T355" s="236">
        <f ca="1">INDEX(Photobiology!$21:$421,1+$H355-380,T$14)</f>
        <v>1.94922271939844e-9</v>
      </c>
      <c r="U355" s="236">
        <f ca="1">INDEX(Photobiology!$21:$421,1+$H355-380,U$14)</f>
        <v>0.000138276396525626</v>
      </c>
      <c r="V355" s="236">
        <f ca="1">INDEX(Photobiology!$21:$421,1+$H355-380,V$14)</f>
        <v>0.00184665534379915</v>
      </c>
      <c r="W355" s="236">
        <f ca="1">INDEX(Photobiology!$21:$421,1+$H355-380,W$14)</f>
        <v>5.01965073872999e-6</v>
      </c>
      <c r="X355" s="236">
        <f ca="1">INDEX(Photobiology!$21:$421,1+$H355-380,X$14)</f>
        <v>6.69911987886941e-7</v>
      </c>
      <c r="Y355" s="236">
        <f ca="1" t="shared" si="114"/>
        <v>2.89835184591064</v>
      </c>
      <c r="Z355" s="236">
        <f ca="1" t="shared" si="128"/>
        <v>9.1676517103128e-9</v>
      </c>
      <c r="AA355" s="236">
        <f ca="1" t="shared" si="115"/>
        <v>0.000526953272091592</v>
      </c>
      <c r="AB355" s="236">
        <f ca="1" t="shared" si="116"/>
        <v>0.00671292979973979</v>
      </c>
      <c r="AC355" s="236">
        <f ca="1" t="shared" si="117"/>
        <v>2.03788233903852e-5</v>
      </c>
      <c r="AD355" s="236">
        <f ca="1" t="shared" si="118"/>
        <v>2.83632573562328e-6</v>
      </c>
      <c r="AE355" s="236"/>
      <c r="AF355" s="236"/>
      <c r="AG355" s="236"/>
      <c r="AH355" s="236">
        <f t="shared" si="129"/>
        <v>714</v>
      </c>
      <c r="AI355" s="236">
        <f>IF($AH355&gt;$AH354,INDEX(Spectra!355:355,1,MATCH($AI$20,Spectra!$20:$20,0)),AI354)</f>
        <v>1</v>
      </c>
      <c r="AJ355" s="236">
        <f>((Physics!$C$9*Physics!$C$10)/(Physics!$C$11*Physics!$C$12*$AH355))^($AJ$17-$AJ$18)</f>
        <v>3.59536564980968e+18</v>
      </c>
      <c r="AK355" s="236">
        <f t="shared" si="130"/>
        <v>1</v>
      </c>
      <c r="AL355" s="236">
        <f ca="1">INDEX(Photobiology!$21:$421,1+$AH355-380,10)</f>
        <v>0.001590187</v>
      </c>
      <c r="AM355" s="236">
        <f ca="1" t="shared" si="131"/>
        <v>13.3319879209511</v>
      </c>
      <c r="AN355" s="236">
        <f ca="1">INDEX(Photobiology!$21:$421,1+$AH355-380,AN$14)</f>
        <v>3.16305686738747e-9</v>
      </c>
      <c r="AO355" s="236">
        <f ca="1">INDEX(Photobiology!$21:$421,1+$AH355-380,AO$14)</f>
        <v>0.000181811353523239</v>
      </c>
      <c r="AP355" s="236">
        <f ca="1">INDEX(Photobiology!$21:$421,1+$AH355-380,AP$14)</f>
        <v>0.00231611969720351</v>
      </c>
      <c r="AQ355" s="236">
        <f ca="1">INDEX(Photobiology!$21:$421,1+$AH355-380,AQ$14)</f>
        <v>7.03117650092696e-6</v>
      </c>
      <c r="AR355" s="236">
        <f ca="1">INDEX(Photobiology!$21:$421,1+$AH355-380,AR$14)</f>
        <v>9.78599523596531e-7</v>
      </c>
      <c r="AS355" s="236">
        <f ca="1" t="shared" si="132"/>
        <v>4.79333714146653e+19</v>
      </c>
      <c r="AT355" s="236">
        <f ca="1">INDEX(Photobiology!$21:$421,1+$AH355-380,AT$14)</f>
        <v>1.94922271939844e-9</v>
      </c>
      <c r="AU355" s="236">
        <f ca="1">INDEX(Photobiology!$21:$421,1+$AH355-380,AU$14)</f>
        <v>0.000138276396525626</v>
      </c>
      <c r="AV355" s="236">
        <f ca="1">INDEX(Photobiology!$21:$421,1+$AH355-380,AV$14)</f>
        <v>0.00184665534379915</v>
      </c>
      <c r="AW355" s="236">
        <f ca="1">INDEX(Photobiology!$21:$421,1+$AH355-380,AW$14)</f>
        <v>5.01965073872999e-6</v>
      </c>
      <c r="AX355" s="236">
        <f ca="1">INDEX(Photobiology!$21:$421,1+$AH355-380,AX$14)</f>
        <v>6.69911987886941e-7</v>
      </c>
      <c r="AY355" s="236">
        <f ca="1" t="shared" si="119"/>
        <v>13.3319879209511</v>
      </c>
      <c r="AZ355" s="236">
        <f ca="1" t="shared" si="133"/>
        <v>4.21698359492913e-8</v>
      </c>
      <c r="BA355" s="236">
        <f ca="1" t="shared" si="120"/>
        <v>0.0024239067690636</v>
      </c>
      <c r="BB355" s="236">
        <f ca="1" t="shared" si="121"/>
        <v>0.0308784798265942</v>
      </c>
      <c r="BC355" s="236">
        <f ca="1" t="shared" si="122"/>
        <v>9.37395601804337e-5</v>
      </c>
      <c r="BD355" s="236">
        <f ca="1" t="shared" si="123"/>
        <v>1.30466770280375e-5</v>
      </c>
    </row>
    <row r="356" s="234" customFormat="1" ht="0.2" customHeight="1" spans="7:56">
      <c r="G356" s="236"/>
      <c r="H356" s="236">
        <f t="shared" si="124"/>
        <v>715</v>
      </c>
      <c r="I356" s="236">
        <f>IF($H356&gt;$H355,INDEX(Spectra!356:356,1,MATCH($I$20,Spectra!$20:$20,0)),I355)</f>
        <v>2.81353420346535</v>
      </c>
      <c r="J356" s="236">
        <f>((Physics!$C$9*Physics!$C$10)/(Physics!$C$11*Physics!$C$12*$H356))^($J$17-$J$18)</f>
        <v>3.60040117592986e+18</v>
      </c>
      <c r="K356" s="236">
        <f t="shared" si="125"/>
        <v>1</v>
      </c>
      <c r="L356" s="236">
        <f ca="1">INDEX(Photobiology!$21:$421,1+$H356-380,10)</f>
        <v>0.001484</v>
      </c>
      <c r="M356" s="236">
        <f ca="1" t="shared" si="126"/>
        <v>2.81353420346535</v>
      </c>
      <c r="N356" s="236">
        <f ca="1">INDEX(Photobiology!$21:$421,1+$H356-380,N$14)</f>
        <v>2.99220262775518e-9</v>
      </c>
      <c r="O356" s="236">
        <f ca="1">INDEX(Photobiology!$21:$421,1+$H356-380,O$14)</f>
        <v>0.000169463432952144</v>
      </c>
      <c r="P356" s="236">
        <f ca="1">INDEX(Photobiology!$21:$421,1+$H356-380,P$14)</f>
        <v>0.00215496886572732</v>
      </c>
      <c r="Q356" s="236">
        <f ca="1">INDEX(Photobiology!$21:$421,1+$H356-380,Q$14)</f>
        <v>6.58189576113603e-6</v>
      </c>
      <c r="R356" s="236">
        <f ca="1">INDEX(Photobiology!$21:$421,1+$H356-380,R$14)</f>
        <v>9.18078886862825e-7</v>
      </c>
      <c r="S356" s="236">
        <f ca="1" t="shared" si="127"/>
        <v>1.01298518546755e+19</v>
      </c>
      <c r="T356" s="236">
        <f ca="1">INDEX(Photobiology!$21:$421,1+$H356-380,T$14)</f>
        <v>1.84135546323396e-9</v>
      </c>
      <c r="U356" s="236">
        <f ca="1">INDEX(Photobiology!$21:$421,1+$H356-380,U$14)</f>
        <v>0.000128704942024637</v>
      </c>
      <c r="V356" s="236">
        <f ca="1">INDEX(Photobiology!$21:$421,1+$H356-380,V$14)</f>
        <v>0.00171576584036091</v>
      </c>
      <c r="W356" s="236">
        <f ca="1">INDEX(Photobiology!$21:$421,1+$H356-380,W$14)</f>
        <v>4.69233133008823e-6</v>
      </c>
      <c r="X356" s="236">
        <f ca="1">INDEX(Photobiology!$21:$421,1+$H356-380,X$14)</f>
        <v>6.27602867810329e-7</v>
      </c>
      <c r="Y356" s="236">
        <f ca="1" t="shared" si="114"/>
        <v>2.81353420346535</v>
      </c>
      <c r="Z356" s="236">
        <f ca="1" t="shared" si="128"/>
        <v>8.4186644368881e-9</v>
      </c>
      <c r="AA356" s="236">
        <f ca="1" t="shared" si="115"/>
        <v>0.000476791164847514</v>
      </c>
      <c r="AB356" s="236">
        <f ca="1" t="shared" si="116"/>
        <v>0.00606307861112674</v>
      </c>
      <c r="AC356" s="236">
        <f ca="1" t="shared" si="117"/>
        <v>1.85183888475998e-5</v>
      </c>
      <c r="AD356" s="236">
        <f ca="1" t="shared" si="118"/>
        <v>2.58304634966795e-6</v>
      </c>
      <c r="AE356" s="236"/>
      <c r="AF356" s="236"/>
      <c r="AG356" s="236"/>
      <c r="AH356" s="236">
        <f t="shared" si="129"/>
        <v>715</v>
      </c>
      <c r="AI356" s="236">
        <f>IF($AH356&gt;$AH355,INDEX(Spectra!356:356,1,MATCH($AI$20,Spectra!$20:$20,0)),AI355)</f>
        <v>1</v>
      </c>
      <c r="AJ356" s="236">
        <f>((Physics!$C$9*Physics!$C$10)/(Physics!$C$11*Physics!$C$12*$AH356))^($AJ$17-$AJ$18)</f>
        <v>3.60040117592986e+18</v>
      </c>
      <c r="AK356" s="236">
        <f t="shared" si="130"/>
        <v>1</v>
      </c>
      <c r="AL356" s="236">
        <f ca="1">INDEX(Photobiology!$21:$421,1+$AH356-380,10)</f>
        <v>0.001484</v>
      </c>
      <c r="AM356" s="236">
        <f ca="1" t="shared" si="131"/>
        <v>13.3319879209511</v>
      </c>
      <c r="AN356" s="236">
        <f ca="1">INDEX(Photobiology!$21:$421,1+$AH356-380,AN$14)</f>
        <v>2.99220262775518e-9</v>
      </c>
      <c r="AO356" s="236">
        <f ca="1">INDEX(Photobiology!$21:$421,1+$AH356-380,AO$14)</f>
        <v>0.000169463432952144</v>
      </c>
      <c r="AP356" s="236">
        <f ca="1">INDEX(Photobiology!$21:$421,1+$AH356-380,AP$14)</f>
        <v>0.00215496886572732</v>
      </c>
      <c r="AQ356" s="236">
        <f ca="1">INDEX(Photobiology!$21:$421,1+$AH356-380,AQ$14)</f>
        <v>6.58189576113603e-6</v>
      </c>
      <c r="AR356" s="236">
        <f ca="1">INDEX(Photobiology!$21:$421,1+$AH356-380,AR$14)</f>
        <v>9.18078886862825e-7</v>
      </c>
      <c r="AS356" s="236">
        <f ca="1" t="shared" si="132"/>
        <v>4.80005049880752e+19</v>
      </c>
      <c r="AT356" s="236">
        <f ca="1">INDEX(Photobiology!$21:$421,1+$AH356-380,AT$14)</f>
        <v>1.84135546323396e-9</v>
      </c>
      <c r="AU356" s="236">
        <f ca="1">INDEX(Photobiology!$21:$421,1+$AH356-380,AU$14)</f>
        <v>0.000128704942024637</v>
      </c>
      <c r="AV356" s="236">
        <f ca="1">INDEX(Photobiology!$21:$421,1+$AH356-380,AV$14)</f>
        <v>0.00171576584036091</v>
      </c>
      <c r="AW356" s="236">
        <f ca="1">INDEX(Photobiology!$21:$421,1+$AH356-380,AW$14)</f>
        <v>4.69233133008823e-6</v>
      </c>
      <c r="AX356" s="236">
        <f ca="1">INDEX(Photobiology!$21:$421,1+$AH356-380,AX$14)</f>
        <v>6.27602867810329e-7</v>
      </c>
      <c r="AY356" s="236">
        <f ca="1" t="shared" si="119"/>
        <v>13.3319879209511</v>
      </c>
      <c r="AZ356" s="236">
        <f ca="1" t="shared" si="133"/>
        <v>3.98920092902703e-8</v>
      </c>
      <c r="BA356" s="236">
        <f ca="1" t="shared" si="120"/>
        <v>0.0022592844411609</v>
      </c>
      <c r="BB356" s="236">
        <f ca="1" t="shared" si="121"/>
        <v>0.0287300188879024</v>
      </c>
      <c r="BC356" s="236">
        <f ca="1" t="shared" si="122"/>
        <v>8.77497547844251e-5</v>
      </c>
      <c r="BD356" s="236">
        <f ca="1" t="shared" si="123"/>
        <v>1.22398166301355e-5</v>
      </c>
    </row>
    <row r="357" s="234" customFormat="1" ht="0.2" customHeight="1" spans="7:56">
      <c r="G357" s="236"/>
      <c r="H357" s="236">
        <f t="shared" si="124"/>
        <v>716</v>
      </c>
      <c r="I357" s="236">
        <f>IF($H357&gt;$H356,INDEX(Spectra!357:357,1,MATCH($I$20,Spectra!$20:$20,0)),I356)</f>
        <v>2.74879722460072</v>
      </c>
      <c r="J357" s="236">
        <f>((Physics!$C$9*Physics!$C$10)/(Physics!$C$11*Physics!$C$12*$H357))^($J$17-$J$18)</f>
        <v>3.60543670205004e+18</v>
      </c>
      <c r="K357" s="236">
        <f t="shared" si="125"/>
        <v>1</v>
      </c>
      <c r="L357" s="236">
        <f ca="1">INDEX(Photobiology!$21:$421,1+$H357-380,10)</f>
        <v>0.001384496</v>
      </c>
      <c r="M357" s="236">
        <f ca="1" t="shared" si="126"/>
        <v>2.74879722460072</v>
      </c>
      <c r="N357" s="236">
        <f ca="1">INDEX(Photobiology!$21:$421,1+$H357-380,N$14)</f>
        <v>2.83102040748779e-9</v>
      </c>
      <c r="O357" s="236">
        <f ca="1">INDEX(Photobiology!$21:$421,1+$H357-380,O$14)</f>
        <v>0.000157982506528395</v>
      </c>
      <c r="P357" s="236">
        <f ca="1">INDEX(Photobiology!$21:$421,1+$H357-380,P$14)</f>
        <v>0.00200523372417299</v>
      </c>
      <c r="Q357" s="236">
        <f ca="1">INDEX(Photobiology!$21:$421,1+$H357-380,Q$14)</f>
        <v>6.16245839194872e-6</v>
      </c>
      <c r="R357" s="236">
        <f ca="1">INDEX(Photobiology!$21:$421,1+$H357-380,R$14)</f>
        <v>8.61453817697012e-7</v>
      </c>
      <c r="S357" s="236">
        <f ca="1" t="shared" si="127"/>
        <v>9.91061440006872e+18</v>
      </c>
      <c r="T357" s="236">
        <f ca="1">INDEX(Photobiology!$21:$421,1+$H357-380,T$14)</f>
        <v>1.73973321130535e-9</v>
      </c>
      <c r="U357" s="236">
        <f ca="1">INDEX(Photobiology!$21:$421,1+$H357-380,U$14)</f>
        <v>0.000119817772864531</v>
      </c>
      <c r="V357" s="236">
        <f ca="1">INDEX(Photobiology!$21:$421,1+$H357-380,V$14)</f>
        <v>0.00159431832024208</v>
      </c>
      <c r="W357" s="236">
        <f ca="1">INDEX(Photobiology!$21:$421,1+$H357-380,W$14)</f>
        <v>4.38717228922506e-6</v>
      </c>
      <c r="X357" s="236">
        <f ca="1">INDEX(Photobiology!$21:$421,1+$H357-380,X$14)</f>
        <v>5.88071237880472e-7</v>
      </c>
      <c r="Y357" s="236">
        <f ca="1" t="shared" si="114"/>
        <v>2.74879722460072</v>
      </c>
      <c r="Z357" s="236">
        <f ca="1" t="shared" si="128"/>
        <v>7.78190103889044e-9</v>
      </c>
      <c r="AA357" s="236">
        <f ca="1" t="shared" si="115"/>
        <v>0.000434261875480717</v>
      </c>
      <c r="AB357" s="236">
        <f ca="1" t="shared" si="116"/>
        <v>0.00551198089568248</v>
      </c>
      <c r="AC357" s="236">
        <f ca="1" t="shared" si="117"/>
        <v>1.69393485245061e-5</v>
      </c>
      <c r="AD357" s="236">
        <f ca="1" t="shared" si="118"/>
        <v>2.36796186320724e-6</v>
      </c>
      <c r="AE357" s="236"/>
      <c r="AF357" s="236"/>
      <c r="AG357" s="236"/>
      <c r="AH357" s="236">
        <f t="shared" si="129"/>
        <v>716</v>
      </c>
      <c r="AI357" s="236">
        <f>IF($AH357&gt;$AH356,INDEX(Spectra!357:357,1,MATCH($AI$20,Spectra!$20:$20,0)),AI356)</f>
        <v>1</v>
      </c>
      <c r="AJ357" s="236">
        <f>((Physics!$C$9*Physics!$C$10)/(Physics!$C$11*Physics!$C$12*$AH357))^($AJ$17-$AJ$18)</f>
        <v>3.60543670205004e+18</v>
      </c>
      <c r="AK357" s="236">
        <f t="shared" si="130"/>
        <v>1</v>
      </c>
      <c r="AL357" s="236">
        <f ca="1">INDEX(Photobiology!$21:$421,1+$AH357-380,10)</f>
        <v>0.001384496</v>
      </c>
      <c r="AM357" s="236">
        <f ca="1" t="shared" si="131"/>
        <v>13.3319879209511</v>
      </c>
      <c r="AN357" s="236">
        <f ca="1">INDEX(Photobiology!$21:$421,1+$AH357-380,AN$14)</f>
        <v>2.83102040748779e-9</v>
      </c>
      <c r="AO357" s="236">
        <f ca="1">INDEX(Photobiology!$21:$421,1+$AH357-380,AO$14)</f>
        <v>0.000157982506528395</v>
      </c>
      <c r="AP357" s="236">
        <f ca="1">INDEX(Photobiology!$21:$421,1+$AH357-380,AP$14)</f>
        <v>0.00200523372417299</v>
      </c>
      <c r="AQ357" s="236">
        <f ca="1">INDEX(Photobiology!$21:$421,1+$AH357-380,AQ$14)</f>
        <v>6.16245839194872e-6</v>
      </c>
      <c r="AR357" s="236">
        <f ca="1">INDEX(Photobiology!$21:$421,1+$AH357-380,AR$14)</f>
        <v>8.61453817697012e-7</v>
      </c>
      <c r="AS357" s="236">
        <f ca="1" t="shared" si="132"/>
        <v>4.80676385614851e+19</v>
      </c>
      <c r="AT357" s="236">
        <f ca="1">INDEX(Photobiology!$21:$421,1+$AH357-380,AT$14)</f>
        <v>1.73973321130535e-9</v>
      </c>
      <c r="AU357" s="236">
        <f ca="1">INDEX(Photobiology!$21:$421,1+$AH357-380,AU$14)</f>
        <v>0.000119817772864531</v>
      </c>
      <c r="AV357" s="236">
        <f ca="1">INDEX(Photobiology!$21:$421,1+$AH357-380,AV$14)</f>
        <v>0.00159431832024208</v>
      </c>
      <c r="AW357" s="236">
        <f ca="1">INDEX(Photobiology!$21:$421,1+$AH357-380,AW$14)</f>
        <v>4.38717228922506e-6</v>
      </c>
      <c r="AX357" s="236">
        <f ca="1">INDEX(Photobiology!$21:$421,1+$AH357-380,AX$14)</f>
        <v>5.88071237880472e-7</v>
      </c>
      <c r="AY357" s="236">
        <f ca="1" t="shared" si="119"/>
        <v>13.3319879209511</v>
      </c>
      <c r="AZ357" s="236">
        <f ca="1" t="shared" si="133"/>
        <v>3.77431298765934e-8</v>
      </c>
      <c r="BA357" s="236">
        <f ca="1" t="shared" si="120"/>
        <v>0.00210622086875815</v>
      </c>
      <c r="BB357" s="236">
        <f ca="1" t="shared" si="121"/>
        <v>0.0267337517893582</v>
      </c>
      <c r="BC357" s="236">
        <f ca="1" t="shared" si="122"/>
        <v>8.21578208448243e-5</v>
      </c>
      <c r="BD357" s="236">
        <f ca="1" t="shared" si="123"/>
        <v>1.14848918919938e-5</v>
      </c>
    </row>
    <row r="358" s="234" customFormat="1" ht="0.2" customHeight="1" spans="7:56">
      <c r="G358" s="236"/>
      <c r="H358" s="236">
        <f t="shared" si="124"/>
        <v>717</v>
      </c>
      <c r="I358" s="236">
        <f>IF($H358&gt;$H357,INDEX(Spectra!358:358,1,MATCH($I$20,Spectra!$20:$20,0)),I357)</f>
        <v>2.67276503482023</v>
      </c>
      <c r="J358" s="236">
        <f>((Physics!$C$9*Physics!$C$10)/(Physics!$C$11*Physics!$C$12*$H358))^($J$17-$J$18)</f>
        <v>3.61047222817022e+18</v>
      </c>
      <c r="K358" s="236">
        <f t="shared" si="125"/>
        <v>1</v>
      </c>
      <c r="L358" s="236">
        <f ca="1">INDEX(Photobiology!$21:$421,1+$H358-380,10)</f>
        <v>0.001291268</v>
      </c>
      <c r="M358" s="236">
        <f ca="1" t="shared" si="126"/>
        <v>2.67276503482023</v>
      </c>
      <c r="N358" s="236">
        <f ca="1">INDEX(Photobiology!$21:$421,1+$H358-380,N$14)</f>
        <v>2.67894624955373e-9</v>
      </c>
      <c r="O358" s="236">
        <f ca="1">INDEX(Photobiology!$21:$421,1+$H358-380,O$14)</f>
        <v>0.000147306191067801</v>
      </c>
      <c r="P358" s="236">
        <f ca="1">INDEX(Photobiology!$21:$421,1+$H358-380,P$14)</f>
        <v>0.00186608748384387</v>
      </c>
      <c r="Q358" s="236">
        <f ca="1">INDEX(Photobiology!$21:$421,1+$H358-380,Q$14)</f>
        <v>5.77081298054066e-6</v>
      </c>
      <c r="R358" s="236">
        <f ca="1">INDEX(Photobiology!$21:$421,1+$H358-380,R$14)</f>
        <v>8.084683076097e-7</v>
      </c>
      <c r="S358" s="236">
        <f ca="1" t="shared" si="127"/>
        <v>9.64994393064285e+18</v>
      </c>
      <c r="T358" s="236">
        <f ca="1">INDEX(Photobiology!$21:$421,1+$H358-380,T$14)</f>
        <v>1.64398375146951e-9</v>
      </c>
      <c r="U358" s="236">
        <f ca="1">INDEX(Photobiology!$21:$421,1+$H358-380,U$14)</f>
        <v>0.000111564778990894</v>
      </c>
      <c r="V358" s="236">
        <f ca="1">INDEX(Photobiology!$21:$421,1+$H358-380,V$14)</f>
        <v>0.00148161683210166</v>
      </c>
      <c r="W358" s="236">
        <f ca="1">INDEX(Photobiology!$21:$421,1+$H358-380,W$14)</f>
        <v>4.10262249168862e-6</v>
      </c>
      <c r="X358" s="236">
        <f ca="1">INDEX(Photobiology!$21:$421,1+$H358-380,X$14)</f>
        <v>5.511309564106e-7</v>
      </c>
      <c r="Y358" s="236">
        <f ca="1" t="shared" si="114"/>
        <v>2.67276503482023</v>
      </c>
      <c r="Z358" s="236">
        <f ca="1" t="shared" si="128"/>
        <v>7.16019386597e-9</v>
      </c>
      <c r="AA358" s="236">
        <f ca="1" t="shared" si="115"/>
        <v>0.000393714836898567</v>
      </c>
      <c r="AB358" s="236">
        <f ca="1" t="shared" si="116"/>
        <v>0.00498761337873356</v>
      </c>
      <c r="AC358" s="236">
        <f ca="1" t="shared" si="117"/>
        <v>1.54240271568758e-5</v>
      </c>
      <c r="AD358" s="236">
        <f ca="1" t="shared" si="118"/>
        <v>2.16084582433949e-6</v>
      </c>
      <c r="AE358" s="236"/>
      <c r="AF358" s="236"/>
      <c r="AG358" s="236"/>
      <c r="AH358" s="236">
        <f t="shared" si="129"/>
        <v>717</v>
      </c>
      <c r="AI358" s="236">
        <f>IF($AH358&gt;$AH357,INDEX(Spectra!358:358,1,MATCH($AI$20,Spectra!$20:$20,0)),AI357)</f>
        <v>1</v>
      </c>
      <c r="AJ358" s="236">
        <f>((Physics!$C$9*Physics!$C$10)/(Physics!$C$11*Physics!$C$12*$AH358))^($AJ$17-$AJ$18)</f>
        <v>3.61047222817022e+18</v>
      </c>
      <c r="AK358" s="236">
        <f t="shared" si="130"/>
        <v>1</v>
      </c>
      <c r="AL358" s="236">
        <f ca="1">INDEX(Photobiology!$21:$421,1+$AH358-380,10)</f>
        <v>0.001291268</v>
      </c>
      <c r="AM358" s="236">
        <f ca="1" t="shared" si="131"/>
        <v>13.3319879209511</v>
      </c>
      <c r="AN358" s="236">
        <f ca="1">INDEX(Photobiology!$21:$421,1+$AH358-380,AN$14)</f>
        <v>2.67894624955373e-9</v>
      </c>
      <c r="AO358" s="236">
        <f ca="1">INDEX(Photobiology!$21:$421,1+$AH358-380,AO$14)</f>
        <v>0.000147306191067801</v>
      </c>
      <c r="AP358" s="236">
        <f ca="1">INDEX(Photobiology!$21:$421,1+$AH358-380,AP$14)</f>
        <v>0.00186608748384387</v>
      </c>
      <c r="AQ358" s="236">
        <f ca="1">INDEX(Photobiology!$21:$421,1+$AH358-380,AQ$14)</f>
        <v>5.77081298054066e-6</v>
      </c>
      <c r="AR358" s="236">
        <f ca="1">INDEX(Photobiology!$21:$421,1+$AH358-380,AR$14)</f>
        <v>8.084683076097e-7</v>
      </c>
      <c r="AS358" s="236">
        <f ca="1" t="shared" si="132"/>
        <v>4.8134772134895e+19</v>
      </c>
      <c r="AT358" s="236">
        <f ca="1">INDEX(Photobiology!$21:$421,1+$AH358-380,AT$14)</f>
        <v>1.64398375146951e-9</v>
      </c>
      <c r="AU358" s="236">
        <f ca="1">INDEX(Photobiology!$21:$421,1+$AH358-380,AU$14)</f>
        <v>0.000111564778990894</v>
      </c>
      <c r="AV358" s="236">
        <f ca="1">INDEX(Photobiology!$21:$421,1+$AH358-380,AV$14)</f>
        <v>0.00148161683210166</v>
      </c>
      <c r="AW358" s="236">
        <f ca="1">INDEX(Photobiology!$21:$421,1+$AH358-380,AW$14)</f>
        <v>4.10262249168862e-6</v>
      </c>
      <c r="AX358" s="236">
        <f ca="1">INDEX(Photobiology!$21:$421,1+$AH358-380,AX$14)</f>
        <v>5.511309564106e-7</v>
      </c>
      <c r="AY358" s="236">
        <f ca="1" t="shared" si="119"/>
        <v>13.3319879209511</v>
      </c>
      <c r="AZ358" s="236">
        <f ca="1" t="shared" si="133"/>
        <v>3.57156790399277e-8</v>
      </c>
      <c r="BA358" s="236">
        <f ca="1" t="shared" si="120"/>
        <v>0.00196388435999724</v>
      </c>
      <c r="BB358" s="236">
        <f ca="1" t="shared" si="121"/>
        <v>0.0248786557940446</v>
      </c>
      <c r="BC358" s="236">
        <f ca="1" t="shared" si="122"/>
        <v>7.69364089506361e-5</v>
      </c>
      <c r="BD358" s="236">
        <f ca="1" t="shared" si="123"/>
        <v>1.07784897115243e-5</v>
      </c>
    </row>
    <row r="359" s="234" customFormat="1" ht="0.2" customHeight="1" spans="7:56">
      <c r="G359" s="236"/>
      <c r="H359" s="236">
        <f t="shared" si="124"/>
        <v>718</v>
      </c>
      <c r="I359" s="236">
        <f>IF($H359&gt;$H358,INDEX(Spectra!359:359,1,MATCH($I$20,Spectra!$20:$20,0)),I358)</f>
        <v>2.60587426579128</v>
      </c>
      <c r="J359" s="236">
        <f>((Physics!$C$9*Physics!$C$10)/(Physics!$C$11*Physics!$C$12*$H359))^($J$17-$J$18)</f>
        <v>3.6155077542904e+18</v>
      </c>
      <c r="K359" s="236">
        <f t="shared" si="125"/>
        <v>1</v>
      </c>
      <c r="L359" s="236">
        <f ca="1">INDEX(Photobiology!$21:$421,1+$H359-380,10)</f>
        <v>0.001204092</v>
      </c>
      <c r="M359" s="236">
        <f ca="1" t="shared" si="126"/>
        <v>2.60587426579128</v>
      </c>
      <c r="N359" s="236">
        <f ca="1">INDEX(Photobiology!$21:$421,1+$H359-380,N$14)</f>
        <v>2.53543219083931e-9</v>
      </c>
      <c r="O359" s="236">
        <f ca="1">INDEX(Photobiology!$21:$421,1+$H359-380,O$14)</f>
        <v>0.000137375725814366</v>
      </c>
      <c r="P359" s="236">
        <f ca="1">INDEX(Photobiology!$21:$421,1+$H359-380,P$14)</f>
        <v>0.00173678876069659</v>
      </c>
      <c r="Q359" s="236">
        <f ca="1">INDEX(Photobiology!$21:$421,1+$H359-380,Q$14)</f>
        <v>5.40506598269672e-6</v>
      </c>
      <c r="R359" s="236">
        <f ca="1">INDEX(Photobiology!$21:$421,1+$H359-380,R$14)</f>
        <v>7.58876317729264e-7</v>
      </c>
      <c r="S359" s="236">
        <f ca="1" t="shared" si="127"/>
        <v>9.42155861467418e+18</v>
      </c>
      <c r="T359" s="236">
        <f ca="1">INDEX(Photobiology!$21:$421,1+$H359-380,T$14)</f>
        <v>1.55374674647534e-9</v>
      </c>
      <c r="U359" s="236">
        <f ca="1">INDEX(Photobiology!$21:$421,1+$H359-380,U$14)</f>
        <v>0.000103898869198802</v>
      </c>
      <c r="V359" s="236">
        <f ca="1">INDEX(Photobiology!$21:$421,1+$H359-380,V$14)</f>
        <v>0.00137703701602677</v>
      </c>
      <c r="W359" s="236">
        <f ca="1">INDEX(Photobiology!$21:$421,1+$H359-380,W$14)</f>
        <v>3.83725153101562e-6</v>
      </c>
      <c r="X359" s="236">
        <f ca="1">INDEX(Photobiology!$21:$421,1+$H359-380,X$14)</f>
        <v>5.1660370551457e-7</v>
      </c>
      <c r="Y359" s="236">
        <f ca="1" t="shared" si="114"/>
        <v>2.60587426579128</v>
      </c>
      <c r="Z359" s="236">
        <f ca="1" t="shared" si="128"/>
        <v>6.60701749876696e-9</v>
      </c>
      <c r="AA359" s="236">
        <f ca="1" t="shared" si="115"/>
        <v>0.000357983868644055</v>
      </c>
      <c r="AB359" s="236">
        <f ca="1" t="shared" si="116"/>
        <v>0.00452585313661477</v>
      </c>
      <c r="AC359" s="236">
        <f ca="1" t="shared" si="117"/>
        <v>1.40849223492132e-5</v>
      </c>
      <c r="AD359" s="236">
        <f ca="1" t="shared" si="118"/>
        <v>1.97753626728914e-6</v>
      </c>
      <c r="AE359" s="236"/>
      <c r="AF359" s="236"/>
      <c r="AG359" s="236"/>
      <c r="AH359" s="236">
        <f t="shared" si="129"/>
        <v>718</v>
      </c>
      <c r="AI359" s="236">
        <f>IF($AH359&gt;$AH358,INDEX(Spectra!359:359,1,MATCH($AI$20,Spectra!$20:$20,0)),AI358)</f>
        <v>1</v>
      </c>
      <c r="AJ359" s="236">
        <f>((Physics!$C$9*Physics!$C$10)/(Physics!$C$11*Physics!$C$12*$AH359))^($AJ$17-$AJ$18)</f>
        <v>3.6155077542904e+18</v>
      </c>
      <c r="AK359" s="236">
        <f t="shared" si="130"/>
        <v>1</v>
      </c>
      <c r="AL359" s="236">
        <f ca="1">INDEX(Photobiology!$21:$421,1+$AH359-380,10)</f>
        <v>0.001204092</v>
      </c>
      <c r="AM359" s="236">
        <f ca="1" t="shared" si="131"/>
        <v>13.3319879209511</v>
      </c>
      <c r="AN359" s="236">
        <f ca="1">INDEX(Photobiology!$21:$421,1+$AH359-380,AN$14)</f>
        <v>2.53543219083931e-9</v>
      </c>
      <c r="AO359" s="236">
        <f ca="1">INDEX(Photobiology!$21:$421,1+$AH359-380,AO$14)</f>
        <v>0.000137375725814366</v>
      </c>
      <c r="AP359" s="236">
        <f ca="1">INDEX(Photobiology!$21:$421,1+$AH359-380,AP$14)</f>
        <v>0.00173678876069659</v>
      </c>
      <c r="AQ359" s="236">
        <f ca="1">INDEX(Photobiology!$21:$421,1+$AH359-380,AQ$14)</f>
        <v>5.40506598269672e-6</v>
      </c>
      <c r="AR359" s="236">
        <f ca="1">INDEX(Photobiology!$21:$421,1+$AH359-380,AR$14)</f>
        <v>7.58876317729264e-7</v>
      </c>
      <c r="AS359" s="236">
        <f ca="1" t="shared" si="132"/>
        <v>4.82019057083049e+19</v>
      </c>
      <c r="AT359" s="236">
        <f ca="1">INDEX(Photobiology!$21:$421,1+$AH359-380,AT$14)</f>
        <v>1.55374674647534e-9</v>
      </c>
      <c r="AU359" s="236">
        <f ca="1">INDEX(Photobiology!$21:$421,1+$AH359-380,AU$14)</f>
        <v>0.000103898869198802</v>
      </c>
      <c r="AV359" s="236">
        <f ca="1">INDEX(Photobiology!$21:$421,1+$AH359-380,AV$14)</f>
        <v>0.00137703701602677</v>
      </c>
      <c r="AW359" s="236">
        <f ca="1">INDEX(Photobiology!$21:$421,1+$AH359-380,AW$14)</f>
        <v>3.83725153101562e-6</v>
      </c>
      <c r="AX359" s="236">
        <f ca="1">INDEX(Photobiology!$21:$421,1+$AH359-380,AX$14)</f>
        <v>5.1660370551457e-7</v>
      </c>
      <c r="AY359" s="236">
        <f ca="1" t="shared" si="119"/>
        <v>13.3319879209511</v>
      </c>
      <c r="AZ359" s="236">
        <f ca="1" t="shared" si="133"/>
        <v>3.38023513426604e-8</v>
      </c>
      <c r="BA359" s="236">
        <f ca="1" t="shared" si="120"/>
        <v>0.00183149151718902</v>
      </c>
      <c r="BB359" s="236">
        <f ca="1" t="shared" si="121"/>
        <v>0.0231548467788506</v>
      </c>
      <c r="BC359" s="236">
        <f ca="1" t="shared" si="122"/>
        <v>7.20602743932566e-5</v>
      </c>
      <c r="BD359" s="236">
        <f ca="1" t="shared" si="123"/>
        <v>1.01173299014624e-5</v>
      </c>
    </row>
    <row r="360" s="234" customFormat="1" ht="0.2" customHeight="1" spans="7:56">
      <c r="G360" s="236"/>
      <c r="H360" s="236">
        <f t="shared" si="124"/>
        <v>719</v>
      </c>
      <c r="I360" s="236">
        <f>IF($H360&gt;$H359,INDEX(Spectra!360:360,1,MATCH($I$20,Spectra!$20:$20,0)),I359)</f>
        <v>2.53367474360464</v>
      </c>
      <c r="J360" s="236">
        <f>((Physics!$C$9*Physics!$C$10)/(Physics!$C$11*Physics!$C$12*$H360))^($J$17-$J$18)</f>
        <v>3.62054328041059e+18</v>
      </c>
      <c r="K360" s="236">
        <f t="shared" si="125"/>
        <v>1</v>
      </c>
      <c r="L360" s="236">
        <f ca="1">INDEX(Photobiology!$21:$421,1+$H360-380,10)</f>
        <v>0.001122744</v>
      </c>
      <c r="M360" s="236">
        <f ca="1" t="shared" si="126"/>
        <v>2.53367474360464</v>
      </c>
      <c r="N360" s="236">
        <f ca="1">INDEX(Photobiology!$21:$421,1+$H360-380,N$14)</f>
        <v>2.39998208570648e-9</v>
      </c>
      <c r="O360" s="236">
        <f ca="1">INDEX(Photobiology!$21:$421,1+$H360-380,O$14)</f>
        <v>0.000128138017359018</v>
      </c>
      <c r="P360" s="236">
        <f ca="1">INDEX(Photobiology!$21:$421,1+$H360-380,P$14)</f>
        <v>0.00161662391833456</v>
      </c>
      <c r="Q360" s="236">
        <f ca="1">INDEX(Photobiology!$21:$421,1+$H360-380,Q$14)</f>
        <v>5.06340889262515e-6</v>
      </c>
      <c r="R360" s="236">
        <f ca="1">INDEX(Photobiology!$21:$421,1+$H360-380,R$14)</f>
        <v>7.12454280335953e-7</v>
      </c>
      <c r="S360" s="236">
        <f ca="1" t="shared" si="127"/>
        <v>9.1732790677038e+18</v>
      </c>
      <c r="T360" s="236">
        <f ca="1">INDEX(Photobiology!$21:$421,1+$H360-380,T$14)</f>
        <v>1.46869557400675e-9</v>
      </c>
      <c r="U360" s="236">
        <f ca="1">INDEX(Photobiology!$21:$421,1+$H360-380,U$14)</f>
        <v>9.67774945843541e-5</v>
      </c>
      <c r="V360" s="236">
        <f ca="1">INDEX(Photobiology!$21:$421,1+$H360-380,V$14)</f>
        <v>0.00127997995510273</v>
      </c>
      <c r="W360" s="236">
        <f ca="1">INDEX(Photobiology!$21:$421,1+$H360-380,W$14)</f>
        <v>3.58969724637909e-6</v>
      </c>
      <c r="X360" s="236">
        <f ca="1">INDEX(Photobiology!$21:$421,1+$H360-380,X$14)</f>
        <v>4.84327435260059e-7</v>
      </c>
      <c r="Y360" s="236">
        <f ca="1" t="shared" si="114"/>
        <v>2.53367474360464</v>
      </c>
      <c r="Z360" s="236">
        <f ca="1" t="shared" si="128"/>
        <v>6.08077399565809e-9</v>
      </c>
      <c r="AA360" s="236">
        <f ca="1" t="shared" si="115"/>
        <v>0.000324660058278117</v>
      </c>
      <c r="AB360" s="236">
        <f ca="1" t="shared" si="116"/>
        <v>0.00409599919179145</v>
      </c>
      <c r="AC360" s="236">
        <f ca="1" t="shared" si="117"/>
        <v>1.28290312277875e-5</v>
      </c>
      <c r="AD360" s="236">
        <f ca="1" t="shared" si="118"/>
        <v>1.80512741606022e-6</v>
      </c>
      <c r="AE360" s="236"/>
      <c r="AF360" s="236"/>
      <c r="AG360" s="236"/>
      <c r="AH360" s="236">
        <f t="shared" si="129"/>
        <v>719</v>
      </c>
      <c r="AI360" s="236">
        <f>IF($AH360&gt;$AH359,INDEX(Spectra!360:360,1,MATCH($AI$20,Spectra!$20:$20,0)),AI359)</f>
        <v>1</v>
      </c>
      <c r="AJ360" s="236">
        <f>((Physics!$C$9*Physics!$C$10)/(Physics!$C$11*Physics!$C$12*$AH360))^($AJ$17-$AJ$18)</f>
        <v>3.62054328041059e+18</v>
      </c>
      <c r="AK360" s="236">
        <f t="shared" si="130"/>
        <v>1</v>
      </c>
      <c r="AL360" s="236">
        <f ca="1">INDEX(Photobiology!$21:$421,1+$AH360-380,10)</f>
        <v>0.001122744</v>
      </c>
      <c r="AM360" s="236">
        <f ca="1" t="shared" si="131"/>
        <v>13.3319879209511</v>
      </c>
      <c r="AN360" s="236">
        <f ca="1">INDEX(Photobiology!$21:$421,1+$AH360-380,AN$14)</f>
        <v>2.39998208570648e-9</v>
      </c>
      <c r="AO360" s="236">
        <f ca="1">INDEX(Photobiology!$21:$421,1+$AH360-380,AO$14)</f>
        <v>0.000128138017359018</v>
      </c>
      <c r="AP360" s="236">
        <f ca="1">INDEX(Photobiology!$21:$421,1+$AH360-380,AP$14)</f>
        <v>0.00161662391833456</v>
      </c>
      <c r="AQ360" s="236">
        <f ca="1">INDEX(Photobiology!$21:$421,1+$AH360-380,AQ$14)</f>
        <v>5.06340889262515e-6</v>
      </c>
      <c r="AR360" s="236">
        <f ca="1">INDEX(Photobiology!$21:$421,1+$AH360-380,AR$14)</f>
        <v>7.12454280335953e-7</v>
      </c>
      <c r="AS360" s="236">
        <f ca="1" t="shared" si="132"/>
        <v>4.82690392817148e+19</v>
      </c>
      <c r="AT360" s="236">
        <f ca="1">INDEX(Photobiology!$21:$421,1+$AH360-380,AT$14)</f>
        <v>1.46869557400675e-9</v>
      </c>
      <c r="AU360" s="236">
        <f ca="1">INDEX(Photobiology!$21:$421,1+$AH360-380,AU$14)</f>
        <v>9.67774945843541e-5</v>
      </c>
      <c r="AV360" s="236">
        <f ca="1">INDEX(Photobiology!$21:$421,1+$AH360-380,AV$14)</f>
        <v>0.00127997995510273</v>
      </c>
      <c r="AW360" s="236">
        <f ca="1">INDEX(Photobiology!$21:$421,1+$AH360-380,AW$14)</f>
        <v>3.58969724637909e-6</v>
      </c>
      <c r="AX360" s="236">
        <f ca="1">INDEX(Photobiology!$21:$421,1+$AH360-380,AX$14)</f>
        <v>4.84327435260059e-7</v>
      </c>
      <c r="AY360" s="236">
        <f ca="1" t="shared" si="119"/>
        <v>13.3319879209511</v>
      </c>
      <c r="AZ360" s="236">
        <f ca="1" t="shared" si="133"/>
        <v>3.19965321771379e-8</v>
      </c>
      <c r="BA360" s="236">
        <f ca="1" t="shared" si="120"/>
        <v>0.00170833449964506</v>
      </c>
      <c r="BB360" s="236">
        <f ca="1" t="shared" si="121"/>
        <v>0.0215528105519571</v>
      </c>
      <c r="BC360" s="236">
        <f ca="1" t="shared" si="122"/>
        <v>6.75053061953151e-5</v>
      </c>
      <c r="BD360" s="236">
        <f ca="1" t="shared" si="123"/>
        <v>9.49843185966886e-6</v>
      </c>
    </row>
    <row r="361" s="234" customFormat="1" ht="0.2" customHeight="1" spans="7:56">
      <c r="G361" s="236"/>
      <c r="H361" s="236">
        <f t="shared" si="124"/>
        <v>720</v>
      </c>
      <c r="I361" s="236">
        <f>IF($H361&gt;$H360,INDEX(Spectra!361:361,1,MATCH($I$20,Spectra!$20:$20,0)),I360)</f>
        <v>2.47210941059116</v>
      </c>
      <c r="J361" s="236">
        <f>((Physics!$C$9*Physics!$C$10)/(Physics!$C$11*Physics!$C$12*$H361))^($J$17-$J$18)</f>
        <v>3.62557880653077e+18</v>
      </c>
      <c r="K361" s="236">
        <f t="shared" si="125"/>
        <v>1</v>
      </c>
      <c r="L361" s="236">
        <f ca="1">INDEX(Photobiology!$21:$421,1+$H361-380,10)</f>
        <v>0.001047</v>
      </c>
      <c r="M361" s="236">
        <f ca="1" t="shared" si="126"/>
        <v>2.47210941059116</v>
      </c>
      <c r="N361" s="236">
        <f ca="1">INDEX(Photobiology!$21:$421,1+$H361-380,N$14)</f>
        <v>2.27212384783961e-9</v>
      </c>
      <c r="O361" s="236">
        <f ca="1">INDEX(Photobiology!$21:$421,1+$H361-380,O$14)</f>
        <v>0.000119542683315347</v>
      </c>
      <c r="P361" s="236">
        <f ca="1">INDEX(Photobiology!$21:$421,1+$H361-380,P$14)</f>
        <v>0.00150494975291868</v>
      </c>
      <c r="Q361" s="236">
        <f ca="1">INDEX(Photobiology!$21:$421,1+$H361-380,Q$14)</f>
        <v>4.7442219660836e-6</v>
      </c>
      <c r="R361" s="236">
        <f ca="1">INDEX(Photobiology!$21:$421,1+$H361-380,R$14)</f>
        <v>6.68990576076792e-7</v>
      </c>
      <c r="S361" s="236">
        <f ca="1" t="shared" si="127"/>
        <v>8.96282748646458e+18</v>
      </c>
      <c r="T361" s="236">
        <f ca="1">INDEX(Photobiology!$21:$421,1+$H361-380,T$14)</f>
        <v>1.38852012923532e-9</v>
      </c>
      <c r="U361" s="236">
        <f ca="1">INDEX(Photobiology!$21:$421,1+$H361-380,U$14)</f>
        <v>9.0160387309125e-5</v>
      </c>
      <c r="V361" s="236">
        <f ca="1">INDEX(Photobiology!$21:$421,1+$H361-380,V$14)</f>
        <v>0.0011899057480388</v>
      </c>
      <c r="W361" s="236">
        <f ca="1">INDEX(Photobiology!$21:$421,1+$H361-380,W$14)</f>
        <v>3.35873868090652e-6</v>
      </c>
      <c r="X361" s="236">
        <f ca="1">INDEX(Photobiology!$21:$421,1+$H361-380,X$14)</f>
        <v>4.54149107227639e-7</v>
      </c>
      <c r="Y361" s="236">
        <f ca="1" t="shared" si="114"/>
        <v>2.47210941059116</v>
      </c>
      <c r="Z361" s="236">
        <f ca="1" t="shared" si="128"/>
        <v>5.6169387462729e-9</v>
      </c>
      <c r="AA361" s="236">
        <f ca="1" t="shared" si="115"/>
        <v>0.000295522592391188</v>
      </c>
      <c r="AB361" s="236">
        <f ca="1" t="shared" si="116"/>
        <v>0.00372040044665711</v>
      </c>
      <c r="AC361" s="236">
        <f ca="1" t="shared" si="117"/>
        <v>1.17282357682886e-5</v>
      </c>
      <c r="AD361" s="236">
        <f ca="1" t="shared" si="118"/>
        <v>1.65381789871624e-6</v>
      </c>
      <c r="AE361" s="236"/>
      <c r="AF361" s="236"/>
      <c r="AG361" s="236"/>
      <c r="AH361" s="236">
        <f t="shared" si="129"/>
        <v>720</v>
      </c>
      <c r="AI361" s="236">
        <f>IF($AH361&gt;$AH360,INDEX(Spectra!361:361,1,MATCH($AI$20,Spectra!$20:$20,0)),AI360)</f>
        <v>1</v>
      </c>
      <c r="AJ361" s="236">
        <f>((Physics!$C$9*Physics!$C$10)/(Physics!$C$11*Physics!$C$12*$AH361))^($AJ$17-$AJ$18)</f>
        <v>3.62557880653077e+18</v>
      </c>
      <c r="AK361" s="236">
        <f t="shared" si="130"/>
        <v>1</v>
      </c>
      <c r="AL361" s="236">
        <f ca="1">INDEX(Photobiology!$21:$421,1+$AH361-380,10)</f>
        <v>0.001047</v>
      </c>
      <c r="AM361" s="236">
        <f ca="1" t="shared" si="131"/>
        <v>13.3319879209511</v>
      </c>
      <c r="AN361" s="236">
        <f ca="1">INDEX(Photobiology!$21:$421,1+$AH361-380,AN$14)</f>
        <v>2.27212384783961e-9</v>
      </c>
      <c r="AO361" s="236">
        <f ca="1">INDEX(Photobiology!$21:$421,1+$AH361-380,AO$14)</f>
        <v>0.000119542683315347</v>
      </c>
      <c r="AP361" s="236">
        <f ca="1">INDEX(Photobiology!$21:$421,1+$AH361-380,AP$14)</f>
        <v>0.00150494975291868</v>
      </c>
      <c r="AQ361" s="236">
        <f ca="1">INDEX(Photobiology!$21:$421,1+$AH361-380,AQ$14)</f>
        <v>4.7442219660836e-6</v>
      </c>
      <c r="AR361" s="236">
        <f ca="1">INDEX(Photobiology!$21:$421,1+$AH361-380,AR$14)</f>
        <v>6.68990576076792e-7</v>
      </c>
      <c r="AS361" s="236">
        <f ca="1" t="shared" si="132"/>
        <v>4.83361728551246e+19</v>
      </c>
      <c r="AT361" s="236">
        <f ca="1">INDEX(Photobiology!$21:$421,1+$AH361-380,AT$14)</f>
        <v>1.38852012923532e-9</v>
      </c>
      <c r="AU361" s="236">
        <f ca="1">INDEX(Photobiology!$21:$421,1+$AH361-380,AU$14)</f>
        <v>9.0160387309125e-5</v>
      </c>
      <c r="AV361" s="236">
        <f ca="1">INDEX(Photobiology!$21:$421,1+$AH361-380,AV$14)</f>
        <v>0.0011899057480388</v>
      </c>
      <c r="AW361" s="236">
        <f ca="1">INDEX(Photobiology!$21:$421,1+$AH361-380,AW$14)</f>
        <v>3.35873868090652e-6</v>
      </c>
      <c r="AX361" s="236">
        <f ca="1">INDEX(Photobiology!$21:$421,1+$AH361-380,AX$14)</f>
        <v>4.54149107227639e-7</v>
      </c>
      <c r="AY361" s="236">
        <f ca="1" t="shared" si="119"/>
        <v>13.3319879209511</v>
      </c>
      <c r="AZ361" s="236">
        <f ca="1" t="shared" si="133"/>
        <v>3.02919276943027e-8</v>
      </c>
      <c r="BA361" s="236">
        <f ca="1" t="shared" si="120"/>
        <v>0.00159374160999829</v>
      </c>
      <c r="BB361" s="236">
        <f ca="1" t="shared" si="121"/>
        <v>0.0200639719275502</v>
      </c>
      <c r="BC361" s="236">
        <f ca="1" t="shared" si="122"/>
        <v>6.32499099461376e-5</v>
      </c>
      <c r="BD361" s="236">
        <f ca="1" t="shared" si="123"/>
        <v>8.91897427948594e-6</v>
      </c>
    </row>
    <row r="362" s="234" customFormat="1" ht="0.2" customHeight="1" spans="7:56">
      <c r="G362" s="236"/>
      <c r="H362" s="236">
        <f t="shared" si="124"/>
        <v>721</v>
      </c>
      <c r="I362" s="236">
        <f>IF($H362&gt;$H361,INDEX(Spectra!362:362,1,MATCH($I$20,Spectra!$20:$20,0)),I361)</f>
        <v>2.40513392848715</v>
      </c>
      <c r="J362" s="236">
        <f>((Physics!$C$9*Physics!$C$10)/(Physics!$C$11*Physics!$C$12*$H362))^($J$17-$J$18)</f>
        <v>3.63061433265095e+18</v>
      </c>
      <c r="K362" s="236">
        <f t="shared" si="125"/>
        <v>1</v>
      </c>
      <c r="L362" s="236">
        <f ca="1">INDEX(Photobiology!$21:$421,1+$H362-380,10)</f>
        <v>0.0009765896</v>
      </c>
      <c r="M362" s="236">
        <f ca="1" t="shared" si="126"/>
        <v>2.40513392848715</v>
      </c>
      <c r="N362" s="236">
        <f ca="1">INDEX(Photobiology!$21:$421,1+$H362-380,N$14)</f>
        <v>2.15130506639233e-9</v>
      </c>
      <c r="O362" s="236">
        <f ca="1">INDEX(Photobiology!$21:$421,1+$H362-380,O$14)</f>
        <v>0.000111539065101528</v>
      </c>
      <c r="P362" s="236">
        <f ca="1">INDEX(Photobiology!$21:$421,1+$H362-380,P$14)</f>
        <v>0.00140108989227046</v>
      </c>
      <c r="Q362" s="236">
        <f ca="1">INDEX(Photobiology!$21:$421,1+$H362-380,Q$14)</f>
        <v>4.44575985634309e-6</v>
      </c>
      <c r="R362" s="236">
        <f ca="1">INDEX(Photobiology!$21:$421,1+$H362-380,R$14)</f>
        <v>6.28260853543893e-7</v>
      </c>
      <c r="S362" s="236">
        <f ca="1" t="shared" si="127"/>
        <v>8.73211371271053e+18</v>
      </c>
      <c r="T362" s="236">
        <f ca="1">INDEX(Photobiology!$21:$421,1+$H362-380,T$14)</f>
        <v>1.31286300861668e-9</v>
      </c>
      <c r="U362" s="236">
        <f ca="1">INDEX(Photobiology!$21:$421,1+$H362-380,U$14)</f>
        <v>8.40072949139655e-5</v>
      </c>
      <c r="V362" s="236">
        <f ca="1">INDEX(Photobiology!$21:$421,1+$H362-380,V$14)</f>
        <v>0.00110625130028157</v>
      </c>
      <c r="W362" s="236">
        <f ca="1">INDEX(Photobiology!$21:$421,1+$H362-380,W$14)</f>
        <v>3.14307285269545e-6</v>
      </c>
      <c r="X362" s="236">
        <f ca="1">INDEX(Photobiology!$21:$421,1+$H362-380,X$14)</f>
        <v>4.25907900772096e-7</v>
      </c>
      <c r="Y362" s="236">
        <f ca="1" t="shared" si="114"/>
        <v>2.40513392848715</v>
      </c>
      <c r="Z362" s="236">
        <f ca="1" t="shared" si="128"/>
        <v>5.17417680570649e-9</v>
      </c>
      <c r="AA362" s="236">
        <f ca="1" t="shared" si="115"/>
        <v>0.000268266389827422</v>
      </c>
      <c r="AB362" s="236">
        <f ca="1" t="shared" si="116"/>
        <v>0.00336980883676009</v>
      </c>
      <c r="AC362" s="236">
        <f ca="1" t="shared" si="117"/>
        <v>1.06926478683969e-5</v>
      </c>
      <c r="AD362" s="236">
        <f ca="1" t="shared" si="118"/>
        <v>1.51105149479871e-6</v>
      </c>
      <c r="AE362" s="236"/>
      <c r="AF362" s="236"/>
      <c r="AG362" s="236"/>
      <c r="AH362" s="236">
        <f t="shared" si="129"/>
        <v>721</v>
      </c>
      <c r="AI362" s="236">
        <f>IF($AH362&gt;$AH361,INDEX(Spectra!362:362,1,MATCH($AI$20,Spectra!$20:$20,0)),AI361)</f>
        <v>1</v>
      </c>
      <c r="AJ362" s="236">
        <f>((Physics!$C$9*Physics!$C$10)/(Physics!$C$11*Physics!$C$12*$AH362))^($AJ$17-$AJ$18)</f>
        <v>3.63061433265095e+18</v>
      </c>
      <c r="AK362" s="236">
        <f t="shared" si="130"/>
        <v>1</v>
      </c>
      <c r="AL362" s="236">
        <f ca="1">INDEX(Photobiology!$21:$421,1+$AH362-380,10)</f>
        <v>0.0009765896</v>
      </c>
      <c r="AM362" s="236">
        <f ca="1" t="shared" si="131"/>
        <v>13.3319879209511</v>
      </c>
      <c r="AN362" s="236">
        <f ca="1">INDEX(Photobiology!$21:$421,1+$AH362-380,AN$14)</f>
        <v>2.15130506639233e-9</v>
      </c>
      <c r="AO362" s="236">
        <f ca="1">INDEX(Photobiology!$21:$421,1+$AH362-380,AO$14)</f>
        <v>0.000111539065101528</v>
      </c>
      <c r="AP362" s="236">
        <f ca="1">INDEX(Photobiology!$21:$421,1+$AH362-380,AP$14)</f>
        <v>0.00140108989227046</v>
      </c>
      <c r="AQ362" s="236">
        <f ca="1">INDEX(Photobiology!$21:$421,1+$AH362-380,AQ$14)</f>
        <v>4.44575985634309e-6</v>
      </c>
      <c r="AR362" s="236">
        <f ca="1">INDEX(Photobiology!$21:$421,1+$AH362-380,AR$14)</f>
        <v>6.28260853543893e-7</v>
      </c>
      <c r="AS362" s="236">
        <f ca="1" t="shared" si="132"/>
        <v>4.84033064285345e+19</v>
      </c>
      <c r="AT362" s="236">
        <f ca="1">INDEX(Photobiology!$21:$421,1+$AH362-380,AT$14)</f>
        <v>1.31286300861668e-9</v>
      </c>
      <c r="AU362" s="236">
        <f ca="1">INDEX(Photobiology!$21:$421,1+$AH362-380,AU$14)</f>
        <v>8.40072949139655e-5</v>
      </c>
      <c r="AV362" s="236">
        <f ca="1">INDEX(Photobiology!$21:$421,1+$AH362-380,AV$14)</f>
        <v>0.00110625130028157</v>
      </c>
      <c r="AW362" s="236">
        <f ca="1">INDEX(Photobiology!$21:$421,1+$AH362-380,AW$14)</f>
        <v>3.14307285269545e-6</v>
      </c>
      <c r="AX362" s="236">
        <f ca="1">INDEX(Photobiology!$21:$421,1+$AH362-380,AX$14)</f>
        <v>4.25907900772096e-7</v>
      </c>
      <c r="AY362" s="236">
        <f ca="1" t="shared" si="119"/>
        <v>13.3319879209511</v>
      </c>
      <c r="AZ362" s="236">
        <f ca="1" t="shared" si="133"/>
        <v>2.86811731594235e-8</v>
      </c>
      <c r="BA362" s="236">
        <f ca="1" t="shared" si="120"/>
        <v>0.00148703746864775</v>
      </c>
      <c r="BB362" s="236">
        <f ca="1" t="shared" si="121"/>
        <v>0.0186793135199165</v>
      </c>
      <c r="BC362" s="236">
        <f ca="1" t="shared" si="122"/>
        <v>5.92708167042156e-5</v>
      </c>
      <c r="BD362" s="236">
        <f ca="1" t="shared" si="123"/>
        <v>8.37596611065364e-6</v>
      </c>
    </row>
    <row r="363" s="234" customFormat="1" ht="0.2" customHeight="1" spans="7:56">
      <c r="G363" s="236"/>
      <c r="H363" s="236">
        <f t="shared" si="124"/>
        <v>722</v>
      </c>
      <c r="I363" s="236">
        <f>IF($H363&gt;$H362,INDEX(Spectra!363:363,1,MATCH($I$20,Spectra!$20:$20,0)),I362)</f>
        <v>2.34171985896532</v>
      </c>
      <c r="J363" s="236">
        <f>((Physics!$C$9*Physics!$C$10)/(Physics!$C$11*Physics!$C$12*$H363))^($J$17-$J$18)</f>
        <v>3.63564985877113e+18</v>
      </c>
      <c r="K363" s="236">
        <f t="shared" si="125"/>
        <v>1</v>
      </c>
      <c r="L363" s="236">
        <f ca="1">INDEX(Photobiology!$21:$421,1+$H363-380,10)</f>
        <v>0.0009111088</v>
      </c>
      <c r="M363" s="236">
        <f ca="1" t="shared" si="126"/>
        <v>2.34171985896532</v>
      </c>
      <c r="N363" s="236">
        <f ca="1">INDEX(Photobiology!$21:$421,1+$H363-380,N$14)</f>
        <v>2.03722970485501e-9</v>
      </c>
      <c r="O363" s="236">
        <f ca="1">INDEX(Photobiology!$21:$421,1+$H363-380,O$14)</f>
        <v>0.000104089997954074</v>
      </c>
      <c r="P363" s="236">
        <f ca="1">INDEX(Photobiology!$21:$421,1+$H363-380,P$14)</f>
        <v>0.00130455682134101</v>
      </c>
      <c r="Q363" s="236">
        <f ca="1">INDEX(Photobiology!$21:$421,1+$H363-380,Q$14)</f>
        <v>4.16682249425975e-6</v>
      </c>
      <c r="R363" s="236">
        <f ca="1">INDEX(Photobiology!$21:$421,1+$H363-380,R$14)</f>
        <v>5.90114111334721e-7</v>
      </c>
      <c r="S363" s="236">
        <f ca="1" t="shared" si="127"/>
        <v>8.51367347452882e+18</v>
      </c>
      <c r="T363" s="236">
        <f ca="1">INDEX(Photobiology!$21:$421,1+$H363-380,T$14)</f>
        <v>1.24152502788948e-9</v>
      </c>
      <c r="U363" s="236">
        <f ca="1">INDEX(Photobiology!$21:$421,1+$H363-380,U$14)</f>
        <v>7.82883369374261e-5</v>
      </c>
      <c r="V363" s="236">
        <f ca="1">INDEX(Photobiology!$21:$421,1+$H363-380,V$14)</f>
        <v>0.00102860554533171</v>
      </c>
      <c r="W363" s="236">
        <f ca="1">INDEX(Photobiology!$21:$421,1+$H363-380,W$14)</f>
        <v>2.94178896616247e-6</v>
      </c>
      <c r="X363" s="236">
        <f ca="1">INDEX(Photobiology!$21:$421,1+$H363-380,X$14)</f>
        <v>3.99493542470709e-7</v>
      </c>
      <c r="Y363" s="236">
        <f ca="1" t="shared" si="114"/>
        <v>2.34171985896532</v>
      </c>
      <c r="Z363" s="236">
        <f ca="1" t="shared" si="128"/>
        <v>4.77062125713303e-9</v>
      </c>
      <c r="AA363" s="236">
        <f ca="1" t="shared" si="115"/>
        <v>0.000243749615328715</v>
      </c>
      <c r="AB363" s="236">
        <f ca="1" t="shared" si="116"/>
        <v>0.00305490661568292</v>
      </c>
      <c r="AC363" s="236">
        <f ca="1" t="shared" si="117"/>
        <v>9.75753098359147e-6</v>
      </c>
      <c r="AD363" s="236">
        <f ca="1" t="shared" si="118"/>
        <v>1.38188193356819e-6</v>
      </c>
      <c r="AE363" s="236"/>
      <c r="AF363" s="236"/>
      <c r="AG363" s="236"/>
      <c r="AH363" s="236">
        <f t="shared" si="129"/>
        <v>722</v>
      </c>
      <c r="AI363" s="236">
        <f>IF($AH363&gt;$AH362,INDEX(Spectra!363:363,1,MATCH($AI$20,Spectra!$20:$20,0)),AI362)</f>
        <v>1</v>
      </c>
      <c r="AJ363" s="236">
        <f>((Physics!$C$9*Physics!$C$10)/(Physics!$C$11*Physics!$C$12*$AH363))^($AJ$17-$AJ$18)</f>
        <v>3.63564985877113e+18</v>
      </c>
      <c r="AK363" s="236">
        <f t="shared" si="130"/>
        <v>1</v>
      </c>
      <c r="AL363" s="236">
        <f ca="1">INDEX(Photobiology!$21:$421,1+$AH363-380,10)</f>
        <v>0.0009111088</v>
      </c>
      <c r="AM363" s="236">
        <f ca="1" t="shared" si="131"/>
        <v>13.3319879209511</v>
      </c>
      <c r="AN363" s="236">
        <f ca="1">INDEX(Photobiology!$21:$421,1+$AH363-380,AN$14)</f>
        <v>2.03722970485501e-9</v>
      </c>
      <c r="AO363" s="236">
        <f ca="1">INDEX(Photobiology!$21:$421,1+$AH363-380,AO$14)</f>
        <v>0.000104089997954074</v>
      </c>
      <c r="AP363" s="236">
        <f ca="1">INDEX(Photobiology!$21:$421,1+$AH363-380,AP$14)</f>
        <v>0.00130455682134101</v>
      </c>
      <c r="AQ363" s="236">
        <f ca="1">INDEX(Photobiology!$21:$421,1+$AH363-380,AQ$14)</f>
        <v>4.16682249425975e-6</v>
      </c>
      <c r="AR363" s="236">
        <f ca="1">INDEX(Photobiology!$21:$421,1+$AH363-380,AR$14)</f>
        <v>5.90114111334721e-7</v>
      </c>
      <c r="AS363" s="236">
        <f ca="1" t="shared" si="132"/>
        <v>4.84704400019444e+19</v>
      </c>
      <c r="AT363" s="236">
        <f ca="1">INDEX(Photobiology!$21:$421,1+$AH363-380,AT$14)</f>
        <v>1.24152502788948e-9</v>
      </c>
      <c r="AU363" s="236">
        <f ca="1">INDEX(Photobiology!$21:$421,1+$AH363-380,AU$14)</f>
        <v>7.82883369374261e-5</v>
      </c>
      <c r="AV363" s="236">
        <f ca="1">INDEX(Photobiology!$21:$421,1+$AH363-380,AV$14)</f>
        <v>0.00102860554533171</v>
      </c>
      <c r="AW363" s="236">
        <f ca="1">INDEX(Photobiology!$21:$421,1+$AH363-380,AW$14)</f>
        <v>2.94178896616247e-6</v>
      </c>
      <c r="AX363" s="236">
        <f ca="1">INDEX(Photobiology!$21:$421,1+$AH363-380,AX$14)</f>
        <v>3.99493542470709e-7</v>
      </c>
      <c r="AY363" s="236">
        <f ca="1" t="shared" si="119"/>
        <v>13.3319879209511</v>
      </c>
      <c r="AZ363" s="236">
        <f ca="1" t="shared" si="133"/>
        <v>2.71603218173299e-8</v>
      </c>
      <c r="BA363" s="236">
        <f ca="1" t="shared" si="120"/>
        <v>0.00138772659541554</v>
      </c>
      <c r="BB363" s="236">
        <f ca="1" t="shared" si="121"/>
        <v>0.0173923357843128</v>
      </c>
      <c r="BC363" s="236">
        <f ca="1" t="shared" si="122"/>
        <v>5.55520271622185e-5</v>
      </c>
      <c r="BD363" s="236">
        <f ca="1" t="shared" si="123"/>
        <v>7.86739420429732e-6</v>
      </c>
    </row>
    <row r="364" s="234" customFormat="1" ht="0.2" customHeight="1" spans="7:56">
      <c r="G364" s="236"/>
      <c r="H364" s="236">
        <f t="shared" si="124"/>
        <v>723</v>
      </c>
      <c r="I364" s="236">
        <f>IF($H364&gt;$H363,INDEX(Spectra!364:364,1,MATCH($I$20,Spectra!$20:$20,0)),I363)</f>
        <v>2.27677965530628</v>
      </c>
      <c r="J364" s="236">
        <f>((Physics!$C$9*Physics!$C$10)/(Physics!$C$11*Physics!$C$12*$H364))^($J$17-$J$18)</f>
        <v>3.64068538489131e+18</v>
      </c>
      <c r="K364" s="236">
        <f t="shared" si="125"/>
        <v>1</v>
      </c>
      <c r="L364" s="236">
        <f ca="1">INDEX(Photobiology!$21:$421,1+$H364-380,10)</f>
        <v>0.0008501332</v>
      </c>
      <c r="M364" s="236">
        <f ca="1" t="shared" si="126"/>
        <v>2.27677965530628</v>
      </c>
      <c r="N364" s="236">
        <f ca="1">INDEX(Photobiology!$21:$421,1+$H364-380,N$14)</f>
        <v>1.92949652167237e-9</v>
      </c>
      <c r="O364" s="236">
        <f ca="1">INDEX(Photobiology!$21:$421,1+$H364-380,O$14)</f>
        <v>9.71560836214098e-5</v>
      </c>
      <c r="P364" s="236">
        <f ca="1">INDEX(Photobiology!$21:$421,1+$H364-380,P$14)</f>
        <v>0.00121482298395979</v>
      </c>
      <c r="Q364" s="236">
        <f ca="1">INDEX(Photobiology!$21:$421,1+$H364-380,Q$14)</f>
        <v>3.90609678496189e-6</v>
      </c>
      <c r="R364" s="236">
        <f ca="1">INDEX(Photobiology!$21:$421,1+$H364-380,R$14)</f>
        <v>5.54380569153912e-7</v>
      </c>
      <c r="S364" s="236">
        <f ca="1" t="shared" si="127"/>
        <v>8.28903841569145e+18</v>
      </c>
      <c r="T364" s="236">
        <f ca="1">INDEX(Photobiology!$21:$421,1+$H364-380,T$14)</f>
        <v>1.17424407957931e-9</v>
      </c>
      <c r="U364" s="236">
        <f ca="1">INDEX(Photobiology!$21:$421,1+$H364-380,U$14)</f>
        <v>7.2972120700605e-5</v>
      </c>
      <c r="V364" s="236">
        <f ca="1">INDEX(Photobiology!$21:$421,1+$H364-380,V$14)</f>
        <v>0.000956528163310634</v>
      </c>
      <c r="W364" s="236">
        <f ca="1">INDEX(Photobiology!$21:$421,1+$H364-380,W$14)</f>
        <v>2.75390157857542e-6</v>
      </c>
      <c r="X364" s="236">
        <f ca="1">INDEX(Photobiology!$21:$421,1+$H364-380,X$14)</f>
        <v>3.74783673698224e-7</v>
      </c>
      <c r="Y364" s="236">
        <f ca="1" t="shared" si="114"/>
        <v>2.27677965530628</v>
      </c>
      <c r="Z364" s="236">
        <f ca="1" t="shared" si="128"/>
        <v>4.39303842552788e-9</v>
      </c>
      <c r="AA364" s="236">
        <f ca="1" t="shared" si="115"/>
        <v>0.000221202994578461</v>
      </c>
      <c r="AB364" s="236">
        <f ca="1" t="shared" si="116"/>
        <v>0.00276588425467812</v>
      </c>
      <c r="AC364" s="236">
        <f ca="1" t="shared" si="117"/>
        <v>8.8933216916585e-6</v>
      </c>
      <c r="AD364" s="236">
        <f ca="1" t="shared" si="118"/>
        <v>1.26220240114674e-6</v>
      </c>
      <c r="AE364" s="236"/>
      <c r="AF364" s="236"/>
      <c r="AG364" s="236"/>
      <c r="AH364" s="236">
        <f t="shared" si="129"/>
        <v>723</v>
      </c>
      <c r="AI364" s="236">
        <f>IF($AH364&gt;$AH363,INDEX(Spectra!364:364,1,MATCH($AI$20,Spectra!$20:$20,0)),AI363)</f>
        <v>1</v>
      </c>
      <c r="AJ364" s="236">
        <f>((Physics!$C$9*Physics!$C$10)/(Physics!$C$11*Physics!$C$12*$AH364))^($AJ$17-$AJ$18)</f>
        <v>3.64068538489131e+18</v>
      </c>
      <c r="AK364" s="236">
        <f t="shared" si="130"/>
        <v>1</v>
      </c>
      <c r="AL364" s="236">
        <f ca="1">INDEX(Photobiology!$21:$421,1+$AH364-380,10)</f>
        <v>0.0008501332</v>
      </c>
      <c r="AM364" s="236">
        <f ca="1" t="shared" si="131"/>
        <v>13.3319879209511</v>
      </c>
      <c r="AN364" s="236">
        <f ca="1">INDEX(Photobiology!$21:$421,1+$AH364-380,AN$14)</f>
        <v>1.92949652167237e-9</v>
      </c>
      <c r="AO364" s="236">
        <f ca="1">INDEX(Photobiology!$21:$421,1+$AH364-380,AO$14)</f>
        <v>9.71560836214098e-5</v>
      </c>
      <c r="AP364" s="236">
        <f ca="1">INDEX(Photobiology!$21:$421,1+$AH364-380,AP$14)</f>
        <v>0.00121482298395979</v>
      </c>
      <c r="AQ364" s="236">
        <f ca="1">INDEX(Photobiology!$21:$421,1+$AH364-380,AQ$14)</f>
        <v>3.90609678496189e-6</v>
      </c>
      <c r="AR364" s="236">
        <f ca="1">INDEX(Photobiology!$21:$421,1+$AH364-380,AR$14)</f>
        <v>5.54380569153912e-7</v>
      </c>
      <c r="AS364" s="236">
        <f ca="1" t="shared" si="132"/>
        <v>4.85375735753543e+19</v>
      </c>
      <c r="AT364" s="236">
        <f ca="1">INDEX(Photobiology!$21:$421,1+$AH364-380,AT$14)</f>
        <v>1.17424407957931e-9</v>
      </c>
      <c r="AU364" s="236">
        <f ca="1">INDEX(Photobiology!$21:$421,1+$AH364-380,AU$14)</f>
        <v>7.2972120700605e-5</v>
      </c>
      <c r="AV364" s="236">
        <f ca="1">INDEX(Photobiology!$21:$421,1+$AH364-380,AV$14)</f>
        <v>0.000956528163310634</v>
      </c>
      <c r="AW364" s="236">
        <f ca="1">INDEX(Photobiology!$21:$421,1+$AH364-380,AW$14)</f>
        <v>2.75390157857542e-6</v>
      </c>
      <c r="AX364" s="236">
        <f ca="1">INDEX(Photobiology!$21:$421,1+$AH364-380,AX$14)</f>
        <v>3.74783673698224e-7</v>
      </c>
      <c r="AY364" s="236">
        <f ca="1" t="shared" si="119"/>
        <v>13.3319879209511</v>
      </c>
      <c r="AZ364" s="236">
        <f ca="1" t="shared" si="133"/>
        <v>2.57240243204533e-8</v>
      </c>
      <c r="BA364" s="236">
        <f ca="1" t="shared" si="120"/>
        <v>0.00129528373328755</v>
      </c>
      <c r="BB364" s="236">
        <f ca="1" t="shared" si="121"/>
        <v>0.0161960053482457</v>
      </c>
      <c r="BC364" s="236">
        <f ca="1" t="shared" si="122"/>
        <v>5.2076035155178e-5</v>
      </c>
      <c r="BD364" s="236">
        <f ca="1" t="shared" si="123"/>
        <v>7.39099505156997e-6</v>
      </c>
    </row>
    <row r="365" s="234" customFormat="1" ht="0.2" customHeight="1" spans="7:56">
      <c r="G365" s="236"/>
      <c r="H365" s="236">
        <f t="shared" si="124"/>
        <v>724</v>
      </c>
      <c r="I365" s="236">
        <f>IF($H365&gt;$H364,INDEX(Spectra!365:365,1,MATCH($I$20,Spectra!$20:$20,0)),I364)</f>
        <v>2.21772451347257</v>
      </c>
      <c r="J365" s="236">
        <f>((Physics!$C$9*Physics!$C$10)/(Physics!$C$11*Physics!$C$12*$H365))^($J$17-$J$18)</f>
        <v>3.64572091101149e+18</v>
      </c>
      <c r="K365" s="236">
        <f t="shared" si="125"/>
        <v>1</v>
      </c>
      <c r="L365" s="236">
        <f ca="1">INDEX(Photobiology!$21:$421,1+$H365-380,10)</f>
        <v>0.0007932384</v>
      </c>
      <c r="M365" s="236">
        <f ca="1" t="shared" si="126"/>
        <v>2.21772451347257</v>
      </c>
      <c r="N365" s="236">
        <f ca="1">INDEX(Photobiology!$21:$421,1+$H365-380,N$14)</f>
        <v>1.82773824734055e-9</v>
      </c>
      <c r="O365" s="236">
        <f ca="1">INDEX(Photobiology!$21:$421,1+$H365-380,O$14)</f>
        <v>9.07001488936771e-5</v>
      </c>
      <c r="P365" s="236">
        <f ca="1">INDEX(Photobiology!$21:$421,1+$H365-380,P$14)</f>
        <v>0.00113140996627431</v>
      </c>
      <c r="Q365" s="236">
        <f ca="1">INDEX(Photobiology!$21:$421,1+$H365-380,Q$14)</f>
        <v>3.66234286416756e-6</v>
      </c>
      <c r="R365" s="236">
        <f ca="1">INDEX(Photobiology!$21:$421,1+$H365-380,R$14)</f>
        <v>5.20901970126174e-7</v>
      </c>
      <c r="S365" s="236">
        <f ca="1" t="shared" si="127"/>
        <v>8.08520463362973e+18</v>
      </c>
      <c r="T365" s="236">
        <f ca="1">INDEX(Photobiology!$21:$421,1+$H365-380,T$14)</f>
        <v>1.11078015031746e-9</v>
      </c>
      <c r="U365" s="236">
        <f ca="1">INDEX(Photobiology!$21:$421,1+$H365-380,U$14)</f>
        <v>6.80290958438424e-5</v>
      </c>
      <c r="V365" s="236">
        <f ca="1">INDEX(Photobiology!$21:$421,1+$H365-380,V$14)</f>
        <v>0.000889619907314355</v>
      </c>
      <c r="W365" s="236">
        <f ca="1">INDEX(Photobiology!$21:$421,1+$H365-380,W$14)</f>
        <v>2.5784822498289e-6</v>
      </c>
      <c r="X365" s="236">
        <f ca="1">INDEX(Photobiology!$21:$421,1+$H365-380,X$14)</f>
        <v>3.51664391381573e-7</v>
      </c>
      <c r="Y365" s="236">
        <f ca="1" t="shared" si="114"/>
        <v>2.21772451347257</v>
      </c>
      <c r="Z365" s="236">
        <f ca="1" t="shared" si="128"/>
        <v>4.05341991533853e-9</v>
      </c>
      <c r="AA365" s="236">
        <f ca="1" t="shared" si="115"/>
        <v>0.00020114794357712</v>
      </c>
      <c r="AB365" s="236">
        <f ca="1" t="shared" si="116"/>
        <v>0.00250915561699371</v>
      </c>
      <c r="AC365" s="236">
        <f ca="1" t="shared" si="117"/>
        <v>8.12206754660574e-6</v>
      </c>
      <c r="AD365" s="236">
        <f ca="1" t="shared" si="118"/>
        <v>1.15521706826497e-6</v>
      </c>
      <c r="AE365" s="236"/>
      <c r="AF365" s="236"/>
      <c r="AG365" s="236"/>
      <c r="AH365" s="236">
        <f t="shared" si="129"/>
        <v>724</v>
      </c>
      <c r="AI365" s="236">
        <f>IF($AH365&gt;$AH364,INDEX(Spectra!365:365,1,MATCH($AI$20,Spectra!$20:$20,0)),AI364)</f>
        <v>1</v>
      </c>
      <c r="AJ365" s="236">
        <f>((Physics!$C$9*Physics!$C$10)/(Physics!$C$11*Physics!$C$12*$AH365))^($AJ$17-$AJ$18)</f>
        <v>3.64572091101149e+18</v>
      </c>
      <c r="AK365" s="236">
        <f t="shared" si="130"/>
        <v>1</v>
      </c>
      <c r="AL365" s="236">
        <f ca="1">INDEX(Photobiology!$21:$421,1+$AH365-380,10)</f>
        <v>0.0007932384</v>
      </c>
      <c r="AM365" s="236">
        <f ca="1" t="shared" si="131"/>
        <v>13.3319879209511</v>
      </c>
      <c r="AN365" s="236">
        <f ca="1">INDEX(Photobiology!$21:$421,1+$AH365-380,AN$14)</f>
        <v>1.82773824734055e-9</v>
      </c>
      <c r="AO365" s="236">
        <f ca="1">INDEX(Photobiology!$21:$421,1+$AH365-380,AO$14)</f>
        <v>9.07001488936771e-5</v>
      </c>
      <c r="AP365" s="236">
        <f ca="1">INDEX(Photobiology!$21:$421,1+$AH365-380,AP$14)</f>
        <v>0.00113140996627431</v>
      </c>
      <c r="AQ365" s="236">
        <f ca="1">INDEX(Photobiology!$21:$421,1+$AH365-380,AQ$14)</f>
        <v>3.66234286416756e-6</v>
      </c>
      <c r="AR365" s="236">
        <f ca="1">INDEX(Photobiology!$21:$421,1+$AH365-380,AR$14)</f>
        <v>5.20901970126174e-7</v>
      </c>
      <c r="AS365" s="236">
        <f ca="1" t="shared" si="132"/>
        <v>4.86047071487642e+19</v>
      </c>
      <c r="AT365" s="236">
        <f ca="1">INDEX(Photobiology!$21:$421,1+$AH365-380,AT$14)</f>
        <v>1.11078015031746e-9</v>
      </c>
      <c r="AU365" s="236">
        <f ca="1">INDEX(Photobiology!$21:$421,1+$AH365-380,AU$14)</f>
        <v>6.80290958438424e-5</v>
      </c>
      <c r="AV365" s="236">
        <f ca="1">INDEX(Photobiology!$21:$421,1+$AH365-380,AV$14)</f>
        <v>0.000889619907314355</v>
      </c>
      <c r="AW365" s="236">
        <f ca="1">INDEX(Photobiology!$21:$421,1+$AH365-380,AW$14)</f>
        <v>2.5784822498289e-6</v>
      </c>
      <c r="AX365" s="236">
        <f ca="1">INDEX(Photobiology!$21:$421,1+$AH365-380,AX$14)</f>
        <v>3.51664391381573e-7</v>
      </c>
      <c r="AY365" s="236">
        <f ca="1" t="shared" si="119"/>
        <v>13.3319879209511</v>
      </c>
      <c r="AZ365" s="236">
        <f ca="1" t="shared" si="133"/>
        <v>2.43673842362046e-8</v>
      </c>
      <c r="BA365" s="236">
        <f ca="1" t="shared" si="120"/>
        <v>0.00120921328947897</v>
      </c>
      <c r="BB365" s="236">
        <f ca="1" t="shared" si="121"/>
        <v>0.0150839440040128</v>
      </c>
      <c r="BC365" s="236">
        <f ca="1" t="shared" si="122"/>
        <v>4.88263108274635e-5</v>
      </c>
      <c r="BD365" s="236">
        <f ca="1" t="shared" si="123"/>
        <v>6.9446587737218e-6</v>
      </c>
    </row>
    <row r="366" s="234" customFormat="1" ht="0.2" customHeight="1" spans="7:56">
      <c r="G366" s="236"/>
      <c r="H366" s="236">
        <f t="shared" si="124"/>
        <v>725</v>
      </c>
      <c r="I366" s="236">
        <f>IF($H366&gt;$H365,INDEX(Spectra!366:366,1,MATCH($I$20,Spectra!$20:$20,0)),I365)</f>
        <v>2.16995070843166</v>
      </c>
      <c r="J366" s="236">
        <f>((Physics!$C$9*Physics!$C$10)/(Physics!$C$11*Physics!$C$12*$H366))^($J$17-$J$18)</f>
        <v>3.65075643713168e+18</v>
      </c>
      <c r="K366" s="236">
        <f t="shared" si="125"/>
        <v>1</v>
      </c>
      <c r="L366" s="236">
        <f ca="1">INDEX(Photobiology!$21:$421,1+$H366-380,10)</f>
        <v>0.00074</v>
      </c>
      <c r="M366" s="236">
        <f ca="1" t="shared" si="126"/>
        <v>2.16995070843166</v>
      </c>
      <c r="N366" s="236">
        <f ca="1">INDEX(Photobiology!$21:$421,1+$H366-380,N$14)</f>
        <v>1.73160966034411e-9</v>
      </c>
      <c r="O366" s="236">
        <f ca="1">INDEX(Photobiology!$21:$421,1+$H366-380,O$14)</f>
        <v>8.46884140576259e-5</v>
      </c>
      <c r="P366" s="236">
        <f ca="1">INDEX(Photobiology!$21:$421,1+$H366-380,P$14)</f>
        <v>0.0010538601920147</v>
      </c>
      <c r="Q366" s="236">
        <f ca="1">INDEX(Photobiology!$21:$421,1+$H366-380,Q$14)</f>
        <v>3.43440889278184e-6</v>
      </c>
      <c r="R366" s="236">
        <f ca="1">INDEX(Photobiology!$21:$421,1+$H366-380,R$14)</f>
        <v>4.89530775569529e-7</v>
      </c>
      <c r="S366" s="236">
        <f ca="1" t="shared" si="127"/>
        <v>7.92196151706533e+18</v>
      </c>
      <c r="T366" s="236">
        <f ca="1">INDEX(Photobiology!$21:$421,1+$H366-380,T$14)</f>
        <v>1.05090793179505e-9</v>
      </c>
      <c r="U366" s="236">
        <f ca="1">INDEX(Photobiology!$21:$421,1+$H366-380,U$14)</f>
        <v>6.3432416804748e-5</v>
      </c>
      <c r="V366" s="236">
        <f ca="1">INDEX(Photobiology!$21:$421,1+$H366-380,V$14)</f>
        <v>0.000827500095029681</v>
      </c>
      <c r="W366" s="236">
        <f ca="1">INDEX(Photobiology!$21:$421,1+$H366-380,W$14)</f>
        <v>2.41466955113121e-6</v>
      </c>
      <c r="X366" s="236">
        <f ca="1">INDEX(Photobiology!$21:$421,1+$H366-380,X$14)</f>
        <v>3.30029646821588e-7</v>
      </c>
      <c r="Y366" s="236">
        <f ca="1" t="shared" si="114"/>
        <v>2.16995070843166</v>
      </c>
      <c r="Z366" s="236">
        <f ca="1" t="shared" si="128"/>
        <v>3.75750760919081e-9</v>
      </c>
      <c r="AA366" s="236">
        <f ca="1" t="shared" si="115"/>
        <v>0.000183769684080299</v>
      </c>
      <c r="AB366" s="236">
        <f ca="1" t="shared" si="116"/>
        <v>0.00228682467025022</v>
      </c>
      <c r="AC366" s="236">
        <f ca="1" t="shared" si="117"/>
        <v>7.45249800993595e-6</v>
      </c>
      <c r="AD366" s="236">
        <f ca="1" t="shared" si="118"/>
        <v>1.0622576532462e-6</v>
      </c>
      <c r="AE366" s="236"/>
      <c r="AF366" s="236"/>
      <c r="AG366" s="236"/>
      <c r="AH366" s="236">
        <f t="shared" si="129"/>
        <v>725</v>
      </c>
      <c r="AI366" s="236">
        <f>IF($AH366&gt;$AH365,INDEX(Spectra!366:366,1,MATCH($AI$20,Spectra!$20:$20,0)),AI365)</f>
        <v>1</v>
      </c>
      <c r="AJ366" s="236">
        <f>((Physics!$C$9*Physics!$C$10)/(Physics!$C$11*Physics!$C$12*$AH366))^($AJ$17-$AJ$18)</f>
        <v>3.65075643713168e+18</v>
      </c>
      <c r="AK366" s="236">
        <f t="shared" si="130"/>
        <v>1</v>
      </c>
      <c r="AL366" s="236">
        <f ca="1">INDEX(Photobiology!$21:$421,1+$AH366-380,10)</f>
        <v>0.00074</v>
      </c>
      <c r="AM366" s="236">
        <f ca="1" t="shared" si="131"/>
        <v>13.3319879209511</v>
      </c>
      <c r="AN366" s="236">
        <f ca="1">INDEX(Photobiology!$21:$421,1+$AH366-380,AN$14)</f>
        <v>1.73160966034411e-9</v>
      </c>
      <c r="AO366" s="236">
        <f ca="1">INDEX(Photobiology!$21:$421,1+$AH366-380,AO$14)</f>
        <v>8.46884140576259e-5</v>
      </c>
      <c r="AP366" s="236">
        <f ca="1">INDEX(Photobiology!$21:$421,1+$AH366-380,AP$14)</f>
        <v>0.0010538601920147</v>
      </c>
      <c r="AQ366" s="236">
        <f ca="1">INDEX(Photobiology!$21:$421,1+$AH366-380,AQ$14)</f>
        <v>3.43440889278184e-6</v>
      </c>
      <c r="AR366" s="236">
        <f ca="1">INDEX(Photobiology!$21:$421,1+$AH366-380,AR$14)</f>
        <v>4.89530775569529e-7</v>
      </c>
      <c r="AS366" s="236">
        <f ca="1" t="shared" si="132"/>
        <v>4.86718407221741e+19</v>
      </c>
      <c r="AT366" s="236">
        <f ca="1">INDEX(Photobiology!$21:$421,1+$AH366-380,AT$14)</f>
        <v>1.05090793179505e-9</v>
      </c>
      <c r="AU366" s="236">
        <f ca="1">INDEX(Photobiology!$21:$421,1+$AH366-380,AU$14)</f>
        <v>6.3432416804748e-5</v>
      </c>
      <c r="AV366" s="236">
        <f ca="1">INDEX(Photobiology!$21:$421,1+$AH366-380,AV$14)</f>
        <v>0.000827500095029681</v>
      </c>
      <c r="AW366" s="236">
        <f ca="1">INDEX(Photobiology!$21:$421,1+$AH366-380,AW$14)</f>
        <v>2.41466955113121e-6</v>
      </c>
      <c r="AX366" s="236">
        <f ca="1">INDEX(Photobiology!$21:$421,1+$AH366-380,AX$14)</f>
        <v>3.30029646821588e-7</v>
      </c>
      <c r="AY366" s="236">
        <f ca="1" t="shared" si="119"/>
        <v>13.3319879209511</v>
      </c>
      <c r="AZ366" s="236">
        <f ca="1" t="shared" si="133"/>
        <v>2.308579907551e-8</v>
      </c>
      <c r="BA366" s="236">
        <f ca="1" t="shared" si="120"/>
        <v>0.00112906491326078</v>
      </c>
      <c r="BB366" s="236">
        <f ca="1" t="shared" si="121"/>
        <v>0.0140500513503112</v>
      </c>
      <c r="BC366" s="236">
        <f ca="1" t="shared" si="122"/>
        <v>4.57874978741747e-5</v>
      </c>
      <c r="BD366" s="236">
        <f ca="1" t="shared" si="123"/>
        <v>6.52641838682681e-6</v>
      </c>
    </row>
    <row r="367" s="234" customFormat="1" ht="0.2" customHeight="1" spans="7:56">
      <c r="G367" s="236"/>
      <c r="H367" s="236">
        <f t="shared" si="124"/>
        <v>726</v>
      </c>
      <c r="I367" s="236">
        <f>IF($H367&gt;$H366,INDEX(Spectra!367:367,1,MATCH($I$20,Spectra!$20:$20,0)),I366)</f>
        <v>2.10302289909497</v>
      </c>
      <c r="J367" s="236">
        <f>((Physics!$C$9*Physics!$C$10)/(Physics!$C$11*Physics!$C$12*$H367))^($J$17-$J$18)</f>
        <v>3.65579196325186e+18</v>
      </c>
      <c r="K367" s="236">
        <f t="shared" si="125"/>
        <v>1</v>
      </c>
      <c r="L367" s="236">
        <f ca="1">INDEX(Photobiology!$21:$421,1+$H367-380,10)</f>
        <v>0.0006900827</v>
      </c>
      <c r="M367" s="236">
        <f ca="1" t="shared" si="126"/>
        <v>2.10302289909497</v>
      </c>
      <c r="N367" s="236">
        <f ca="1">INDEX(Photobiology!$21:$421,1+$H367-380,N$14)</f>
        <v>1.64078622003291e-9</v>
      </c>
      <c r="O367" s="236">
        <f ca="1">INDEX(Photobiology!$21:$421,1+$H367-380,O$14)</f>
        <v>7.90893488556869e-5</v>
      </c>
      <c r="P367" s="236">
        <f ca="1">INDEX(Photobiology!$21:$421,1+$H367-380,P$14)</f>
        <v>0.000981754724717943</v>
      </c>
      <c r="Q367" s="236">
        <f ca="1">INDEX(Photobiology!$21:$421,1+$H367-380,Q$14)</f>
        <v>3.22123938185518e-6</v>
      </c>
      <c r="R367" s="236">
        <f ca="1">INDEX(Photobiology!$21:$421,1+$H367-380,R$14)</f>
        <v>4.60128358072466e-7</v>
      </c>
      <c r="S367" s="236">
        <f ca="1" t="shared" si="127"/>
        <v>7.68821421304602e+18</v>
      </c>
      <c r="T367" s="236">
        <f ca="1">INDEX(Photobiology!$21:$421,1+$H367-380,T$14)</f>
        <v>9.94415890929036e-10</v>
      </c>
      <c r="U367" s="236">
        <f ca="1">INDEX(Photobiology!$21:$421,1+$H367-380,U$14)</f>
        <v>5.91570684730304e-5</v>
      </c>
      <c r="V367" s="236">
        <f ca="1">INDEX(Photobiology!$21:$421,1+$H367-380,V$14)</f>
        <v>0.00076982044008455</v>
      </c>
      <c r="W367" s="236">
        <f ca="1">INDEX(Photobiology!$21:$421,1+$H367-380,W$14)</f>
        <v>2.26167444855647e-6</v>
      </c>
      <c r="X367" s="236">
        <f ca="1">INDEX(Photobiology!$21:$421,1+$H367-380,X$14)</f>
        <v>3.09779975094366e-7</v>
      </c>
      <c r="Y367" s="236">
        <f ca="1" t="shared" si="114"/>
        <v>2.10302289909497</v>
      </c>
      <c r="Z367" s="236">
        <f ca="1" t="shared" si="128"/>
        <v>3.45061099324869e-9</v>
      </c>
      <c r="AA367" s="236">
        <f ca="1" t="shared" si="115"/>
        <v>0.00016632671171802</v>
      </c>
      <c r="AB367" s="236">
        <f ca="1" t="shared" si="116"/>
        <v>0.00206465266737651</v>
      </c>
      <c r="AC367" s="236">
        <f ca="1" t="shared" si="117"/>
        <v>6.77434018350797e-6</v>
      </c>
      <c r="AD367" s="236">
        <f ca="1" t="shared" si="118"/>
        <v>9.67660473549366e-7</v>
      </c>
      <c r="AE367" s="236"/>
      <c r="AF367" s="236"/>
      <c r="AG367" s="236"/>
      <c r="AH367" s="236">
        <f t="shared" si="129"/>
        <v>726</v>
      </c>
      <c r="AI367" s="236">
        <f>IF($AH367&gt;$AH366,INDEX(Spectra!367:367,1,MATCH($AI$20,Spectra!$20:$20,0)),AI366)</f>
        <v>1</v>
      </c>
      <c r="AJ367" s="236">
        <f>((Physics!$C$9*Physics!$C$10)/(Physics!$C$11*Physics!$C$12*$AH367))^($AJ$17-$AJ$18)</f>
        <v>3.65579196325186e+18</v>
      </c>
      <c r="AK367" s="236">
        <f t="shared" si="130"/>
        <v>1</v>
      </c>
      <c r="AL367" s="236">
        <f ca="1">INDEX(Photobiology!$21:$421,1+$AH367-380,10)</f>
        <v>0.0006900827</v>
      </c>
      <c r="AM367" s="236">
        <f ca="1" t="shared" si="131"/>
        <v>13.3319879209511</v>
      </c>
      <c r="AN367" s="236">
        <f ca="1">INDEX(Photobiology!$21:$421,1+$AH367-380,AN$14)</f>
        <v>1.64078622003291e-9</v>
      </c>
      <c r="AO367" s="236">
        <f ca="1">INDEX(Photobiology!$21:$421,1+$AH367-380,AO$14)</f>
        <v>7.90893488556869e-5</v>
      </c>
      <c r="AP367" s="236">
        <f ca="1">INDEX(Photobiology!$21:$421,1+$AH367-380,AP$14)</f>
        <v>0.000981754724717943</v>
      </c>
      <c r="AQ367" s="236">
        <f ca="1">INDEX(Photobiology!$21:$421,1+$AH367-380,AQ$14)</f>
        <v>3.22123938185518e-6</v>
      </c>
      <c r="AR367" s="236">
        <f ca="1">INDEX(Photobiology!$21:$421,1+$AH367-380,AR$14)</f>
        <v>4.60128358072466e-7</v>
      </c>
      <c r="AS367" s="236">
        <f ca="1" t="shared" si="132"/>
        <v>4.8738974295584e+19</v>
      </c>
      <c r="AT367" s="236">
        <f ca="1">INDEX(Photobiology!$21:$421,1+$AH367-380,AT$14)</f>
        <v>9.94415890929036e-10</v>
      </c>
      <c r="AU367" s="236">
        <f ca="1">INDEX(Photobiology!$21:$421,1+$AH367-380,AU$14)</f>
        <v>5.91570684730304e-5</v>
      </c>
      <c r="AV367" s="236">
        <f ca="1">INDEX(Photobiology!$21:$421,1+$AH367-380,AV$14)</f>
        <v>0.00076982044008455</v>
      </c>
      <c r="AW367" s="236">
        <f ca="1">INDEX(Photobiology!$21:$421,1+$AH367-380,AW$14)</f>
        <v>2.26167444855647e-6</v>
      </c>
      <c r="AX367" s="236">
        <f ca="1">INDEX(Photobiology!$21:$421,1+$AH367-380,AX$14)</f>
        <v>3.09779975094366e-7</v>
      </c>
      <c r="AY367" s="236">
        <f ca="1" t="shared" si="119"/>
        <v>13.3319879209511</v>
      </c>
      <c r="AZ367" s="236">
        <f ca="1" t="shared" si="133"/>
        <v>2.18749420663418e-8</v>
      </c>
      <c r="BA367" s="236">
        <f ca="1" t="shared" si="120"/>
        <v>0.00105441824361991</v>
      </c>
      <c r="BB367" s="236">
        <f ca="1" t="shared" si="121"/>
        <v>0.0130887421312763</v>
      </c>
      <c r="BC367" s="236">
        <f ca="1" t="shared" si="122"/>
        <v>4.29455245293854e-5</v>
      </c>
      <c r="BD367" s="236">
        <f ca="1" t="shared" si="123"/>
        <v>6.1344257119092e-6</v>
      </c>
    </row>
    <row r="368" s="234" customFormat="1" ht="0.2" customHeight="1" spans="7:56">
      <c r="G368" s="236"/>
      <c r="H368" s="236">
        <f t="shared" si="124"/>
        <v>727</v>
      </c>
      <c r="I368" s="236">
        <f>IF($H368&gt;$H367,INDEX(Spectra!368:368,1,MATCH($I$20,Spectra!$20:$20,0)),I367)</f>
        <v>2.05203317722888</v>
      </c>
      <c r="J368" s="236">
        <f>((Physics!$C$9*Physics!$C$10)/(Physics!$C$11*Physics!$C$12*$H368))^($J$17-$J$18)</f>
        <v>3.66082748937204e+18</v>
      </c>
      <c r="K368" s="236">
        <f t="shared" si="125"/>
        <v>1</v>
      </c>
      <c r="L368" s="236">
        <f ca="1">INDEX(Photobiology!$21:$421,1+$H368-380,10)</f>
        <v>0.00064331</v>
      </c>
      <c r="M368" s="236">
        <f ca="1" t="shared" si="126"/>
        <v>2.05203317722888</v>
      </c>
      <c r="N368" s="236">
        <f ca="1">INDEX(Photobiology!$21:$421,1+$H368-380,N$14)</f>
        <v>1.55496278680359e-9</v>
      </c>
      <c r="O368" s="236">
        <f ca="1">INDEX(Photobiology!$21:$421,1+$H368-380,O$14)</f>
        <v>7.38737252743942e-5</v>
      </c>
      <c r="P368" s="236">
        <f ca="1">INDEX(Photobiology!$21:$421,1+$H368-380,P$14)</f>
        <v>0.000914709100646535</v>
      </c>
      <c r="Q368" s="236">
        <f ca="1">INDEX(Photobiology!$21:$421,1+$H368-380,Q$14)</f>
        <v>3.02183676003905e-6</v>
      </c>
      <c r="R368" s="236">
        <f ca="1">INDEX(Photobiology!$21:$421,1+$H368-380,R$14)</f>
        <v>4.32566616950553e-7</v>
      </c>
      <c r="S368" s="236">
        <f ca="1" t="shared" si="127"/>
        <v>7.51213946430293e+18</v>
      </c>
      <c r="T368" s="236">
        <f ca="1">INDEX(Photobiology!$21:$421,1+$H368-380,T$14)</f>
        <v>9.41105400541375e-10</v>
      </c>
      <c r="U368" s="236">
        <f ca="1">INDEX(Photobiology!$21:$421,1+$H368-380,U$14)</f>
        <v>5.51798930316686e-5</v>
      </c>
      <c r="V368" s="236">
        <f ca="1">INDEX(Photobiology!$21:$421,1+$H368-380,V$14)</f>
        <v>0.000716261566215692</v>
      </c>
      <c r="W368" s="236">
        <f ca="1">INDEX(Photobiology!$21:$421,1+$H368-380,W$14)</f>
        <v>2.11875285826626e-6</v>
      </c>
      <c r="X368" s="236">
        <f ca="1">INDEX(Photobiology!$21:$421,1+$H368-380,X$14)</f>
        <v>2.90823535875931e-7</v>
      </c>
      <c r="Y368" s="236">
        <f ca="1" t="shared" si="114"/>
        <v>2.05203317722888</v>
      </c>
      <c r="Z368" s="236">
        <f ca="1" t="shared" si="128"/>
        <v>3.19083522787724e-9</v>
      </c>
      <c r="AA368" s="236">
        <f ca="1" t="shared" si="115"/>
        <v>0.000151591335188549</v>
      </c>
      <c r="AB368" s="236">
        <f ca="1" t="shared" si="116"/>
        <v>0.00187701342203988</v>
      </c>
      <c r="AC368" s="236">
        <f ca="1" t="shared" si="117"/>
        <v>6.20090928776996e-6</v>
      </c>
      <c r="AD368" s="236">
        <f ca="1" t="shared" si="118"/>
        <v>8.87641049344191e-7</v>
      </c>
      <c r="AE368" s="236"/>
      <c r="AF368" s="236"/>
      <c r="AG368" s="236"/>
      <c r="AH368" s="236">
        <f t="shared" si="129"/>
        <v>727</v>
      </c>
      <c r="AI368" s="236">
        <f>IF($AH368&gt;$AH367,INDEX(Spectra!368:368,1,MATCH($AI$20,Spectra!$20:$20,0)),AI367)</f>
        <v>1</v>
      </c>
      <c r="AJ368" s="236">
        <f>((Physics!$C$9*Physics!$C$10)/(Physics!$C$11*Physics!$C$12*$AH368))^($AJ$17-$AJ$18)</f>
        <v>3.66082748937204e+18</v>
      </c>
      <c r="AK368" s="236">
        <f t="shared" si="130"/>
        <v>1</v>
      </c>
      <c r="AL368" s="236">
        <f ca="1">INDEX(Photobiology!$21:$421,1+$AH368-380,10)</f>
        <v>0.00064331</v>
      </c>
      <c r="AM368" s="236">
        <f ca="1" t="shared" si="131"/>
        <v>13.3319879209511</v>
      </c>
      <c r="AN368" s="236">
        <f ca="1">INDEX(Photobiology!$21:$421,1+$AH368-380,AN$14)</f>
        <v>1.55496278680359e-9</v>
      </c>
      <c r="AO368" s="236">
        <f ca="1">INDEX(Photobiology!$21:$421,1+$AH368-380,AO$14)</f>
        <v>7.38737252743942e-5</v>
      </c>
      <c r="AP368" s="236">
        <f ca="1">INDEX(Photobiology!$21:$421,1+$AH368-380,AP$14)</f>
        <v>0.000914709100646535</v>
      </c>
      <c r="AQ368" s="236">
        <f ca="1">INDEX(Photobiology!$21:$421,1+$AH368-380,AQ$14)</f>
        <v>3.02183676003905e-6</v>
      </c>
      <c r="AR368" s="236">
        <f ca="1">INDEX(Photobiology!$21:$421,1+$AH368-380,AR$14)</f>
        <v>4.32566616950553e-7</v>
      </c>
      <c r="AS368" s="236">
        <f ca="1" t="shared" si="132"/>
        <v>4.88061078689939e+19</v>
      </c>
      <c r="AT368" s="236">
        <f ca="1">INDEX(Photobiology!$21:$421,1+$AH368-380,AT$14)</f>
        <v>9.41105400541375e-10</v>
      </c>
      <c r="AU368" s="236">
        <f ca="1">INDEX(Photobiology!$21:$421,1+$AH368-380,AU$14)</f>
        <v>5.51798930316686e-5</v>
      </c>
      <c r="AV368" s="236">
        <f ca="1">INDEX(Photobiology!$21:$421,1+$AH368-380,AV$14)</f>
        <v>0.000716261566215692</v>
      </c>
      <c r="AW368" s="236">
        <f ca="1">INDEX(Photobiology!$21:$421,1+$AH368-380,AW$14)</f>
        <v>2.11875285826626e-6</v>
      </c>
      <c r="AX368" s="236">
        <f ca="1">INDEX(Photobiology!$21:$421,1+$AH368-380,AX$14)</f>
        <v>2.90823535875931e-7</v>
      </c>
      <c r="AY368" s="236">
        <f ca="1" t="shared" si="119"/>
        <v>13.3319879209511</v>
      </c>
      <c r="AZ368" s="236">
        <f ca="1" t="shared" si="133"/>
        <v>2.0730745091194e-8</v>
      </c>
      <c r="BA368" s="236">
        <f ca="1" t="shared" si="120"/>
        <v>0.000984883613033886</v>
      </c>
      <c r="BB368" s="236">
        <f ca="1" t="shared" si="121"/>
        <v>0.0121948906810037</v>
      </c>
      <c r="BC368" s="236">
        <f ca="1" t="shared" si="122"/>
        <v>4.02870911839267e-5</v>
      </c>
      <c r="BD368" s="236">
        <f ca="1" t="shared" si="123"/>
        <v>5.76697291219147e-6</v>
      </c>
    </row>
    <row r="369" s="234" customFormat="1" ht="0.2" customHeight="1" spans="7:56">
      <c r="G369" s="236"/>
      <c r="H369" s="236">
        <f t="shared" si="124"/>
        <v>728</v>
      </c>
      <c r="I369" s="236">
        <f>IF($H369&gt;$H368,INDEX(Spectra!369:369,1,MATCH($I$20,Spectra!$20:$20,0)),I368)</f>
        <v>2.01032995581164</v>
      </c>
      <c r="J369" s="236">
        <f>((Physics!$C$9*Physics!$C$10)/(Physics!$C$11*Physics!$C$12*$H369))^($J$17-$J$18)</f>
        <v>3.66586301549222e+18</v>
      </c>
      <c r="K369" s="236">
        <f t="shared" si="125"/>
        <v>1</v>
      </c>
      <c r="L369" s="236">
        <f ca="1">INDEX(Photobiology!$21:$421,1+$H369-380,10)</f>
        <v>0.000599496</v>
      </c>
      <c r="M369" s="236">
        <f ca="1" t="shared" si="126"/>
        <v>2.01032995581164</v>
      </c>
      <c r="N369" s="236">
        <f ca="1">INDEX(Photobiology!$21:$421,1+$H369-380,N$14)</f>
        <v>1.47384903019082e-9</v>
      </c>
      <c r="O369" s="236">
        <f ca="1">INDEX(Photobiology!$21:$421,1+$H369-380,O$14)</f>
        <v>6.9014445027421e-5</v>
      </c>
      <c r="P369" s="236">
        <f ca="1">INDEX(Photobiology!$21:$421,1+$H369-380,P$14)</f>
        <v>0.00085235791820076</v>
      </c>
      <c r="Q369" s="236">
        <f ca="1">INDEX(Photobiology!$21:$421,1+$H369-380,Q$14)</f>
        <v>2.83528029774383e-6</v>
      </c>
      <c r="R369" s="236">
        <f ca="1">INDEX(Photobiology!$21:$421,1+$H369-380,R$14)</f>
        <v>4.06725123782388e-7</v>
      </c>
      <c r="S369" s="236">
        <f ca="1" t="shared" si="127"/>
        <v>7.369594233946e+18</v>
      </c>
      <c r="T369" s="236">
        <f ca="1">INDEX(Photobiology!$21:$421,1+$H369-380,T$14)</f>
        <v>8.90787875390056e-10</v>
      </c>
      <c r="U369" s="236">
        <f ca="1">INDEX(Photobiology!$21:$421,1+$H369-380,U$14)</f>
        <v>5.1479448516439e-5</v>
      </c>
      <c r="V369" s="236">
        <f ca="1">INDEX(Photobiology!$21:$421,1+$H369-380,V$14)</f>
        <v>0.000666520758048856</v>
      </c>
      <c r="W369" s="236">
        <f ca="1">INDEX(Photobiology!$21:$421,1+$H369-380,W$14)</f>
        <v>1.98521858818366e-6</v>
      </c>
      <c r="X369" s="236">
        <f ca="1">INDEX(Photobiology!$21:$421,1+$H369-380,X$14)</f>
        <v>2.73074144596051e-7</v>
      </c>
      <c r="Y369" s="236">
        <f ca="1" t="shared" si="114"/>
        <v>2.01032995581164</v>
      </c>
      <c r="Z369" s="236">
        <f ca="1" t="shared" si="128"/>
        <v>2.96292285573654e-9</v>
      </c>
      <c r="AA369" s="236">
        <f ca="1" t="shared" si="115"/>
        <v>0.00013874180622234</v>
      </c>
      <c r="AB369" s="236">
        <f ca="1" t="shared" si="116"/>
        <v>0.00171352065603224</v>
      </c>
      <c r="AC369" s="236">
        <f ca="1" t="shared" si="117"/>
        <v>5.69984891567697e-6</v>
      </c>
      <c r="AD369" s="236">
        <f ca="1" t="shared" si="118"/>
        <v>8.17651700120932e-7</v>
      </c>
      <c r="AE369" s="236"/>
      <c r="AF369" s="236"/>
      <c r="AG369" s="236"/>
      <c r="AH369" s="236">
        <f t="shared" si="129"/>
        <v>728</v>
      </c>
      <c r="AI369" s="236">
        <f>IF($AH369&gt;$AH368,INDEX(Spectra!369:369,1,MATCH($AI$20,Spectra!$20:$20,0)),AI368)</f>
        <v>1</v>
      </c>
      <c r="AJ369" s="236">
        <f>((Physics!$C$9*Physics!$C$10)/(Physics!$C$11*Physics!$C$12*$AH369))^($AJ$17-$AJ$18)</f>
        <v>3.66586301549222e+18</v>
      </c>
      <c r="AK369" s="236">
        <f t="shared" si="130"/>
        <v>1</v>
      </c>
      <c r="AL369" s="236">
        <f ca="1">INDEX(Photobiology!$21:$421,1+$AH369-380,10)</f>
        <v>0.000599496</v>
      </c>
      <c r="AM369" s="236">
        <f ca="1" t="shared" si="131"/>
        <v>13.3319879209511</v>
      </c>
      <c r="AN369" s="236">
        <f ca="1">INDEX(Photobiology!$21:$421,1+$AH369-380,AN$14)</f>
        <v>1.47384903019082e-9</v>
      </c>
      <c r="AO369" s="236">
        <f ca="1">INDEX(Photobiology!$21:$421,1+$AH369-380,AO$14)</f>
        <v>6.9014445027421e-5</v>
      </c>
      <c r="AP369" s="236">
        <f ca="1">INDEX(Photobiology!$21:$421,1+$AH369-380,AP$14)</f>
        <v>0.00085235791820076</v>
      </c>
      <c r="AQ369" s="236">
        <f ca="1">INDEX(Photobiology!$21:$421,1+$AH369-380,AQ$14)</f>
        <v>2.83528029774383e-6</v>
      </c>
      <c r="AR369" s="236">
        <f ca="1">INDEX(Photobiology!$21:$421,1+$AH369-380,AR$14)</f>
        <v>4.06725123782388e-7</v>
      </c>
      <c r="AS369" s="236">
        <f ca="1" t="shared" si="132"/>
        <v>4.88732414424038e+19</v>
      </c>
      <c r="AT369" s="236">
        <f ca="1">INDEX(Photobiology!$21:$421,1+$AH369-380,AT$14)</f>
        <v>8.90787875390056e-10</v>
      </c>
      <c r="AU369" s="236">
        <f ca="1">INDEX(Photobiology!$21:$421,1+$AH369-380,AU$14)</f>
        <v>5.1479448516439e-5</v>
      </c>
      <c r="AV369" s="236">
        <f ca="1">INDEX(Photobiology!$21:$421,1+$AH369-380,AV$14)</f>
        <v>0.000666520758048856</v>
      </c>
      <c r="AW369" s="236">
        <f ca="1">INDEX(Photobiology!$21:$421,1+$AH369-380,AW$14)</f>
        <v>1.98521858818366e-6</v>
      </c>
      <c r="AX369" s="236">
        <f ca="1">INDEX(Photobiology!$21:$421,1+$AH369-380,AX$14)</f>
        <v>2.73074144596051e-7</v>
      </c>
      <c r="AY369" s="236">
        <f ca="1" t="shared" si="119"/>
        <v>13.3319879209511</v>
      </c>
      <c r="AZ369" s="236">
        <f ca="1" t="shared" si="133"/>
        <v>1.96493374678096e-8</v>
      </c>
      <c r="BA369" s="236">
        <f ca="1" t="shared" si="120"/>
        <v>0.000920099747476723</v>
      </c>
      <c r="BB369" s="236">
        <f ca="1" t="shared" si="121"/>
        <v>0.0113636254697796</v>
      </c>
      <c r="BC369" s="236">
        <f ca="1" t="shared" si="122"/>
        <v>3.77999226820315e-5</v>
      </c>
      <c r="BD369" s="236">
        <f ca="1" t="shared" si="123"/>
        <v>5.42245443741415e-6</v>
      </c>
    </row>
    <row r="370" s="234" customFormat="1" ht="0.2" customHeight="1" spans="7:56">
      <c r="G370" s="236"/>
      <c r="H370" s="236">
        <f t="shared" si="124"/>
        <v>729</v>
      </c>
      <c r="I370" s="236">
        <f>IF($H370&gt;$H369,INDEX(Spectra!370:370,1,MATCH($I$20,Spectra!$20:$20,0)),I369)</f>
        <v>1.95422389772299</v>
      </c>
      <c r="J370" s="236">
        <f>((Physics!$C$9*Physics!$C$10)/(Physics!$C$11*Physics!$C$12*$H370))^($J$17-$J$18)</f>
        <v>3.6708985416124e+18</v>
      </c>
      <c r="K370" s="236">
        <f t="shared" si="125"/>
        <v>1</v>
      </c>
      <c r="L370" s="236">
        <f ca="1">INDEX(Photobiology!$21:$421,1+$H370-380,10)</f>
        <v>0.0005584547</v>
      </c>
      <c r="M370" s="236">
        <f ca="1" t="shared" si="126"/>
        <v>1.95422389772299</v>
      </c>
      <c r="N370" s="236">
        <f ca="1">INDEX(Photobiology!$21:$421,1+$H370-380,N$14)</f>
        <v>1.3971724066998e-9</v>
      </c>
      <c r="O370" s="236">
        <f ca="1">INDEX(Photobiology!$21:$421,1+$H370-380,O$14)</f>
        <v>6.44862317944524e-5</v>
      </c>
      <c r="P370" s="236">
        <f ca="1">INDEX(Photobiology!$21:$421,1+$H370-380,P$14)</f>
        <v>0.000794368473927217</v>
      </c>
      <c r="Q370" s="236">
        <f ca="1">INDEX(Photobiology!$21:$421,1+$H370-380,Q$14)</f>
        <v>2.66070668022471e-6</v>
      </c>
      <c r="R370" s="236">
        <f ca="1">INDEX(Photobiology!$21:$421,1+$H370-380,R$14)</f>
        <v>3.82493447808959e-7</v>
      </c>
      <c r="S370" s="236">
        <f ca="1" t="shared" si="127"/>
        <v>7.17375765613542e+18</v>
      </c>
      <c r="T370" s="236">
        <f ca="1">INDEX(Photobiology!$21:$421,1+$H370-380,T$14)</f>
        <v>8.4328650061442e-10</v>
      </c>
      <c r="U370" s="236">
        <f ca="1">INDEX(Photobiology!$21:$421,1+$H370-380,U$14)</f>
        <v>4.80357677962395e-5</v>
      </c>
      <c r="V370" s="236">
        <f ca="1">INDEX(Photobiology!$21:$421,1+$H370-380,V$14)</f>
        <v>0.000620322495188289</v>
      </c>
      <c r="W370" s="236">
        <f ca="1">INDEX(Photobiology!$21:$421,1+$H370-380,W$14)</f>
        <v>1.86042935717031e-6</v>
      </c>
      <c r="X370" s="236">
        <f ca="1">INDEX(Photobiology!$21:$421,1+$H370-380,X$14)</f>
        <v>2.56452792772228e-7</v>
      </c>
      <c r="Y370" s="236">
        <f ca="1" t="shared" si="114"/>
        <v>1.95422389772299</v>
      </c>
      <c r="Z370" s="236">
        <f ca="1" t="shared" si="128"/>
        <v>2.73038770641189e-9</v>
      </c>
      <c r="AA370" s="236">
        <f ca="1" t="shared" si="115"/>
        <v>0.000126020535246823</v>
      </c>
      <c r="AB370" s="236">
        <f ca="1" t="shared" si="116"/>
        <v>0.00155237385534631</v>
      </c>
      <c r="AC370" s="236">
        <f ca="1" t="shared" si="117"/>
        <v>5.19961657932633e-6</v>
      </c>
      <c r="AD370" s="236">
        <f ca="1" t="shared" si="118"/>
        <v>7.47477836430729e-7</v>
      </c>
      <c r="AE370" s="236"/>
      <c r="AF370" s="236"/>
      <c r="AG370" s="236"/>
      <c r="AH370" s="236">
        <f t="shared" si="129"/>
        <v>729</v>
      </c>
      <c r="AI370" s="236">
        <f>IF($AH370&gt;$AH369,INDEX(Spectra!370:370,1,MATCH($AI$20,Spectra!$20:$20,0)),AI369)</f>
        <v>1</v>
      </c>
      <c r="AJ370" s="236">
        <f>((Physics!$C$9*Physics!$C$10)/(Physics!$C$11*Physics!$C$12*$AH370))^($AJ$17-$AJ$18)</f>
        <v>3.6708985416124e+18</v>
      </c>
      <c r="AK370" s="236">
        <f t="shared" si="130"/>
        <v>1</v>
      </c>
      <c r="AL370" s="236">
        <f ca="1">INDEX(Photobiology!$21:$421,1+$AH370-380,10)</f>
        <v>0.0005584547</v>
      </c>
      <c r="AM370" s="236">
        <f ca="1" t="shared" si="131"/>
        <v>13.3319879209511</v>
      </c>
      <c r="AN370" s="236">
        <f ca="1">INDEX(Photobiology!$21:$421,1+$AH370-380,AN$14)</f>
        <v>1.3971724066998e-9</v>
      </c>
      <c r="AO370" s="236">
        <f ca="1">INDEX(Photobiology!$21:$421,1+$AH370-380,AO$14)</f>
        <v>6.44862317944524e-5</v>
      </c>
      <c r="AP370" s="236">
        <f ca="1">INDEX(Photobiology!$21:$421,1+$AH370-380,AP$14)</f>
        <v>0.000794368473927217</v>
      </c>
      <c r="AQ370" s="236">
        <f ca="1">INDEX(Photobiology!$21:$421,1+$AH370-380,AQ$14)</f>
        <v>2.66070668022471e-6</v>
      </c>
      <c r="AR370" s="236">
        <f ca="1">INDEX(Photobiology!$21:$421,1+$AH370-380,AR$14)</f>
        <v>3.82493447808959e-7</v>
      </c>
      <c r="AS370" s="236">
        <f ca="1" t="shared" si="132"/>
        <v>4.89403750158137e+19</v>
      </c>
      <c r="AT370" s="236">
        <f ca="1">INDEX(Photobiology!$21:$421,1+$AH370-380,AT$14)</f>
        <v>8.4328650061442e-10</v>
      </c>
      <c r="AU370" s="236">
        <f ca="1">INDEX(Photobiology!$21:$421,1+$AH370-380,AU$14)</f>
        <v>4.80357677962395e-5</v>
      </c>
      <c r="AV370" s="236">
        <f ca="1">INDEX(Photobiology!$21:$421,1+$AH370-380,AV$14)</f>
        <v>0.000620322495188289</v>
      </c>
      <c r="AW370" s="236">
        <f ca="1">INDEX(Photobiology!$21:$421,1+$AH370-380,AW$14)</f>
        <v>1.86042935717031e-6</v>
      </c>
      <c r="AX370" s="236">
        <f ca="1">INDEX(Photobiology!$21:$421,1+$AH370-380,AX$14)</f>
        <v>2.56452792772228e-7</v>
      </c>
      <c r="AY370" s="236">
        <f ca="1" t="shared" si="119"/>
        <v>13.3319879209511</v>
      </c>
      <c r="AZ370" s="236">
        <f ca="1" t="shared" si="133"/>
        <v>1.8627085649608e-8</v>
      </c>
      <c r="BA370" s="236">
        <f ca="1" t="shared" si="120"/>
        <v>0.000859729663351295</v>
      </c>
      <c r="BB370" s="236">
        <f ca="1" t="shared" si="121"/>
        <v>0.010590510899182</v>
      </c>
      <c r="BC370" s="236">
        <f ca="1" t="shared" si="122"/>
        <v>3.54725093219498e-5</v>
      </c>
      <c r="BD370" s="236">
        <f ca="1" t="shared" si="123"/>
        <v>5.099398026032e-6</v>
      </c>
    </row>
    <row r="371" s="234" customFormat="1" ht="0.2" customHeight="1" spans="7:56">
      <c r="G371" s="236"/>
      <c r="H371" s="236">
        <f t="shared" si="124"/>
        <v>730</v>
      </c>
      <c r="I371" s="236">
        <f>IF($H371&gt;$H370,INDEX(Spectra!371:371,1,MATCH($I$20,Spectra!$20:$20,0)),I370)</f>
        <v>1.89242877193713</v>
      </c>
      <c r="J371" s="236">
        <f>((Physics!$C$9*Physics!$C$10)/(Physics!$C$11*Physics!$C$12*$H371))^($J$17-$J$18)</f>
        <v>3.67593406773258e+18</v>
      </c>
      <c r="K371" s="236">
        <f t="shared" si="125"/>
        <v>1</v>
      </c>
      <c r="L371" s="236">
        <f ca="1">INDEX(Photobiology!$21:$421,1+$H371-380,10)</f>
        <v>0.00052</v>
      </c>
      <c r="M371" s="236">
        <f ca="1" t="shared" si="126"/>
        <v>1.89242877193713</v>
      </c>
      <c r="N371" s="236">
        <f ca="1">INDEX(Photobiology!$21:$421,1+$H371-380,N$14)</f>
        <v>1.32468311305406e-9</v>
      </c>
      <c r="O371" s="236">
        <f ca="1">INDEX(Photobiology!$21:$421,1+$H371-380,O$14)</f>
        <v>6.0265949037538e-5</v>
      </c>
      <c r="P371" s="236">
        <f ca="1">INDEX(Photobiology!$21:$421,1+$H371-380,P$14)</f>
        <v>0.000740428283598452</v>
      </c>
      <c r="Q371" s="236">
        <f ca="1">INDEX(Photobiology!$21:$421,1+$H371-380,Q$14)</f>
        <v>2.49731887715906e-6</v>
      </c>
      <c r="R371" s="236">
        <f ca="1">INDEX(Photobiology!$21:$421,1+$H371-380,R$14)</f>
        <v>3.59765902606345e-7</v>
      </c>
      <c r="S371" s="236">
        <f ca="1" t="shared" si="127"/>
        <v>6.95644339352103e+18</v>
      </c>
      <c r="T371" s="236">
        <f ca="1">INDEX(Photobiology!$21:$421,1+$H371-380,T$14)</f>
        <v>7.98439136635324e-10</v>
      </c>
      <c r="U371" s="236">
        <f ca="1">INDEX(Photobiology!$21:$421,1+$H371-380,U$14)</f>
        <v>4.48305848884607e-5</v>
      </c>
      <c r="V371" s="236">
        <f ca="1">INDEX(Photobiology!$21:$421,1+$H371-380,V$14)</f>
        <v>0.000577408534507457</v>
      </c>
      <c r="W371" s="236">
        <f ca="1">INDEX(Photobiology!$21:$421,1+$H371-380,W$14)</f>
        <v>1.74379268759024e-6</v>
      </c>
      <c r="X371" s="236">
        <f ca="1">INDEX(Photobiology!$21:$421,1+$H371-380,X$14)</f>
        <v>2.40884081451925e-7</v>
      </c>
      <c r="Y371" s="236">
        <f ca="1" t="shared" si="114"/>
        <v>1.89242877193713</v>
      </c>
      <c r="Z371" s="236">
        <f ca="1" t="shared" si="128"/>
        <v>2.50686843684275e-9</v>
      </c>
      <c r="AA371" s="236">
        <f ca="1" t="shared" si="115"/>
        <v>0.000114049015926734</v>
      </c>
      <c r="AB371" s="236">
        <f ca="1" t="shared" si="116"/>
        <v>0.00140120778743774</v>
      </c>
      <c r="AC371" s="236">
        <f ca="1" t="shared" si="117"/>
        <v>4.72599809583753e-6</v>
      </c>
      <c r="AD371" s="236">
        <f ca="1" t="shared" si="118"/>
        <v>6.80831345254179e-7</v>
      </c>
      <c r="AE371" s="236"/>
      <c r="AF371" s="236"/>
      <c r="AG371" s="236"/>
      <c r="AH371" s="236">
        <f t="shared" si="129"/>
        <v>730</v>
      </c>
      <c r="AI371" s="236">
        <f>IF($AH371&gt;$AH370,INDEX(Spectra!371:371,1,MATCH($AI$20,Spectra!$20:$20,0)),AI370)</f>
        <v>1</v>
      </c>
      <c r="AJ371" s="236">
        <f>((Physics!$C$9*Physics!$C$10)/(Physics!$C$11*Physics!$C$12*$AH371))^($AJ$17-$AJ$18)</f>
        <v>3.67593406773258e+18</v>
      </c>
      <c r="AK371" s="236">
        <f t="shared" si="130"/>
        <v>1</v>
      </c>
      <c r="AL371" s="236">
        <f ca="1">INDEX(Photobiology!$21:$421,1+$AH371-380,10)</f>
        <v>0.00052</v>
      </c>
      <c r="AM371" s="236">
        <f ca="1" t="shared" si="131"/>
        <v>13.3319879209511</v>
      </c>
      <c r="AN371" s="236">
        <f ca="1">INDEX(Photobiology!$21:$421,1+$AH371-380,AN$14)</f>
        <v>1.32468311305406e-9</v>
      </c>
      <c r="AO371" s="236">
        <f ca="1">INDEX(Photobiology!$21:$421,1+$AH371-380,AO$14)</f>
        <v>6.0265949037538e-5</v>
      </c>
      <c r="AP371" s="236">
        <f ca="1">INDEX(Photobiology!$21:$421,1+$AH371-380,AP$14)</f>
        <v>0.000740428283598452</v>
      </c>
      <c r="AQ371" s="236">
        <f ca="1">INDEX(Photobiology!$21:$421,1+$AH371-380,AQ$14)</f>
        <v>2.49731887715906e-6</v>
      </c>
      <c r="AR371" s="236">
        <f ca="1">INDEX(Photobiology!$21:$421,1+$AH371-380,AR$14)</f>
        <v>3.59765902606345e-7</v>
      </c>
      <c r="AS371" s="236">
        <f ca="1" t="shared" si="132"/>
        <v>4.90075085892236e+19</v>
      </c>
      <c r="AT371" s="236">
        <f ca="1">INDEX(Photobiology!$21:$421,1+$AH371-380,AT$14)</f>
        <v>7.98439136635324e-10</v>
      </c>
      <c r="AU371" s="236">
        <f ca="1">INDEX(Photobiology!$21:$421,1+$AH371-380,AU$14)</f>
        <v>4.48305848884607e-5</v>
      </c>
      <c r="AV371" s="236">
        <f ca="1">INDEX(Photobiology!$21:$421,1+$AH371-380,AV$14)</f>
        <v>0.000577408534507457</v>
      </c>
      <c r="AW371" s="236">
        <f ca="1">INDEX(Photobiology!$21:$421,1+$AH371-380,AW$14)</f>
        <v>1.74379268759024e-6</v>
      </c>
      <c r="AX371" s="236">
        <f ca="1">INDEX(Photobiology!$21:$421,1+$AH371-380,AX$14)</f>
        <v>2.40884081451925e-7</v>
      </c>
      <c r="AY371" s="236">
        <f ca="1" t="shared" si="119"/>
        <v>13.3319879209511</v>
      </c>
      <c r="AZ371" s="236">
        <f ca="1" t="shared" si="133"/>
        <v>1.76606592623247e-8</v>
      </c>
      <c r="BA371" s="236">
        <f ca="1" t="shared" si="120"/>
        <v>0.000803464904613114</v>
      </c>
      <c r="BB371" s="236">
        <f ca="1" t="shared" si="121"/>
        <v>0.00987138093326515</v>
      </c>
      <c r="BC371" s="236">
        <f ca="1" t="shared" si="122"/>
        <v>3.32942251050479e-5</v>
      </c>
      <c r="BD371" s="236">
        <f ca="1" t="shared" si="123"/>
        <v>4.79639466791788e-6</v>
      </c>
    </row>
    <row r="372" s="234" customFormat="1" ht="0.2" customHeight="1" spans="7:56">
      <c r="G372" s="236"/>
      <c r="H372" s="236">
        <f t="shared" si="124"/>
        <v>731</v>
      </c>
      <c r="I372" s="236">
        <f>IF($H372&gt;$H371,INDEX(Spectra!372:372,1,MATCH($I$20,Spectra!$20:$20,0)),I371)</f>
        <v>1.84056448548504</v>
      </c>
      <c r="J372" s="236">
        <f>((Physics!$C$9*Physics!$C$10)/(Physics!$C$11*Physics!$C$12*$H372))^($J$17-$J$18)</f>
        <v>3.68096959385277e+18</v>
      </c>
      <c r="K372" s="236">
        <f t="shared" si="125"/>
        <v>1</v>
      </c>
      <c r="L372" s="236">
        <f ca="1">INDEX(Photobiology!$21:$421,1+$H372-380,10)</f>
        <v>0.0004839136</v>
      </c>
      <c r="M372" s="236">
        <f ca="1" t="shared" si="126"/>
        <v>1.84056448548504</v>
      </c>
      <c r="N372" s="236">
        <f ca="1">INDEX(Photobiology!$21:$421,1+$H372-380,N$14)</f>
        <v>1.25611383785544e-9</v>
      </c>
      <c r="O372" s="236">
        <f ca="1">INDEX(Photobiology!$21:$421,1+$H372-380,O$14)</f>
        <v>5.63305510870927e-5</v>
      </c>
      <c r="P372" s="236">
        <f ca="1">INDEX(Photobiology!$21:$421,1+$H372-380,P$14)</f>
        <v>0.000690235035849061</v>
      </c>
      <c r="Q372" s="236">
        <f ca="1">INDEX(Photobiology!$21:$421,1+$H372-380,Q$14)</f>
        <v>2.34432597748727e-6</v>
      </c>
      <c r="R372" s="236">
        <f ca="1">INDEX(Photobiology!$21:$421,1+$H372-380,R$14)</f>
        <v>3.38439465114742e-7</v>
      </c>
      <c r="S372" s="236">
        <f ca="1" t="shared" si="127"/>
        <v>6.7750619065957e+18</v>
      </c>
      <c r="T372" s="236">
        <f ca="1">INDEX(Photobiology!$21:$421,1+$H372-380,T$14)</f>
        <v>7.56073992690005e-10</v>
      </c>
      <c r="U372" s="236">
        <f ca="1">INDEX(Photobiology!$21:$421,1+$H372-380,U$14)</f>
        <v>4.18458012637668e-5</v>
      </c>
      <c r="V372" s="236">
        <f ca="1">INDEX(Photobiology!$21:$421,1+$H372-380,V$14)</f>
        <v>0.000537529968230276</v>
      </c>
      <c r="W372" s="236">
        <f ca="1">INDEX(Photobiology!$21:$421,1+$H372-380,W$14)</f>
        <v>1.63472361084681e-6</v>
      </c>
      <c r="X372" s="236">
        <f ca="1">INDEX(Photobiology!$21:$421,1+$H372-380,X$14)</f>
        <v>2.262948050992e-7</v>
      </c>
      <c r="Y372" s="236">
        <f ca="1" t="shared" si="114"/>
        <v>1.84056448548504</v>
      </c>
      <c r="Z372" s="236">
        <f ca="1" t="shared" si="128"/>
        <v>2.31195851968304e-9</v>
      </c>
      <c r="AA372" s="236">
        <f ca="1" t="shared" si="115"/>
        <v>0.000103680011778704</v>
      </c>
      <c r="AB372" s="236">
        <f ca="1" t="shared" si="116"/>
        <v>0.00127042209362128</v>
      </c>
      <c r="AC372" s="236">
        <f ca="1" t="shared" si="117"/>
        <v>4.31488313656307e-6</v>
      </c>
      <c r="AD372" s="236">
        <f ca="1" t="shared" si="118"/>
        <v>6.22919659976747e-7</v>
      </c>
      <c r="AE372" s="236"/>
      <c r="AF372" s="236"/>
      <c r="AG372" s="236"/>
      <c r="AH372" s="236">
        <f t="shared" si="129"/>
        <v>731</v>
      </c>
      <c r="AI372" s="236">
        <f>IF($AH372&gt;$AH371,INDEX(Spectra!372:372,1,MATCH($AI$20,Spectra!$20:$20,0)),AI371)</f>
        <v>1</v>
      </c>
      <c r="AJ372" s="236">
        <f>((Physics!$C$9*Physics!$C$10)/(Physics!$C$11*Physics!$C$12*$AH372))^($AJ$17-$AJ$18)</f>
        <v>3.68096959385277e+18</v>
      </c>
      <c r="AK372" s="236">
        <f t="shared" si="130"/>
        <v>1</v>
      </c>
      <c r="AL372" s="236">
        <f ca="1">INDEX(Photobiology!$21:$421,1+$AH372-380,10)</f>
        <v>0.0004839136</v>
      </c>
      <c r="AM372" s="236">
        <f ca="1" t="shared" si="131"/>
        <v>13.3319879209511</v>
      </c>
      <c r="AN372" s="236">
        <f ca="1">INDEX(Photobiology!$21:$421,1+$AH372-380,AN$14)</f>
        <v>1.25611383785544e-9</v>
      </c>
      <c r="AO372" s="236">
        <f ca="1">INDEX(Photobiology!$21:$421,1+$AH372-380,AO$14)</f>
        <v>5.63305510870927e-5</v>
      </c>
      <c r="AP372" s="236">
        <f ca="1">INDEX(Photobiology!$21:$421,1+$AH372-380,AP$14)</f>
        <v>0.000690235035849061</v>
      </c>
      <c r="AQ372" s="236">
        <f ca="1">INDEX(Photobiology!$21:$421,1+$AH372-380,AQ$14)</f>
        <v>2.34432597748727e-6</v>
      </c>
      <c r="AR372" s="236">
        <f ca="1">INDEX(Photobiology!$21:$421,1+$AH372-380,AR$14)</f>
        <v>3.38439465114742e-7</v>
      </c>
      <c r="AS372" s="236">
        <f ca="1" t="shared" si="132"/>
        <v>4.90746421626335e+19</v>
      </c>
      <c r="AT372" s="236">
        <f ca="1">INDEX(Photobiology!$21:$421,1+$AH372-380,AT$14)</f>
        <v>7.56073992690005e-10</v>
      </c>
      <c r="AU372" s="236">
        <f ca="1">INDEX(Photobiology!$21:$421,1+$AH372-380,AU$14)</f>
        <v>4.18458012637668e-5</v>
      </c>
      <c r="AV372" s="236">
        <f ca="1">INDEX(Photobiology!$21:$421,1+$AH372-380,AV$14)</f>
        <v>0.000537529968230276</v>
      </c>
      <c r="AW372" s="236">
        <f ca="1">INDEX(Photobiology!$21:$421,1+$AH372-380,AW$14)</f>
        <v>1.63472361084681e-6</v>
      </c>
      <c r="AX372" s="236">
        <f ca="1">INDEX(Photobiology!$21:$421,1+$AH372-380,AX$14)</f>
        <v>2.262948050992e-7</v>
      </c>
      <c r="AY372" s="236">
        <f ca="1" t="shared" si="119"/>
        <v>13.3319879209511</v>
      </c>
      <c r="AZ372" s="236">
        <f ca="1" t="shared" si="133"/>
        <v>1.67464945136283e-8</v>
      </c>
      <c r="BA372" s="236">
        <f ca="1" t="shared" si="120"/>
        <v>0.000750998226673641</v>
      </c>
      <c r="BB372" s="236">
        <f ca="1" t="shared" si="121"/>
        <v>0.00920220516055696</v>
      </c>
      <c r="BC372" s="236">
        <f ca="1" t="shared" si="122"/>
        <v>3.12545256146323e-5</v>
      </c>
      <c r="BD372" s="236">
        <f ca="1" t="shared" si="123"/>
        <v>4.51207086088291e-6</v>
      </c>
    </row>
    <row r="373" s="234" customFormat="1" ht="0.2" customHeight="1" spans="7:56">
      <c r="G373" s="236"/>
      <c r="H373" s="236">
        <f t="shared" si="124"/>
        <v>732</v>
      </c>
      <c r="I373" s="236">
        <f>IF($H373&gt;$H372,INDEX(Spectra!373:373,1,MATCH($I$20,Spectra!$20:$20,0)),I372)</f>
        <v>1.78379919425019</v>
      </c>
      <c r="J373" s="236">
        <f>((Physics!$C$9*Physics!$C$10)/(Physics!$C$11*Physics!$C$12*$H373))^($J$17-$J$18)</f>
        <v>3.68600511997295e+18</v>
      </c>
      <c r="K373" s="236">
        <f t="shared" si="125"/>
        <v>1</v>
      </c>
      <c r="L373" s="236">
        <f ca="1">INDEX(Photobiology!$21:$421,1+$H373-380,10)</f>
        <v>0.0004500528</v>
      </c>
      <c r="M373" s="236">
        <f ca="1" t="shared" si="126"/>
        <v>1.78379919425019</v>
      </c>
      <c r="N373" s="236">
        <f ca="1">INDEX(Photobiology!$21:$421,1+$H373-380,N$14)</f>
        <v>1.19126943770407e-9</v>
      </c>
      <c r="O373" s="236">
        <f ca="1">INDEX(Photobiology!$21:$421,1+$H373-380,O$14)</f>
        <v>5.26615939375569e-5</v>
      </c>
      <c r="P373" s="236">
        <f ca="1">INDEX(Photobiology!$21:$421,1+$H373-380,P$14)</f>
        <v>0.000643537708875656</v>
      </c>
      <c r="Q373" s="236">
        <f ca="1">INDEX(Photobiology!$21:$421,1+$H373-380,Q$14)</f>
        <v>2.20108594184432e-6</v>
      </c>
      <c r="R373" s="236">
        <f ca="1">INDEX(Photobiology!$21:$421,1+$H373-380,R$14)</f>
        <v>3.1843075019116e-7</v>
      </c>
      <c r="S373" s="236">
        <f ca="1" t="shared" si="127"/>
        <v>6.57509296300982e+18</v>
      </c>
      <c r="T373" s="236">
        <f ca="1">INDEX(Photobiology!$21:$421,1+$H373-380,T$14)</f>
        <v>7.16063596434141e-10</v>
      </c>
      <c r="U373" s="236">
        <f ca="1">INDEX(Photobiology!$21:$421,1+$H373-380,U$14)</f>
        <v>3.90668310212781e-5</v>
      </c>
      <c r="V373" s="236">
        <f ca="1">INDEX(Photobiology!$21:$421,1+$H373-380,V$14)</f>
        <v>0.000500479136613696</v>
      </c>
      <c r="W373" s="236">
        <f ca="1">INDEX(Photobiology!$21:$421,1+$H373-380,W$14)</f>
        <v>1.53274402290334e-6</v>
      </c>
      <c r="X373" s="236">
        <f ca="1">INDEX(Photobiology!$21:$421,1+$H373-380,X$14)</f>
        <v>2.12625271004101e-7</v>
      </c>
      <c r="Y373" s="236">
        <f ca="1" t="shared" si="114"/>
        <v>1.78379919425019</v>
      </c>
      <c r="Z373" s="236">
        <f ca="1" t="shared" si="128"/>
        <v>2.1249854631114e-9</v>
      </c>
      <c r="AA373" s="236">
        <f ca="1" t="shared" si="115"/>
        <v>9.39377088337447e-5</v>
      </c>
      <c r="AB373" s="236">
        <f ca="1" t="shared" si="116"/>
        <v>0.00114794204656201</v>
      </c>
      <c r="AC373" s="236">
        <f ca="1" t="shared" si="117"/>
        <v>3.92629532953732e-6</v>
      </c>
      <c r="AD373" s="236">
        <f ca="1" t="shared" si="118"/>
        <v>5.68016515615475e-7</v>
      </c>
      <c r="AE373" s="236"/>
      <c r="AF373" s="236"/>
      <c r="AG373" s="236"/>
      <c r="AH373" s="236">
        <f t="shared" si="129"/>
        <v>732</v>
      </c>
      <c r="AI373" s="236">
        <f>IF($AH373&gt;$AH372,INDEX(Spectra!373:373,1,MATCH($AI$20,Spectra!$20:$20,0)),AI372)</f>
        <v>1</v>
      </c>
      <c r="AJ373" s="236">
        <f>((Physics!$C$9*Physics!$C$10)/(Physics!$C$11*Physics!$C$12*$AH373))^($AJ$17-$AJ$18)</f>
        <v>3.68600511997295e+18</v>
      </c>
      <c r="AK373" s="236">
        <f t="shared" si="130"/>
        <v>1</v>
      </c>
      <c r="AL373" s="236">
        <f ca="1">INDEX(Photobiology!$21:$421,1+$AH373-380,10)</f>
        <v>0.0004500528</v>
      </c>
      <c r="AM373" s="236">
        <f ca="1" t="shared" si="131"/>
        <v>13.3319879209511</v>
      </c>
      <c r="AN373" s="236">
        <f ca="1">INDEX(Photobiology!$21:$421,1+$AH373-380,AN$14)</f>
        <v>1.19126943770407e-9</v>
      </c>
      <c r="AO373" s="236">
        <f ca="1">INDEX(Photobiology!$21:$421,1+$AH373-380,AO$14)</f>
        <v>5.26615939375569e-5</v>
      </c>
      <c r="AP373" s="236">
        <f ca="1">INDEX(Photobiology!$21:$421,1+$AH373-380,AP$14)</f>
        <v>0.000643537708875656</v>
      </c>
      <c r="AQ373" s="236">
        <f ca="1">INDEX(Photobiology!$21:$421,1+$AH373-380,AQ$14)</f>
        <v>2.20108594184432e-6</v>
      </c>
      <c r="AR373" s="236">
        <f ca="1">INDEX(Photobiology!$21:$421,1+$AH373-380,AR$14)</f>
        <v>3.1843075019116e-7</v>
      </c>
      <c r="AS373" s="236">
        <f ca="1" t="shared" si="132"/>
        <v>4.91417757360434e+19</v>
      </c>
      <c r="AT373" s="236">
        <f ca="1">INDEX(Photobiology!$21:$421,1+$AH373-380,AT$14)</f>
        <v>7.16063596434141e-10</v>
      </c>
      <c r="AU373" s="236">
        <f ca="1">INDEX(Photobiology!$21:$421,1+$AH373-380,AU$14)</f>
        <v>3.90668310212781e-5</v>
      </c>
      <c r="AV373" s="236">
        <f ca="1">INDEX(Photobiology!$21:$421,1+$AH373-380,AV$14)</f>
        <v>0.000500479136613696</v>
      </c>
      <c r="AW373" s="236">
        <f ca="1">INDEX(Photobiology!$21:$421,1+$AH373-380,AW$14)</f>
        <v>1.53274402290334e-6</v>
      </c>
      <c r="AX373" s="236">
        <f ca="1">INDEX(Photobiology!$21:$421,1+$AH373-380,AX$14)</f>
        <v>2.12625271004101e-7</v>
      </c>
      <c r="AY373" s="236">
        <f ca="1" t="shared" si="119"/>
        <v>13.3319879209511</v>
      </c>
      <c r="AZ373" s="236">
        <f ca="1" t="shared" si="133"/>
        <v>1.58819897540689e-8</v>
      </c>
      <c r="BA373" s="236">
        <f ca="1" t="shared" si="120"/>
        <v>0.000702083734273542</v>
      </c>
      <c r="BB373" s="236">
        <f ca="1" t="shared" si="121"/>
        <v>0.00857963696140682</v>
      </c>
      <c r="BC373" s="236">
        <f ca="1" t="shared" si="122"/>
        <v>2.93448511896438e-5</v>
      </c>
      <c r="BD373" s="236">
        <f ca="1" t="shared" si="123"/>
        <v>4.24531491520795e-6</v>
      </c>
    </row>
    <row r="374" s="234" customFormat="1" ht="0.2" customHeight="1" spans="7:56">
      <c r="G374" s="236"/>
      <c r="H374" s="236">
        <f t="shared" si="124"/>
        <v>733</v>
      </c>
      <c r="I374" s="236">
        <f>IF($H374&gt;$H373,INDEX(Spectra!374:374,1,MATCH($I$20,Spectra!$20:$20,0)),I373)</f>
        <v>1.74582545589747</v>
      </c>
      <c r="J374" s="236">
        <f>((Physics!$C$9*Physics!$C$10)/(Physics!$C$11*Physics!$C$12*$H374))^($J$17-$J$18)</f>
        <v>3.69104064609313e+18</v>
      </c>
      <c r="K374" s="236">
        <f t="shared" si="125"/>
        <v>1</v>
      </c>
      <c r="L374" s="236">
        <f ca="1">INDEX(Photobiology!$21:$421,1+$H374-380,10)</f>
        <v>0.0004183452</v>
      </c>
      <c r="M374" s="236">
        <f ca="1" t="shared" si="126"/>
        <v>1.74582545589747</v>
      </c>
      <c r="N374" s="236">
        <f ca="1">INDEX(Photobiology!$21:$421,1+$H374-380,N$14)</f>
        <v>1.12993640177315e-9</v>
      </c>
      <c r="O374" s="236">
        <f ca="1">INDEX(Photobiology!$21:$421,1+$H374-380,O$14)</f>
        <v>4.92402217409936e-5</v>
      </c>
      <c r="P374" s="236">
        <f ca="1">INDEX(Photobiology!$21:$421,1+$H374-380,P$14)</f>
        <v>0.000600088079814195</v>
      </c>
      <c r="Q374" s="236">
        <f ca="1">INDEX(Photobiology!$21:$421,1+$H374-380,Q$14)</f>
        <v>2.06695489702101e-6</v>
      </c>
      <c r="R374" s="236">
        <f ca="1">INDEX(Photobiology!$21:$421,1+$H374-380,R$14)</f>
        <v>2.99655325210442e-7</v>
      </c>
      <c r="S374" s="236">
        <f ca="1" t="shared" si="127"/>
        <v>6.44391271870163e+18</v>
      </c>
      <c r="T374" s="236">
        <f ca="1">INDEX(Photobiology!$21:$421,1+$H374-380,T$14)</f>
        <v>6.78270145675561e-10</v>
      </c>
      <c r="U374" s="236">
        <f ca="1">INDEX(Photobiology!$21:$421,1+$H374-380,U$14)</f>
        <v>3.64788627486482e-5</v>
      </c>
      <c r="V374" s="236">
        <f ca="1">INDEX(Photobiology!$21:$421,1+$H374-380,V$14)</f>
        <v>0.000466051686884168</v>
      </c>
      <c r="W374" s="236">
        <f ca="1">INDEX(Photobiology!$21:$421,1+$H374-380,W$14)</f>
        <v>1.43737715347924e-6</v>
      </c>
      <c r="X374" s="236">
        <f ca="1">INDEX(Photobiology!$21:$421,1+$H374-380,X$14)</f>
        <v>1.99815413721905e-7</v>
      </c>
      <c r="Y374" s="236">
        <f ca="1" t="shared" si="114"/>
        <v>1.74582545589747</v>
      </c>
      <c r="Z374" s="236">
        <f ca="1" t="shared" si="128"/>
        <v>1.97267173376076e-9</v>
      </c>
      <c r="AA374" s="236">
        <f ca="1" t="shared" si="115"/>
        <v>8.59648325694627e-5</v>
      </c>
      <c r="AB374" s="236">
        <f ca="1" t="shared" si="116"/>
        <v>0.00104764904552025</v>
      </c>
      <c r="AC374" s="236">
        <f ca="1" t="shared" si="117"/>
        <v>3.60854247541121e-6</v>
      </c>
      <c r="AD374" s="236">
        <f ca="1" t="shared" si="118"/>
        <v>5.23145894747625e-7</v>
      </c>
      <c r="AE374" s="236"/>
      <c r="AF374" s="236"/>
      <c r="AG374" s="236"/>
      <c r="AH374" s="236">
        <f t="shared" si="129"/>
        <v>733</v>
      </c>
      <c r="AI374" s="236">
        <f>IF($AH374&gt;$AH373,INDEX(Spectra!374:374,1,MATCH($AI$20,Spectra!$20:$20,0)),AI373)</f>
        <v>1</v>
      </c>
      <c r="AJ374" s="236">
        <f>((Physics!$C$9*Physics!$C$10)/(Physics!$C$11*Physics!$C$12*$AH374))^($AJ$17-$AJ$18)</f>
        <v>3.69104064609313e+18</v>
      </c>
      <c r="AK374" s="236">
        <f t="shared" si="130"/>
        <v>1</v>
      </c>
      <c r="AL374" s="236">
        <f ca="1">INDEX(Photobiology!$21:$421,1+$AH374-380,10)</f>
        <v>0.0004183452</v>
      </c>
      <c r="AM374" s="236">
        <f ca="1" t="shared" si="131"/>
        <v>13.3319879209511</v>
      </c>
      <c r="AN374" s="236">
        <f ca="1">INDEX(Photobiology!$21:$421,1+$AH374-380,AN$14)</f>
        <v>1.12993640177315e-9</v>
      </c>
      <c r="AO374" s="236">
        <f ca="1">INDEX(Photobiology!$21:$421,1+$AH374-380,AO$14)</f>
        <v>4.92402217409936e-5</v>
      </c>
      <c r="AP374" s="236">
        <f ca="1">INDEX(Photobiology!$21:$421,1+$AH374-380,AP$14)</f>
        <v>0.000600088079814195</v>
      </c>
      <c r="AQ374" s="236">
        <f ca="1">INDEX(Photobiology!$21:$421,1+$AH374-380,AQ$14)</f>
        <v>2.06695489702101e-6</v>
      </c>
      <c r="AR374" s="236">
        <f ca="1">INDEX(Photobiology!$21:$421,1+$AH374-380,AR$14)</f>
        <v>2.99655325210442e-7</v>
      </c>
      <c r="AS374" s="236">
        <f ca="1" t="shared" si="132"/>
        <v>4.92089093094533e+19</v>
      </c>
      <c r="AT374" s="236">
        <f ca="1">INDEX(Photobiology!$21:$421,1+$AH374-380,AT$14)</f>
        <v>6.78270145675561e-10</v>
      </c>
      <c r="AU374" s="236">
        <f ca="1">INDEX(Photobiology!$21:$421,1+$AH374-380,AU$14)</f>
        <v>3.64788627486482e-5</v>
      </c>
      <c r="AV374" s="236">
        <f ca="1">INDEX(Photobiology!$21:$421,1+$AH374-380,AV$14)</f>
        <v>0.000466051686884168</v>
      </c>
      <c r="AW374" s="236">
        <f ca="1">INDEX(Photobiology!$21:$421,1+$AH374-380,AW$14)</f>
        <v>1.43737715347924e-6</v>
      </c>
      <c r="AX374" s="236">
        <f ca="1">INDEX(Photobiology!$21:$421,1+$AH374-380,AX$14)</f>
        <v>1.99815413721905e-7</v>
      </c>
      <c r="AY374" s="236">
        <f ca="1" t="shared" si="119"/>
        <v>13.3319879209511</v>
      </c>
      <c r="AZ374" s="236">
        <f ca="1" t="shared" si="133"/>
        <v>1.50642984598826e-8</v>
      </c>
      <c r="BA374" s="236">
        <f ca="1" t="shared" si="120"/>
        <v>0.000656470041475882</v>
      </c>
      <c r="BB374" s="236">
        <f ca="1" t="shared" si="121"/>
        <v>0.00800036703158961</v>
      </c>
      <c r="BC374" s="236">
        <f ca="1" t="shared" si="122"/>
        <v>2.75566177202349e-5</v>
      </c>
      <c r="BD374" s="236">
        <f ca="1" t="shared" si="123"/>
        <v>3.9950011761543e-6</v>
      </c>
    </row>
    <row r="375" s="234" customFormat="1" ht="0.2" customHeight="1" spans="7:56">
      <c r="G375" s="236"/>
      <c r="H375" s="236">
        <f t="shared" si="124"/>
        <v>734</v>
      </c>
      <c r="I375" s="236">
        <f>IF($H375&gt;$H374,INDEX(Spectra!375:375,1,MATCH($I$20,Spectra!$20:$20,0)),I374)</f>
        <v>1.69240080373518</v>
      </c>
      <c r="J375" s="236">
        <f>((Physics!$C$9*Physics!$C$10)/(Physics!$C$11*Physics!$C$12*$H375))^($J$17-$J$18)</f>
        <v>3.69607617221331e+18</v>
      </c>
      <c r="K375" s="236">
        <f t="shared" si="125"/>
        <v>1</v>
      </c>
      <c r="L375" s="236">
        <f ca="1">INDEX(Photobiology!$21:$421,1+$H375-380,10)</f>
        <v>0.0003887184</v>
      </c>
      <c r="M375" s="236">
        <f ca="1" t="shared" si="126"/>
        <v>1.69240080373518</v>
      </c>
      <c r="N375" s="236">
        <f ca="1">INDEX(Photobiology!$21:$421,1+$H375-380,N$14)</f>
        <v>1.07192154481123e-9</v>
      </c>
      <c r="O375" s="236">
        <f ca="1">INDEX(Photobiology!$21:$421,1+$H375-380,O$14)</f>
        <v>4.60494025515722e-5</v>
      </c>
      <c r="P375" s="236">
        <f ca="1">INDEX(Photobiology!$21:$421,1+$H375-380,P$14)</f>
        <v>0.000559654499830704</v>
      </c>
      <c r="Q375" s="236">
        <f ca="1">INDEX(Photobiology!$21:$421,1+$H375-380,Q$14)</f>
        <v>1.94133283453751e-6</v>
      </c>
      <c r="R375" s="236">
        <f ca="1">INDEX(Photobiology!$21:$421,1+$H375-380,R$14)</f>
        <v>2.82033696785991e-7</v>
      </c>
      <c r="S375" s="236">
        <f ca="1" t="shared" si="127"/>
        <v>6.25524228452025e+18</v>
      </c>
      <c r="T375" s="236">
        <f ca="1">INDEX(Photobiology!$21:$421,1+$H375-380,T$14)</f>
        <v>6.42568773456323e-10</v>
      </c>
      <c r="U375" s="236">
        <f ca="1">INDEX(Photobiology!$21:$421,1+$H375-380,U$14)</f>
        <v>3.4068515118679e-5</v>
      </c>
      <c r="V375" s="236">
        <f ca="1">INDEX(Photobiology!$21:$421,1+$H375-380,V$14)</f>
        <v>0.000434057234405245</v>
      </c>
      <c r="W375" s="236">
        <f ca="1">INDEX(Photobiology!$21:$421,1+$H375-380,W$14)</f>
        <v>1.34817929282623e-6</v>
      </c>
      <c r="X375" s="236">
        <f ca="1">INDEX(Photobiology!$21:$421,1+$H375-380,X$14)</f>
        <v>1.87808784223552e-7</v>
      </c>
      <c r="Y375" s="236">
        <f ca="1" t="shared" si="114"/>
        <v>1.69240080373518</v>
      </c>
      <c r="Z375" s="236">
        <f ca="1" t="shared" si="128"/>
        <v>1.81412088397958e-9</v>
      </c>
      <c r="AA375" s="236">
        <f ca="1" t="shared" si="115"/>
        <v>7.79340458898056e-5</v>
      </c>
      <c r="AB375" s="236">
        <f ca="1" t="shared" si="116"/>
        <v>0.000947159725327494</v>
      </c>
      <c r="AC375" s="236">
        <f ca="1" t="shared" si="117"/>
        <v>3.28551324948878e-6</v>
      </c>
      <c r="AD375" s="236">
        <f ca="1" t="shared" si="118"/>
        <v>4.77314055121015e-7</v>
      </c>
      <c r="AE375" s="236"/>
      <c r="AF375" s="236"/>
      <c r="AG375" s="236"/>
      <c r="AH375" s="236">
        <f t="shared" si="129"/>
        <v>734</v>
      </c>
      <c r="AI375" s="236">
        <f>IF($AH375&gt;$AH374,INDEX(Spectra!375:375,1,MATCH($AI$20,Spectra!$20:$20,0)),AI374)</f>
        <v>1</v>
      </c>
      <c r="AJ375" s="236">
        <f>((Physics!$C$9*Physics!$C$10)/(Physics!$C$11*Physics!$C$12*$AH375))^($AJ$17-$AJ$18)</f>
        <v>3.69607617221331e+18</v>
      </c>
      <c r="AK375" s="236">
        <f t="shared" si="130"/>
        <v>1</v>
      </c>
      <c r="AL375" s="236">
        <f ca="1">INDEX(Photobiology!$21:$421,1+$AH375-380,10)</f>
        <v>0.0003887184</v>
      </c>
      <c r="AM375" s="236">
        <f ca="1" t="shared" si="131"/>
        <v>13.3319879209511</v>
      </c>
      <c r="AN375" s="236">
        <f ca="1">INDEX(Photobiology!$21:$421,1+$AH375-380,AN$14)</f>
        <v>1.07192154481123e-9</v>
      </c>
      <c r="AO375" s="236">
        <f ca="1">INDEX(Photobiology!$21:$421,1+$AH375-380,AO$14)</f>
        <v>4.60494025515722e-5</v>
      </c>
      <c r="AP375" s="236">
        <f ca="1">INDEX(Photobiology!$21:$421,1+$AH375-380,AP$14)</f>
        <v>0.000559654499830704</v>
      </c>
      <c r="AQ375" s="236">
        <f ca="1">INDEX(Photobiology!$21:$421,1+$AH375-380,AQ$14)</f>
        <v>1.94133283453751e-6</v>
      </c>
      <c r="AR375" s="236">
        <f ca="1">INDEX(Photobiology!$21:$421,1+$AH375-380,AR$14)</f>
        <v>2.82033696785991e-7</v>
      </c>
      <c r="AS375" s="236">
        <f ca="1" t="shared" si="132"/>
        <v>4.92760428828632e+19</v>
      </c>
      <c r="AT375" s="236">
        <f ca="1">INDEX(Photobiology!$21:$421,1+$AH375-380,AT$14)</f>
        <v>6.42568773456323e-10</v>
      </c>
      <c r="AU375" s="236">
        <f ca="1">INDEX(Photobiology!$21:$421,1+$AH375-380,AU$14)</f>
        <v>3.4068515118679e-5</v>
      </c>
      <c r="AV375" s="236">
        <f ca="1">INDEX(Photobiology!$21:$421,1+$AH375-380,AV$14)</f>
        <v>0.000434057234405245</v>
      </c>
      <c r="AW375" s="236">
        <f ca="1">INDEX(Photobiology!$21:$421,1+$AH375-380,AW$14)</f>
        <v>1.34817929282623e-6</v>
      </c>
      <c r="AX375" s="236">
        <f ca="1">INDEX(Photobiology!$21:$421,1+$AH375-380,AX$14)</f>
        <v>1.87808784223552e-7</v>
      </c>
      <c r="AY375" s="236">
        <f ca="1" t="shared" si="119"/>
        <v>13.3319879209511</v>
      </c>
      <c r="AZ375" s="236">
        <f ca="1" t="shared" si="133"/>
        <v>1.42908450876306e-8</v>
      </c>
      <c r="BA375" s="236">
        <f ca="1" t="shared" si="120"/>
        <v>0.000613930078584577</v>
      </c>
      <c r="BB375" s="236">
        <f ca="1" t="shared" si="121"/>
        <v>0.0074613070316489</v>
      </c>
      <c r="BC375" s="236">
        <f ca="1" t="shared" si="122"/>
        <v>2.58818259005999e-5</v>
      </c>
      <c r="BD375" s="236">
        <f ca="1" t="shared" si="123"/>
        <v>3.76006983885203e-6</v>
      </c>
    </row>
    <row r="376" s="234" customFormat="1" ht="0.2" customHeight="1" spans="7:56">
      <c r="G376" s="236"/>
      <c r="H376" s="236">
        <f t="shared" si="124"/>
        <v>735</v>
      </c>
      <c r="I376" s="236">
        <f>IF($H376&gt;$H375,INDEX(Spectra!376:376,1,MATCH($I$20,Spectra!$20:$20,0)),I375)</f>
        <v>1.64425110608631</v>
      </c>
      <c r="J376" s="236">
        <f>((Physics!$C$9*Physics!$C$10)/(Physics!$C$11*Physics!$C$12*$H376))^($J$17-$J$18)</f>
        <v>3.70111169833349e+18</v>
      </c>
      <c r="K376" s="236">
        <f t="shared" si="125"/>
        <v>1</v>
      </c>
      <c r="L376" s="236">
        <f ca="1">INDEX(Photobiology!$21:$421,1+$H376-380,10)</f>
        <v>0.0003611</v>
      </c>
      <c r="M376" s="236">
        <f ca="1" t="shared" si="126"/>
        <v>1.64425110608631</v>
      </c>
      <c r="N376" s="236">
        <f ca="1">INDEX(Photobiology!$21:$421,1+$H376-380,N$14)</f>
        <v>1.01703055317863e-9</v>
      </c>
      <c r="O376" s="236">
        <f ca="1">INDEX(Photobiology!$21:$421,1+$H376-380,O$14)</f>
        <v>4.30728888123373e-5</v>
      </c>
      <c r="P376" s="236">
        <f ca="1">INDEX(Photobiology!$21:$421,1+$H376-380,P$14)</f>
        <v>0.000522024636935891</v>
      </c>
      <c r="Q376" s="236">
        <f ca="1">INDEX(Photobiology!$21:$421,1+$H376-380,Q$14)</f>
        <v>1.82366053567862e-6</v>
      </c>
      <c r="R376" s="236">
        <f ca="1">INDEX(Photobiology!$21:$421,1+$H376-380,R$14)</f>
        <v>2.65493565507745e-7</v>
      </c>
      <c r="S376" s="236">
        <f ca="1" t="shared" si="127"/>
        <v>6.08555700373382e+18</v>
      </c>
      <c r="T376" s="236">
        <f ca="1">INDEX(Photobiology!$21:$421,1+$H376-380,T$14)</f>
        <v>6.0883461686884e-10</v>
      </c>
      <c r="U376" s="236">
        <f ca="1">INDEX(Photobiology!$21:$421,1+$H376-380,U$14)</f>
        <v>3.18230591489531e-5</v>
      </c>
      <c r="V376" s="236">
        <f ca="1">INDEX(Photobiology!$21:$421,1+$H376-380,V$14)</f>
        <v>0.000404321392036096</v>
      </c>
      <c r="W376" s="236">
        <f ca="1">INDEX(Photobiology!$21:$421,1+$H376-380,W$14)</f>
        <v>1.26473743429007e-6</v>
      </c>
      <c r="X376" s="236">
        <f ca="1">INDEX(Photobiology!$21:$421,1+$H376-380,X$14)</f>
        <v>1.76554024701753e-7</v>
      </c>
      <c r="Y376" s="236">
        <f ca="1" t="shared" si="114"/>
        <v>1.64425110608631</v>
      </c>
      <c r="Z376" s="236">
        <f ca="1" t="shared" si="128"/>
        <v>1.67225361198753e-9</v>
      </c>
      <c r="AA376" s="236">
        <f ca="1" t="shared" si="115"/>
        <v>7.08226450720183e-5</v>
      </c>
      <c r="AB376" s="236">
        <f ca="1" t="shared" si="116"/>
        <v>0.000858339586686143</v>
      </c>
      <c r="AC376" s="236">
        <f ca="1" t="shared" si="117"/>
        <v>2.99855585291552e-6</v>
      </c>
      <c r="AD376" s="236">
        <f ca="1" t="shared" si="118"/>
        <v>4.36538088744908e-7</v>
      </c>
      <c r="AE376" s="236"/>
      <c r="AF376" s="236"/>
      <c r="AG376" s="236"/>
      <c r="AH376" s="236">
        <f t="shared" si="129"/>
        <v>735</v>
      </c>
      <c r="AI376" s="236">
        <f>IF($AH376&gt;$AH375,INDEX(Spectra!376:376,1,MATCH($AI$20,Spectra!$20:$20,0)),AI375)</f>
        <v>1</v>
      </c>
      <c r="AJ376" s="236">
        <f>((Physics!$C$9*Physics!$C$10)/(Physics!$C$11*Physics!$C$12*$AH376))^($AJ$17-$AJ$18)</f>
        <v>3.70111169833349e+18</v>
      </c>
      <c r="AK376" s="236">
        <f t="shared" si="130"/>
        <v>1</v>
      </c>
      <c r="AL376" s="236">
        <f ca="1">INDEX(Photobiology!$21:$421,1+$AH376-380,10)</f>
        <v>0.0003611</v>
      </c>
      <c r="AM376" s="236">
        <f ca="1" t="shared" si="131"/>
        <v>13.3319879209511</v>
      </c>
      <c r="AN376" s="236">
        <f ca="1">INDEX(Photobiology!$21:$421,1+$AH376-380,AN$14)</f>
        <v>1.01703055317863e-9</v>
      </c>
      <c r="AO376" s="236">
        <f ca="1">INDEX(Photobiology!$21:$421,1+$AH376-380,AO$14)</f>
        <v>4.30728888123373e-5</v>
      </c>
      <c r="AP376" s="236">
        <f ca="1">INDEX(Photobiology!$21:$421,1+$AH376-380,AP$14)</f>
        <v>0.000522024636935891</v>
      </c>
      <c r="AQ376" s="236">
        <f ca="1">INDEX(Photobiology!$21:$421,1+$AH376-380,AQ$14)</f>
        <v>1.82366053567862e-6</v>
      </c>
      <c r="AR376" s="236">
        <f ca="1">INDEX(Photobiology!$21:$421,1+$AH376-380,AR$14)</f>
        <v>2.65493565507745e-7</v>
      </c>
      <c r="AS376" s="236">
        <f ca="1" t="shared" si="132"/>
        <v>4.93431764562731e+19</v>
      </c>
      <c r="AT376" s="236">
        <f ca="1">INDEX(Photobiology!$21:$421,1+$AH376-380,AT$14)</f>
        <v>6.0883461686884e-10</v>
      </c>
      <c r="AU376" s="236">
        <f ca="1">INDEX(Photobiology!$21:$421,1+$AH376-380,AU$14)</f>
        <v>3.18230591489531e-5</v>
      </c>
      <c r="AV376" s="236">
        <f ca="1">INDEX(Photobiology!$21:$421,1+$AH376-380,AV$14)</f>
        <v>0.000404321392036096</v>
      </c>
      <c r="AW376" s="236">
        <f ca="1">INDEX(Photobiology!$21:$421,1+$AH376-380,AW$14)</f>
        <v>1.26473743429007e-6</v>
      </c>
      <c r="AX376" s="236">
        <f ca="1">INDEX(Photobiology!$21:$421,1+$AH376-380,AX$14)</f>
        <v>1.76554024701753e-7</v>
      </c>
      <c r="AY376" s="236">
        <f ca="1" t="shared" si="119"/>
        <v>13.3319879209511</v>
      </c>
      <c r="AZ376" s="236">
        <f ca="1" t="shared" si="133"/>
        <v>1.35590390502158e-8</v>
      </c>
      <c r="BA376" s="236">
        <f ca="1" t="shared" si="120"/>
        <v>0.000574247233366552</v>
      </c>
      <c r="BB376" s="236">
        <f ca="1" t="shared" si="121"/>
        <v>0.0069596261540682</v>
      </c>
      <c r="BC376" s="236">
        <f ca="1" t="shared" si="122"/>
        <v>2.43130202335826e-5</v>
      </c>
      <c r="BD376" s="236">
        <f ca="1" t="shared" si="123"/>
        <v>3.53955700843951e-6</v>
      </c>
    </row>
    <row r="377" s="234" customFormat="1" ht="0.2" customHeight="1" spans="7:56">
      <c r="G377" s="236"/>
      <c r="H377" s="236">
        <f t="shared" si="124"/>
        <v>736</v>
      </c>
      <c r="I377" s="236">
        <f>IF($H377&gt;$H376,INDEX(Spectra!377:377,1,MATCH($I$20,Spectra!$20:$20,0)),I376)</f>
        <v>1.60029047704672</v>
      </c>
      <c r="J377" s="236">
        <f>((Physics!$C$9*Physics!$C$10)/(Physics!$C$11*Physics!$C$12*$H377))^($J$17-$J$18)</f>
        <v>3.70614722445367e+18</v>
      </c>
      <c r="K377" s="236">
        <f t="shared" si="125"/>
        <v>1</v>
      </c>
      <c r="L377" s="236">
        <f ca="1">INDEX(Photobiology!$21:$421,1+$H377-380,10)</f>
        <v>0.0003353835</v>
      </c>
      <c r="M377" s="236">
        <f ca="1" t="shared" si="126"/>
        <v>1.60029047704672</v>
      </c>
      <c r="N377" s="236">
        <f ca="1">INDEX(Photobiology!$21:$421,1+$H377-380,N$14)</f>
        <v>9.65092631971262e-10</v>
      </c>
      <c r="O377" s="236">
        <f ca="1">INDEX(Photobiology!$21:$421,1+$H377-380,O$14)</f>
        <v>4.02959129817428e-5</v>
      </c>
      <c r="P377" s="236">
        <f ca="1">INDEX(Photobiology!$21:$421,1+$H377-380,P$14)</f>
        <v>0.000486997800779402</v>
      </c>
      <c r="Q377" s="236">
        <f ca="1">INDEX(Photobiology!$21:$421,1+$H377-380,Q$14)</f>
        <v>1.7134167178197e-6</v>
      </c>
      <c r="R377" s="236">
        <f ca="1">INDEX(Photobiology!$21:$421,1+$H377-380,R$14)</f>
        <v>2.49964307487186e-7</v>
      </c>
      <c r="S377" s="236">
        <f ca="1" t="shared" si="127"/>
        <v>5.93091210982634e+18</v>
      </c>
      <c r="T377" s="236">
        <f ca="1">INDEX(Photobiology!$21:$421,1+$H377-380,T$14)</f>
        <v>5.7695755172195e-10</v>
      </c>
      <c r="U377" s="236">
        <f ca="1">INDEX(Photobiology!$21:$421,1+$H377-380,U$14)</f>
        <v>2.97309270138005e-5</v>
      </c>
      <c r="V377" s="236">
        <f ca="1">INDEX(Photobiology!$21:$421,1+$H377-380,V$14)</f>
        <v>0.000376679724887279</v>
      </c>
      <c r="W377" s="236">
        <f ca="1">INDEX(Photobiology!$21:$421,1+$H377-380,W$14)</f>
        <v>1.18666708935062e-6</v>
      </c>
      <c r="X377" s="236">
        <f ca="1">INDEX(Photobiology!$21:$421,1+$H377-380,X$14)</f>
        <v>1.66001169180739e-7</v>
      </c>
      <c r="Y377" s="236">
        <f ca="1" t="shared" si="114"/>
        <v>1.60029047704672</v>
      </c>
      <c r="Z377" s="236">
        <f ca="1" t="shared" si="128"/>
        <v>1.54442854841157e-9</v>
      </c>
      <c r="AA377" s="236">
        <f ca="1" t="shared" si="115"/>
        <v>6.44851658085863e-5</v>
      </c>
      <c r="AB377" s="236">
        <f ca="1" t="shared" si="116"/>
        <v>0.000779337942929973</v>
      </c>
      <c r="AC377" s="236">
        <f ca="1" t="shared" si="117"/>
        <v>2.74196445673951e-6</v>
      </c>
      <c r="AD377" s="236">
        <f ca="1" t="shared" si="118"/>
        <v>4.00015500873322e-7</v>
      </c>
      <c r="AE377" s="236"/>
      <c r="AF377" s="236"/>
      <c r="AG377" s="236"/>
      <c r="AH377" s="236">
        <f t="shared" si="129"/>
        <v>736</v>
      </c>
      <c r="AI377" s="236">
        <f>IF($AH377&gt;$AH376,INDEX(Spectra!377:377,1,MATCH($AI$20,Spectra!$20:$20,0)),AI376)</f>
        <v>1</v>
      </c>
      <c r="AJ377" s="236">
        <f>((Physics!$C$9*Physics!$C$10)/(Physics!$C$11*Physics!$C$12*$AH377))^($AJ$17-$AJ$18)</f>
        <v>3.70614722445367e+18</v>
      </c>
      <c r="AK377" s="236">
        <f t="shared" si="130"/>
        <v>1</v>
      </c>
      <c r="AL377" s="236">
        <f ca="1">INDEX(Photobiology!$21:$421,1+$AH377-380,10)</f>
        <v>0.0003353835</v>
      </c>
      <c r="AM377" s="236">
        <f ca="1" t="shared" si="131"/>
        <v>13.3319879209511</v>
      </c>
      <c r="AN377" s="236">
        <f ca="1">INDEX(Photobiology!$21:$421,1+$AH377-380,AN$14)</f>
        <v>9.65092631971262e-10</v>
      </c>
      <c r="AO377" s="236">
        <f ca="1">INDEX(Photobiology!$21:$421,1+$AH377-380,AO$14)</f>
        <v>4.02959129817428e-5</v>
      </c>
      <c r="AP377" s="236">
        <f ca="1">INDEX(Photobiology!$21:$421,1+$AH377-380,AP$14)</f>
        <v>0.000486997800779402</v>
      </c>
      <c r="AQ377" s="236">
        <f ca="1">INDEX(Photobiology!$21:$421,1+$AH377-380,AQ$14)</f>
        <v>1.7134167178197e-6</v>
      </c>
      <c r="AR377" s="236">
        <f ca="1">INDEX(Photobiology!$21:$421,1+$AH377-380,AR$14)</f>
        <v>2.49964307487186e-7</v>
      </c>
      <c r="AS377" s="236">
        <f ca="1" t="shared" si="132"/>
        <v>4.9410310029683e+19</v>
      </c>
      <c r="AT377" s="236">
        <f ca="1">INDEX(Photobiology!$21:$421,1+$AH377-380,AT$14)</f>
        <v>5.7695755172195e-10</v>
      </c>
      <c r="AU377" s="236">
        <f ca="1">INDEX(Photobiology!$21:$421,1+$AH377-380,AU$14)</f>
        <v>2.97309270138005e-5</v>
      </c>
      <c r="AV377" s="236">
        <f ca="1">INDEX(Photobiology!$21:$421,1+$AH377-380,AV$14)</f>
        <v>0.000376679724887279</v>
      </c>
      <c r="AW377" s="236">
        <f ca="1">INDEX(Photobiology!$21:$421,1+$AH377-380,AW$14)</f>
        <v>1.18666708935062e-6</v>
      </c>
      <c r="AX377" s="236">
        <f ca="1">INDEX(Photobiology!$21:$421,1+$AH377-380,AX$14)</f>
        <v>1.66001169180739e-7</v>
      </c>
      <c r="AY377" s="236">
        <f ca="1" t="shared" si="119"/>
        <v>13.3319879209511</v>
      </c>
      <c r="AZ377" s="236">
        <f ca="1" t="shared" si="133"/>
        <v>1.28666033120398e-8</v>
      </c>
      <c r="BA377" s="236">
        <f ca="1" t="shared" si="120"/>
        <v>0.000537224625136293</v>
      </c>
      <c r="BB377" s="236">
        <f ca="1" t="shared" si="121"/>
        <v>0.00649264879752076</v>
      </c>
      <c r="BC377" s="236">
        <f ca="1" t="shared" si="122"/>
        <v>2.2843250985528e-5</v>
      </c>
      <c r="BD377" s="236">
        <f ca="1" t="shared" si="123"/>
        <v>3.33252112808808e-6</v>
      </c>
    </row>
    <row r="378" s="234" customFormat="1" ht="0.2" customHeight="1" spans="7:56">
      <c r="G378" s="236"/>
      <c r="H378" s="236">
        <f t="shared" si="124"/>
        <v>737</v>
      </c>
      <c r="I378" s="236">
        <f>IF($H378&gt;$H377,INDEX(Spectra!378:378,1,MATCH($I$20,Spectra!$20:$20,0)),I377)</f>
        <v>1.56900071999265</v>
      </c>
      <c r="J378" s="236">
        <f>((Physics!$C$9*Physics!$C$10)/(Physics!$C$11*Physics!$C$12*$H378))^($J$17-$J$18)</f>
        <v>3.71118275057386e+18</v>
      </c>
      <c r="K378" s="236">
        <f t="shared" si="125"/>
        <v>1</v>
      </c>
      <c r="L378" s="236">
        <f ca="1">INDEX(Photobiology!$21:$421,1+$H378-380,10)</f>
        <v>0.0003114404</v>
      </c>
      <c r="M378" s="236">
        <f ca="1" t="shared" si="126"/>
        <v>1.56900071999265</v>
      </c>
      <c r="N378" s="236">
        <f ca="1">INDEX(Photobiology!$21:$421,1+$H378-380,N$14)</f>
        <v>9.15939946221161e-10</v>
      </c>
      <c r="O378" s="236">
        <f ca="1">INDEX(Photobiology!$21:$421,1+$H378-380,O$14)</f>
        <v>3.77045706718467e-5</v>
      </c>
      <c r="P378" s="236">
        <f ca="1">INDEX(Photobiology!$21:$421,1+$H378-380,P$14)</f>
        <v>0.000454390245810309</v>
      </c>
      <c r="Q378" s="236">
        <f ca="1">INDEX(Photobiology!$21:$421,1+$H378-380,Q$14)</f>
        <v>1.61011167830313e-6</v>
      </c>
      <c r="R378" s="236">
        <f ca="1">INDEX(Photobiology!$21:$421,1+$H378-380,R$14)</f>
        <v>2.35382949208993e-7</v>
      </c>
      <c r="S378" s="236">
        <f ca="1" t="shared" si="127"/>
        <v>5.82284840767469e+18</v>
      </c>
      <c r="T378" s="236">
        <f ca="1">INDEX(Photobiology!$21:$421,1+$H378-380,T$14)</f>
        <v>5.46829818639499e-10</v>
      </c>
      <c r="U378" s="236">
        <f ca="1">INDEX(Photobiology!$21:$421,1+$H378-380,U$14)</f>
        <v>2.77812496543906e-5</v>
      </c>
      <c r="V378" s="236">
        <f ca="1">INDEX(Photobiology!$21:$421,1+$H378-380,V$14)</f>
        <v>0.000350981779088729</v>
      </c>
      <c r="W378" s="236">
        <f ca="1">INDEX(Photobiology!$21:$421,1+$H378-380,W$14)</f>
        <v>1.11360769803731e-6</v>
      </c>
      <c r="X378" s="236">
        <f ca="1">INDEX(Photobiology!$21:$421,1+$H378-380,X$14)</f>
        <v>1.56105596585806e-7</v>
      </c>
      <c r="Y378" s="236">
        <f ca="1" t="shared" si="114"/>
        <v>1.56900071999265</v>
      </c>
      <c r="Z378" s="236">
        <f ca="1" t="shared" si="128"/>
        <v>1.43711043509103e-9</v>
      </c>
      <c r="AA378" s="236">
        <f ca="1" t="shared" si="115"/>
        <v>5.91584985311412e-5</v>
      </c>
      <c r="AB378" s="236">
        <f ca="1" t="shared" si="116"/>
        <v>0.000712938622834012</v>
      </c>
      <c r="AC378" s="236">
        <f ca="1" t="shared" si="117"/>
        <v>2.52626638252618e-6</v>
      </c>
      <c r="AD378" s="236">
        <f ca="1" t="shared" si="118"/>
        <v>3.69316016782903e-7</v>
      </c>
      <c r="AE378" s="236"/>
      <c r="AF378" s="236"/>
      <c r="AG378" s="236"/>
      <c r="AH378" s="236">
        <f t="shared" si="129"/>
        <v>737</v>
      </c>
      <c r="AI378" s="236">
        <f>IF($AH378&gt;$AH377,INDEX(Spectra!378:378,1,MATCH($AI$20,Spectra!$20:$20,0)),AI377)</f>
        <v>1</v>
      </c>
      <c r="AJ378" s="236">
        <f>((Physics!$C$9*Physics!$C$10)/(Physics!$C$11*Physics!$C$12*$AH378))^($AJ$17-$AJ$18)</f>
        <v>3.71118275057386e+18</v>
      </c>
      <c r="AK378" s="236">
        <f t="shared" si="130"/>
        <v>1</v>
      </c>
      <c r="AL378" s="236">
        <f ca="1">INDEX(Photobiology!$21:$421,1+$AH378-380,10)</f>
        <v>0.0003114404</v>
      </c>
      <c r="AM378" s="236">
        <f ca="1" t="shared" si="131"/>
        <v>13.3319879209511</v>
      </c>
      <c r="AN378" s="236">
        <f ca="1">INDEX(Photobiology!$21:$421,1+$AH378-380,AN$14)</f>
        <v>9.15939946221161e-10</v>
      </c>
      <c r="AO378" s="236">
        <f ca="1">INDEX(Photobiology!$21:$421,1+$AH378-380,AO$14)</f>
        <v>3.77045706718467e-5</v>
      </c>
      <c r="AP378" s="236">
        <f ca="1">INDEX(Photobiology!$21:$421,1+$AH378-380,AP$14)</f>
        <v>0.000454390245810309</v>
      </c>
      <c r="AQ378" s="236">
        <f ca="1">INDEX(Photobiology!$21:$421,1+$AH378-380,AQ$14)</f>
        <v>1.61011167830313e-6</v>
      </c>
      <c r="AR378" s="236">
        <f ca="1">INDEX(Photobiology!$21:$421,1+$AH378-380,AR$14)</f>
        <v>2.35382949208993e-7</v>
      </c>
      <c r="AS378" s="236">
        <f ca="1" t="shared" si="132"/>
        <v>4.94774436030929e+19</v>
      </c>
      <c r="AT378" s="236">
        <f ca="1">INDEX(Photobiology!$21:$421,1+$AH378-380,AT$14)</f>
        <v>5.46829818639499e-10</v>
      </c>
      <c r="AU378" s="236">
        <f ca="1">INDEX(Photobiology!$21:$421,1+$AH378-380,AU$14)</f>
        <v>2.77812496543906e-5</v>
      </c>
      <c r="AV378" s="236">
        <f ca="1">INDEX(Photobiology!$21:$421,1+$AH378-380,AV$14)</f>
        <v>0.000350981779088729</v>
      </c>
      <c r="AW378" s="236">
        <f ca="1">INDEX(Photobiology!$21:$421,1+$AH378-380,AW$14)</f>
        <v>1.11360769803731e-6</v>
      </c>
      <c r="AX378" s="236">
        <f ca="1">INDEX(Photobiology!$21:$421,1+$AH378-380,AX$14)</f>
        <v>1.56105596585806e-7</v>
      </c>
      <c r="AY378" s="236">
        <f ca="1" t="shared" si="119"/>
        <v>13.3319879209511</v>
      </c>
      <c r="AZ378" s="236">
        <f ca="1" t="shared" si="133"/>
        <v>1.22113002993372e-8</v>
      </c>
      <c r="BA378" s="236">
        <f ca="1" t="shared" si="120"/>
        <v>0.000502676880761709</v>
      </c>
      <c r="BB378" s="236">
        <f ca="1" t="shared" si="121"/>
        <v>0.00605792526854106</v>
      </c>
      <c r="BC378" s="236">
        <f ca="1" t="shared" si="122"/>
        <v>2.14659894465197e-5</v>
      </c>
      <c r="BD378" s="236">
        <f ca="1" t="shared" si="123"/>
        <v>3.13812263565215e-6</v>
      </c>
    </row>
    <row r="379" s="234" customFormat="1" ht="0.2" customHeight="1" spans="7:56">
      <c r="G379" s="236"/>
      <c r="H379" s="236">
        <f t="shared" si="124"/>
        <v>738</v>
      </c>
      <c r="I379" s="236">
        <f>IF($H379&gt;$H378,INDEX(Spectra!379:379,1,MATCH($I$20,Spectra!$20:$20,0)),I378)</f>
        <v>1.51595098899967</v>
      </c>
      <c r="J379" s="236">
        <f>((Physics!$C$9*Physics!$C$10)/(Physics!$C$11*Physics!$C$12*$H379))^($J$17-$J$18)</f>
        <v>3.71621827669404e+18</v>
      </c>
      <c r="K379" s="236">
        <f t="shared" si="125"/>
        <v>1</v>
      </c>
      <c r="L379" s="236">
        <f ca="1">INDEX(Photobiology!$21:$421,1+$H379-380,10)</f>
        <v>0.0002891656</v>
      </c>
      <c r="M379" s="236">
        <f ca="1" t="shared" si="126"/>
        <v>1.51595098899967</v>
      </c>
      <c r="N379" s="236">
        <f ca="1">INDEX(Photobiology!$21:$421,1+$H379-380,N$14)</f>
        <v>8.69412740268622e-10</v>
      </c>
      <c r="O379" s="236">
        <f ca="1">INDEX(Photobiology!$21:$421,1+$H379-380,O$14)</f>
        <v>3.52861275786014e-5</v>
      </c>
      <c r="P379" s="236">
        <f ca="1">INDEX(Photobiology!$21:$421,1+$H379-380,P$14)</f>
        <v>0.000424031382643841</v>
      </c>
      <c r="Q379" s="236">
        <f ca="1">INDEX(Photobiology!$21:$421,1+$H379-380,Q$14)</f>
        <v>1.51329291924943e-6</v>
      </c>
      <c r="R379" s="236">
        <f ca="1">INDEX(Photobiology!$21:$421,1+$H379-380,R$14)</f>
        <v>2.21688415850879e-7</v>
      </c>
      <c r="S379" s="236">
        <f ca="1" t="shared" si="127"/>
        <v>5.63360477189298e+18</v>
      </c>
      <c r="T379" s="236">
        <f ca="1">INDEX(Photobiology!$21:$421,1+$H379-380,T$14)</f>
        <v>5.18349059238745e-10</v>
      </c>
      <c r="U379" s="236">
        <f ca="1">INDEX(Photobiology!$21:$421,1+$H379-380,U$14)</f>
        <v>2.59640778885893e-5</v>
      </c>
      <c r="V379" s="236">
        <f ca="1">INDEX(Photobiology!$21:$421,1+$H379-380,V$14)</f>
        <v>0.000327088064602767</v>
      </c>
      <c r="W379" s="236">
        <f ca="1">INDEX(Photobiology!$21:$421,1+$H379-380,W$14)</f>
        <v>1.04522635184988e-6</v>
      </c>
      <c r="X379" s="236">
        <f ca="1">INDEX(Photobiology!$21:$421,1+$H379-380,X$14)</f>
        <v>1.46824185194836e-7</v>
      </c>
      <c r="Y379" s="236">
        <f ca="1" t="shared" si="114"/>
        <v>1.51595098899967</v>
      </c>
      <c r="Z379" s="236">
        <f ca="1" t="shared" si="128"/>
        <v>1.31798710345913e-9</v>
      </c>
      <c r="AA379" s="236">
        <f ca="1" t="shared" si="115"/>
        <v>5.34920400007493e-5</v>
      </c>
      <c r="AB379" s="236">
        <f ca="1" t="shared" si="116"/>
        <v>0.000642810793885828</v>
      </c>
      <c r="AC379" s="236">
        <f ca="1" t="shared" si="117"/>
        <v>2.29407789758237e-6</v>
      </c>
      <c r="AD379" s="236">
        <f ca="1" t="shared" si="118"/>
        <v>3.3606877325891e-7</v>
      </c>
      <c r="AE379" s="236"/>
      <c r="AF379" s="236"/>
      <c r="AG379" s="236"/>
      <c r="AH379" s="236">
        <f t="shared" si="129"/>
        <v>738</v>
      </c>
      <c r="AI379" s="236">
        <f>IF($AH379&gt;$AH378,INDEX(Spectra!379:379,1,MATCH($AI$20,Spectra!$20:$20,0)),AI378)</f>
        <v>1</v>
      </c>
      <c r="AJ379" s="236">
        <f>((Physics!$C$9*Physics!$C$10)/(Physics!$C$11*Physics!$C$12*$AH379))^($AJ$17-$AJ$18)</f>
        <v>3.71621827669404e+18</v>
      </c>
      <c r="AK379" s="236">
        <f t="shared" si="130"/>
        <v>1</v>
      </c>
      <c r="AL379" s="236">
        <f ca="1">INDEX(Photobiology!$21:$421,1+$AH379-380,10)</f>
        <v>0.0002891656</v>
      </c>
      <c r="AM379" s="236">
        <f ca="1" t="shared" si="131"/>
        <v>13.3319879209511</v>
      </c>
      <c r="AN379" s="236">
        <f ca="1">INDEX(Photobiology!$21:$421,1+$AH379-380,AN$14)</f>
        <v>8.69412740268622e-10</v>
      </c>
      <c r="AO379" s="236">
        <f ca="1">INDEX(Photobiology!$21:$421,1+$AH379-380,AO$14)</f>
        <v>3.52861275786014e-5</v>
      </c>
      <c r="AP379" s="236">
        <f ca="1">INDEX(Photobiology!$21:$421,1+$AH379-380,AP$14)</f>
        <v>0.000424031382643841</v>
      </c>
      <c r="AQ379" s="236">
        <f ca="1">INDEX(Photobiology!$21:$421,1+$AH379-380,AQ$14)</f>
        <v>1.51329291924943e-6</v>
      </c>
      <c r="AR379" s="236">
        <f ca="1">INDEX(Photobiology!$21:$421,1+$AH379-380,AR$14)</f>
        <v>2.21688415850879e-7</v>
      </c>
      <c r="AS379" s="236">
        <f ca="1" t="shared" si="132"/>
        <v>4.95445771765028e+19</v>
      </c>
      <c r="AT379" s="236">
        <f ca="1">INDEX(Photobiology!$21:$421,1+$AH379-380,AT$14)</f>
        <v>5.18349059238745e-10</v>
      </c>
      <c r="AU379" s="236">
        <f ca="1">INDEX(Photobiology!$21:$421,1+$AH379-380,AU$14)</f>
        <v>2.59640778885893e-5</v>
      </c>
      <c r="AV379" s="236">
        <f ca="1">INDEX(Photobiology!$21:$421,1+$AH379-380,AV$14)</f>
        <v>0.000327088064602767</v>
      </c>
      <c r="AW379" s="236">
        <f ca="1">INDEX(Photobiology!$21:$421,1+$AH379-380,AW$14)</f>
        <v>1.04522635184988e-6</v>
      </c>
      <c r="AX379" s="236">
        <f ca="1">INDEX(Photobiology!$21:$421,1+$AH379-380,AX$14)</f>
        <v>1.46824185194836e-7</v>
      </c>
      <c r="AY379" s="236">
        <f ca="1" t="shared" si="119"/>
        <v>13.3319879209511</v>
      </c>
      <c r="AZ379" s="236">
        <f ca="1" t="shared" si="133"/>
        <v>1.15910001515823e-8</v>
      </c>
      <c r="BA379" s="236">
        <f ca="1" t="shared" si="120"/>
        <v>0.000470434226655055</v>
      </c>
      <c r="BB379" s="236">
        <f ca="1" t="shared" si="121"/>
        <v>0.0056531812715119</v>
      </c>
      <c r="BC379" s="236">
        <f ca="1" t="shared" si="122"/>
        <v>2.01752029202943e-5</v>
      </c>
      <c r="BD379" s="236">
        <f ca="1" t="shared" si="123"/>
        <v>2.95554728233871e-6</v>
      </c>
    </row>
    <row r="380" s="234" customFormat="1" ht="0.2" customHeight="1" spans="7:56">
      <c r="G380" s="236"/>
      <c r="H380" s="236">
        <f t="shared" si="124"/>
        <v>739</v>
      </c>
      <c r="I380" s="236">
        <f>IF($H380&gt;$H379,INDEX(Spectra!380:380,1,MATCH($I$20,Spectra!$20:$20,0)),I379)</f>
        <v>1.479744082815</v>
      </c>
      <c r="J380" s="236">
        <f>((Physics!$C$9*Physics!$C$10)/(Physics!$C$11*Physics!$C$12*$H380))^($J$17-$J$18)</f>
        <v>3.72125380281422e+18</v>
      </c>
      <c r="K380" s="236">
        <f t="shared" si="125"/>
        <v>1</v>
      </c>
      <c r="L380" s="236">
        <f ca="1">INDEX(Photobiology!$21:$421,1+$H380-380,10)</f>
        <v>0.0002684539</v>
      </c>
      <c r="M380" s="236">
        <f ca="1" t="shared" si="126"/>
        <v>1.479744082815</v>
      </c>
      <c r="N380" s="236">
        <f ca="1">INDEX(Photobiology!$21:$421,1+$H380-380,N$14)</f>
        <v>8.25370609331353e-10</v>
      </c>
      <c r="O380" s="236">
        <f ca="1">INDEX(Photobiology!$21:$421,1+$H380-380,O$14)</f>
        <v>3.30285874195172e-5</v>
      </c>
      <c r="P380" s="236">
        <f ca="1">INDEX(Photobiology!$21:$421,1+$H380-380,P$14)</f>
        <v>0.000395761916083185</v>
      </c>
      <c r="Q380" s="236">
        <f ca="1">INDEX(Photobiology!$21:$421,1+$H380-380,Q$14)</f>
        <v>1.42253512917168e-6</v>
      </c>
      <c r="R380" s="236">
        <f ca="1">INDEX(Photobiology!$21:$421,1+$H380-380,R$14)</f>
        <v>2.08825245189728e-7</v>
      </c>
      <c r="S380" s="236">
        <f ca="1" t="shared" si="127"/>
        <v>5.50650329536716e+18</v>
      </c>
      <c r="T380" s="236">
        <f ca="1">INDEX(Photobiology!$21:$421,1+$H380-380,T$14)</f>
        <v>4.914249906709e-10</v>
      </c>
      <c r="U380" s="236">
        <f ca="1">INDEX(Photobiology!$21:$421,1+$H380-380,U$14)</f>
        <v>2.42700586992233e-5</v>
      </c>
      <c r="V380" s="236">
        <f ca="1">INDEX(Photobiology!$21:$421,1+$H380-380,V$14)</f>
        <v>0.000304868546700264</v>
      </c>
      <c r="W380" s="236">
        <f ca="1">INDEX(Photobiology!$21:$421,1+$H380-380,W$14)</f>
        <v>9.81210696369374e-7</v>
      </c>
      <c r="X380" s="236">
        <f ca="1">INDEX(Photobiology!$21:$421,1+$H380-380,X$14)</f>
        <v>1.38117758884543e-7</v>
      </c>
      <c r="Y380" s="236">
        <f ca="1" t="shared" si="114"/>
        <v>1.479744082815</v>
      </c>
      <c r="Z380" s="236">
        <f ca="1" t="shared" si="128"/>
        <v>1.22133727528748e-9</v>
      </c>
      <c r="AA380" s="236">
        <f ca="1" t="shared" si="115"/>
        <v>4.88738567977685e-5</v>
      </c>
      <c r="AB380" s="236">
        <f ca="1" t="shared" si="116"/>
        <v>0.00058562635352762</v>
      </c>
      <c r="AC380" s="236">
        <f ca="1" t="shared" si="117"/>
        <v>2.10498793998827e-6</v>
      </c>
      <c r="AD380" s="236">
        <f ca="1" t="shared" si="118"/>
        <v>3.09007920911892e-7</v>
      </c>
      <c r="AE380" s="236"/>
      <c r="AF380" s="236"/>
      <c r="AG380" s="236"/>
      <c r="AH380" s="236">
        <f t="shared" si="129"/>
        <v>739</v>
      </c>
      <c r="AI380" s="236">
        <f>IF($AH380&gt;$AH379,INDEX(Spectra!380:380,1,MATCH($AI$20,Spectra!$20:$20,0)),AI379)</f>
        <v>1</v>
      </c>
      <c r="AJ380" s="236">
        <f>((Physics!$C$9*Physics!$C$10)/(Physics!$C$11*Physics!$C$12*$AH380))^($AJ$17-$AJ$18)</f>
        <v>3.72125380281422e+18</v>
      </c>
      <c r="AK380" s="236">
        <f t="shared" si="130"/>
        <v>1</v>
      </c>
      <c r="AL380" s="236">
        <f ca="1">INDEX(Photobiology!$21:$421,1+$AH380-380,10)</f>
        <v>0.0002684539</v>
      </c>
      <c r="AM380" s="236">
        <f ca="1" t="shared" si="131"/>
        <v>13.3319879209511</v>
      </c>
      <c r="AN380" s="236">
        <f ca="1">INDEX(Photobiology!$21:$421,1+$AH380-380,AN$14)</f>
        <v>8.25370609331353e-10</v>
      </c>
      <c r="AO380" s="236">
        <f ca="1">INDEX(Photobiology!$21:$421,1+$AH380-380,AO$14)</f>
        <v>3.30285874195172e-5</v>
      </c>
      <c r="AP380" s="236">
        <f ca="1">INDEX(Photobiology!$21:$421,1+$AH380-380,AP$14)</f>
        <v>0.000395761916083185</v>
      </c>
      <c r="AQ380" s="236">
        <f ca="1">INDEX(Photobiology!$21:$421,1+$AH380-380,AQ$14)</f>
        <v>1.42253512917168e-6</v>
      </c>
      <c r="AR380" s="236">
        <f ca="1">INDEX(Photobiology!$21:$421,1+$AH380-380,AR$14)</f>
        <v>2.08825245189728e-7</v>
      </c>
      <c r="AS380" s="236">
        <f ca="1" t="shared" si="132"/>
        <v>4.96117107499127e+19</v>
      </c>
      <c r="AT380" s="236">
        <f ca="1">INDEX(Photobiology!$21:$421,1+$AH380-380,AT$14)</f>
        <v>4.914249906709e-10</v>
      </c>
      <c r="AU380" s="236">
        <f ca="1">INDEX(Photobiology!$21:$421,1+$AH380-380,AU$14)</f>
        <v>2.42700586992233e-5</v>
      </c>
      <c r="AV380" s="236">
        <f ca="1">INDEX(Photobiology!$21:$421,1+$AH380-380,AV$14)</f>
        <v>0.000304868546700264</v>
      </c>
      <c r="AW380" s="236">
        <f ca="1">INDEX(Photobiology!$21:$421,1+$AH380-380,AW$14)</f>
        <v>9.81210696369374e-7</v>
      </c>
      <c r="AX380" s="236">
        <f ca="1">INDEX(Photobiology!$21:$421,1+$AH380-380,AX$14)</f>
        <v>1.38117758884543e-7</v>
      </c>
      <c r="AY380" s="236">
        <f ca="1" t="shared" si="119"/>
        <v>13.3319879209511</v>
      </c>
      <c r="AZ380" s="236">
        <f ca="1" t="shared" si="133"/>
        <v>1.10038309939137e-8</v>
      </c>
      <c r="BA380" s="236">
        <f ca="1" t="shared" si="120"/>
        <v>0.000440336728523082</v>
      </c>
      <c r="BB380" s="236">
        <f ca="1" t="shared" si="121"/>
        <v>0.0052762930847935</v>
      </c>
      <c r="BC380" s="236">
        <f ca="1" t="shared" si="122"/>
        <v>1.89652211592455e-5</v>
      </c>
      <c r="BD380" s="236">
        <f ca="1" t="shared" si="123"/>
        <v>2.78405564645911e-6</v>
      </c>
    </row>
    <row r="381" s="234" customFormat="1" ht="0.2" customHeight="1" spans="7:56">
      <c r="G381" s="236"/>
      <c r="H381" s="236">
        <f t="shared" si="124"/>
        <v>740</v>
      </c>
      <c r="I381" s="236">
        <f>IF($H381&gt;$H380,INDEX(Spectra!381:381,1,MATCH($I$20,Spectra!$20:$20,0)),I380)</f>
        <v>1.44029793349062</v>
      </c>
      <c r="J381" s="236">
        <f>((Physics!$C$9*Physics!$C$10)/(Physics!$C$11*Physics!$C$12*$H381))^($J$17-$J$18)</f>
        <v>3.7262893289344e+18</v>
      </c>
      <c r="K381" s="236">
        <f t="shared" si="125"/>
        <v>1</v>
      </c>
      <c r="L381" s="236">
        <f ca="1">INDEX(Photobiology!$21:$421,1+$H381-380,10)</f>
        <v>0.0002492</v>
      </c>
      <c r="M381" s="236">
        <f ca="1" t="shared" si="126"/>
        <v>1.44029793349062</v>
      </c>
      <c r="N381" s="236">
        <f ca="1">INDEX(Photobiology!$21:$421,1+$H381-380,N$14)</f>
        <v>7.83669599991484e-10</v>
      </c>
      <c r="O381" s="236">
        <f ca="1">INDEX(Photobiology!$21:$421,1+$H381-380,O$14)</f>
        <v>3.09208198144797e-5</v>
      </c>
      <c r="P381" s="236">
        <f ca="1">INDEX(Photobiology!$21:$421,1+$H381-380,P$14)</f>
        <v>0.000369434117196761</v>
      </c>
      <c r="Q381" s="236">
        <f ca="1">INDEX(Photobiology!$21:$421,1+$H381-380,Q$14)</f>
        <v>1.33744521098963e-6</v>
      </c>
      <c r="R381" s="236">
        <f ca="1">INDEX(Photobiology!$21:$421,1+$H381-380,R$14)</f>
        <v>1.96740603840031e-7</v>
      </c>
      <c r="S381" s="236">
        <f ca="1" t="shared" si="127"/>
        <v>5.36696682005237e+18</v>
      </c>
      <c r="T381" s="236">
        <f ca="1">INDEX(Photobiology!$21:$421,1+$H381-380,T$14)</f>
        <v>4.65965708103045e-10</v>
      </c>
      <c r="U381" s="236">
        <f ca="1">INDEX(Photobiology!$21:$421,1+$H381-380,U$14)</f>
        <v>2.26905250483041e-5</v>
      </c>
      <c r="V381" s="236">
        <f ca="1">INDEX(Photobiology!$21:$421,1+$H381-380,V$14)</f>
        <v>0.000284202791380352</v>
      </c>
      <c r="W381" s="236">
        <f ca="1">INDEX(Photobiology!$21:$421,1+$H381-380,W$14)</f>
        <v>9.21272255825779e-7</v>
      </c>
      <c r="X381" s="236">
        <f ca="1">INDEX(Photobiology!$21:$421,1+$H381-380,X$14)</f>
        <v>1.29949089667374e-7</v>
      </c>
      <c r="Y381" s="236">
        <f ca="1" t="shared" si="114"/>
        <v>1.44029793349062</v>
      </c>
      <c r="Z381" s="236">
        <f ca="1" t="shared" si="128"/>
        <v>1.12871770540716e-9</v>
      </c>
      <c r="AA381" s="236">
        <f ca="1" t="shared" si="115"/>
        <v>4.45351928806309e-5</v>
      </c>
      <c r="AB381" s="236">
        <f ca="1" t="shared" si="116"/>
        <v>0.000532095195559426</v>
      </c>
      <c r="AC381" s="236">
        <f ca="1" t="shared" si="117"/>
        <v>1.92631957354529e-6</v>
      </c>
      <c r="AD381" s="236">
        <f ca="1" t="shared" si="118"/>
        <v>2.83365085144493e-7</v>
      </c>
      <c r="AE381" s="236"/>
      <c r="AF381" s="236"/>
      <c r="AG381" s="236"/>
      <c r="AH381" s="236">
        <f t="shared" si="129"/>
        <v>740</v>
      </c>
      <c r="AI381" s="236">
        <f>IF($AH381&gt;$AH380,INDEX(Spectra!381:381,1,MATCH($AI$20,Spectra!$20:$20,0)),AI380)</f>
        <v>1</v>
      </c>
      <c r="AJ381" s="236">
        <f>((Physics!$C$9*Physics!$C$10)/(Physics!$C$11*Physics!$C$12*$AH381))^($AJ$17-$AJ$18)</f>
        <v>3.7262893289344e+18</v>
      </c>
      <c r="AK381" s="236">
        <f t="shared" si="130"/>
        <v>1</v>
      </c>
      <c r="AL381" s="236">
        <f ca="1">INDEX(Photobiology!$21:$421,1+$AH381-380,10)</f>
        <v>0.0002492</v>
      </c>
      <c r="AM381" s="236">
        <f ca="1" t="shared" si="131"/>
        <v>13.3319879209511</v>
      </c>
      <c r="AN381" s="236">
        <f ca="1">INDEX(Photobiology!$21:$421,1+$AH381-380,AN$14)</f>
        <v>7.83669599991484e-10</v>
      </c>
      <c r="AO381" s="236">
        <f ca="1">INDEX(Photobiology!$21:$421,1+$AH381-380,AO$14)</f>
        <v>3.09208198144797e-5</v>
      </c>
      <c r="AP381" s="236">
        <f ca="1">INDEX(Photobiology!$21:$421,1+$AH381-380,AP$14)</f>
        <v>0.000369434117196761</v>
      </c>
      <c r="AQ381" s="236">
        <f ca="1">INDEX(Photobiology!$21:$421,1+$AH381-380,AQ$14)</f>
        <v>1.33744521098963e-6</v>
      </c>
      <c r="AR381" s="236">
        <f ca="1">INDEX(Photobiology!$21:$421,1+$AH381-380,AR$14)</f>
        <v>1.96740603840031e-7</v>
      </c>
      <c r="AS381" s="236">
        <f ca="1" t="shared" si="132"/>
        <v>4.96788443233226e+19</v>
      </c>
      <c r="AT381" s="236">
        <f ca="1">INDEX(Photobiology!$21:$421,1+$AH381-380,AT$14)</f>
        <v>4.65965708103045e-10</v>
      </c>
      <c r="AU381" s="236">
        <f ca="1">INDEX(Photobiology!$21:$421,1+$AH381-380,AU$14)</f>
        <v>2.26905250483041e-5</v>
      </c>
      <c r="AV381" s="236">
        <f ca="1">INDEX(Photobiology!$21:$421,1+$AH381-380,AV$14)</f>
        <v>0.000284202791380352</v>
      </c>
      <c r="AW381" s="236">
        <f ca="1">INDEX(Photobiology!$21:$421,1+$AH381-380,AW$14)</f>
        <v>9.21272255825779e-7</v>
      </c>
      <c r="AX381" s="236">
        <f ca="1">INDEX(Photobiology!$21:$421,1+$AH381-380,AX$14)</f>
        <v>1.29949089667374e-7</v>
      </c>
      <c r="AY381" s="236">
        <f ca="1" t="shared" si="119"/>
        <v>13.3319879209511</v>
      </c>
      <c r="AZ381" s="236">
        <f ca="1" t="shared" si="133"/>
        <v>1.04478736411031e-8</v>
      </c>
      <c r="BA381" s="236">
        <f ca="1" t="shared" si="120"/>
        <v>0.00041223599627255</v>
      </c>
      <c r="BB381" s="236">
        <f ca="1" t="shared" si="121"/>
        <v>0.00492529118805447</v>
      </c>
      <c r="BC381" s="236">
        <f ca="1" t="shared" si="122"/>
        <v>1.78308033978477e-5</v>
      </c>
      <c r="BD381" s="236">
        <f ca="1" t="shared" si="123"/>
        <v>2.62294335395593e-6</v>
      </c>
    </row>
    <row r="382" s="234" customFormat="1" ht="0.2" customHeight="1" spans="7:56">
      <c r="G382" s="236"/>
      <c r="H382" s="236">
        <f t="shared" si="124"/>
        <v>741</v>
      </c>
      <c r="I382" s="236">
        <f>IF($H382&gt;$H381,INDEX(Spectra!382:382,1,MATCH($I$20,Spectra!$20:$20,0)),I381)</f>
        <v>1.40052172702949</v>
      </c>
      <c r="J382" s="236">
        <f>((Physics!$C$9*Physics!$C$10)/(Physics!$C$11*Physics!$C$12*$H382))^($J$17-$J$18)</f>
        <v>3.73132485505458e+18</v>
      </c>
      <c r="K382" s="236">
        <f t="shared" si="125"/>
        <v>1</v>
      </c>
      <c r="L382" s="236">
        <f ca="1">INDEX(Photobiology!$21:$421,1+$H382-380,10)</f>
        <v>0.0002313019</v>
      </c>
      <c r="M382" s="236">
        <f ca="1" t="shared" si="126"/>
        <v>1.40052172702949</v>
      </c>
      <c r="N382" s="236">
        <f ca="1">INDEX(Photobiology!$21:$421,1+$H382-380,N$14)</f>
        <v>7.44164588458069e-10</v>
      </c>
      <c r="O382" s="236">
        <f ca="1">INDEX(Photobiology!$21:$421,1+$H382-380,O$14)</f>
        <v>2.8952028659049e-5</v>
      </c>
      <c r="P382" s="236">
        <f ca="1">INDEX(Photobiology!$21:$421,1+$H382-380,P$14)</f>
        <v>0.000344904610641291</v>
      </c>
      <c r="Q382" s="236">
        <f ca="1">INDEX(Photobiology!$21:$421,1+$H382-380,Q$14)</f>
        <v>1.25763032244722e-6</v>
      </c>
      <c r="R382" s="236">
        <f ca="1">INDEX(Photobiology!$21:$421,1+$H382-380,R$14)</f>
        <v>1.85380905860444e-7</v>
      </c>
      <c r="S382" s="236">
        <f ca="1" t="shared" si="127"/>
        <v>5.2258015301091e+18</v>
      </c>
      <c r="T382" s="236">
        <f ca="1">INDEX(Photobiology!$21:$421,1+$H382-380,T$14)</f>
        <v>4.41879107856343e-10</v>
      </c>
      <c r="U382" s="236">
        <f ca="1">INDEX(Photobiology!$21:$421,1+$H382-380,U$14)</f>
        <v>2.12171016528691e-5</v>
      </c>
      <c r="V382" s="236">
        <f ca="1">INDEX(Photobiology!$21:$421,1+$H382-380,V$14)</f>
        <v>0.000264974359420016</v>
      </c>
      <c r="W382" s="236">
        <f ca="1">INDEX(Photobiology!$21:$421,1+$H382-380,W$14)</f>
        <v>8.65124286966838e-7</v>
      </c>
      <c r="X382" s="236">
        <f ca="1">INDEX(Photobiology!$21:$421,1+$H382-380,X$14)</f>
        <v>1.22280654116908e-7</v>
      </c>
      <c r="Y382" s="236">
        <f ca="1" t="shared" si="114"/>
        <v>1.40052172702949</v>
      </c>
      <c r="Z382" s="236">
        <f ca="1" t="shared" si="128"/>
        <v>1.04221867462148e-9</v>
      </c>
      <c r="AA382" s="236">
        <f ca="1" t="shared" si="115"/>
        <v>4.05479451785786e-5</v>
      </c>
      <c r="AB382" s="236">
        <f ca="1" t="shared" si="116"/>
        <v>0.000483046400955775</v>
      </c>
      <c r="AC382" s="236">
        <f ca="1" t="shared" si="117"/>
        <v>1.76133859115844e-6</v>
      </c>
      <c r="AD382" s="236">
        <f ca="1" t="shared" si="118"/>
        <v>2.5962998643396e-7</v>
      </c>
      <c r="AE382" s="236"/>
      <c r="AF382" s="236"/>
      <c r="AG382" s="236"/>
      <c r="AH382" s="236">
        <f t="shared" si="129"/>
        <v>741</v>
      </c>
      <c r="AI382" s="236">
        <f>IF($AH382&gt;$AH381,INDEX(Spectra!382:382,1,MATCH($AI$20,Spectra!$20:$20,0)),AI381)</f>
        <v>1</v>
      </c>
      <c r="AJ382" s="236">
        <f>((Physics!$C$9*Physics!$C$10)/(Physics!$C$11*Physics!$C$12*$AH382))^($AJ$17-$AJ$18)</f>
        <v>3.73132485505458e+18</v>
      </c>
      <c r="AK382" s="236">
        <f t="shared" si="130"/>
        <v>1</v>
      </c>
      <c r="AL382" s="236">
        <f ca="1">INDEX(Photobiology!$21:$421,1+$AH382-380,10)</f>
        <v>0.0002313019</v>
      </c>
      <c r="AM382" s="236">
        <f ca="1" t="shared" si="131"/>
        <v>13.3319879209511</v>
      </c>
      <c r="AN382" s="236">
        <f ca="1">INDEX(Photobiology!$21:$421,1+$AH382-380,AN$14)</f>
        <v>7.44164588458069e-10</v>
      </c>
      <c r="AO382" s="236">
        <f ca="1">INDEX(Photobiology!$21:$421,1+$AH382-380,AO$14)</f>
        <v>2.8952028659049e-5</v>
      </c>
      <c r="AP382" s="236">
        <f ca="1">INDEX(Photobiology!$21:$421,1+$AH382-380,AP$14)</f>
        <v>0.000344904610641291</v>
      </c>
      <c r="AQ382" s="236">
        <f ca="1">INDEX(Photobiology!$21:$421,1+$AH382-380,AQ$14)</f>
        <v>1.25763032244722e-6</v>
      </c>
      <c r="AR382" s="236">
        <f ca="1">INDEX(Photobiology!$21:$421,1+$AH382-380,AR$14)</f>
        <v>1.85380905860444e-7</v>
      </c>
      <c r="AS382" s="236">
        <f ca="1" t="shared" si="132"/>
        <v>4.97459778967325e+19</v>
      </c>
      <c r="AT382" s="236">
        <f ca="1">INDEX(Photobiology!$21:$421,1+$AH382-380,AT$14)</f>
        <v>4.41879107856343e-10</v>
      </c>
      <c r="AU382" s="236">
        <f ca="1">INDEX(Photobiology!$21:$421,1+$AH382-380,AU$14)</f>
        <v>2.12171016528691e-5</v>
      </c>
      <c r="AV382" s="236">
        <f ca="1">INDEX(Photobiology!$21:$421,1+$AH382-380,AV$14)</f>
        <v>0.000264974359420016</v>
      </c>
      <c r="AW382" s="236">
        <f ca="1">INDEX(Photobiology!$21:$421,1+$AH382-380,AW$14)</f>
        <v>8.65124286966838e-7</v>
      </c>
      <c r="AX382" s="236">
        <f ca="1">INDEX(Photobiology!$21:$421,1+$AH382-380,AX$14)</f>
        <v>1.22280654116908e-7</v>
      </c>
      <c r="AY382" s="236">
        <f ca="1" t="shared" si="119"/>
        <v>13.3319879209511</v>
      </c>
      <c r="AZ382" s="236">
        <f ca="1" t="shared" si="133"/>
        <v>9.92119330452255e-9</v>
      </c>
      <c r="BA382" s="236">
        <f ca="1" t="shared" si="120"/>
        <v>0.000385988096369473</v>
      </c>
      <c r="BB382" s="236">
        <f ca="1" t="shared" si="121"/>
        <v>0.00459826410295005</v>
      </c>
      <c r="BC382" s="236">
        <f ca="1" t="shared" si="122"/>
        <v>1.67667122678882e-5</v>
      </c>
      <c r="BD382" s="236">
        <f ca="1" t="shared" si="123"/>
        <v>2.47149599770642e-6</v>
      </c>
    </row>
    <row r="383" s="234" customFormat="1" ht="0.2" customHeight="1" spans="7:56">
      <c r="G383" s="236"/>
      <c r="H383" s="236">
        <f t="shared" si="124"/>
        <v>742</v>
      </c>
      <c r="I383" s="236">
        <f>IF($H383&gt;$H382,INDEX(Spectra!383:383,1,MATCH($I$20,Spectra!$20:$20,0)),I382)</f>
        <v>1.35459060809875</v>
      </c>
      <c r="J383" s="236">
        <f>((Physics!$C$9*Physics!$C$10)/(Physics!$C$11*Physics!$C$12*$H383))^($J$17-$J$18)</f>
        <v>3.73636038117476e+18</v>
      </c>
      <c r="K383" s="236">
        <f t="shared" si="125"/>
        <v>1</v>
      </c>
      <c r="L383" s="236">
        <f ca="1">INDEX(Photobiology!$21:$421,1+$H383-380,10)</f>
        <v>0.0002146856</v>
      </c>
      <c r="M383" s="236">
        <f ca="1" t="shared" si="126"/>
        <v>1.35459060809875</v>
      </c>
      <c r="N383" s="236">
        <f ca="1">INDEX(Photobiology!$21:$421,1+$H383-380,N$14)</f>
        <v>7.06753552255463e-10</v>
      </c>
      <c r="O383" s="236">
        <f ca="1">INDEX(Photobiology!$21:$421,1+$H383-380,O$14)</f>
        <v>2.71132763123295e-5</v>
      </c>
      <c r="P383" s="236">
        <f ca="1">INDEX(Photobiology!$21:$421,1+$H383-380,P$14)</f>
        <v>0.000322054224259188</v>
      </c>
      <c r="Q383" s="236">
        <f ca="1">INDEX(Photobiology!$21:$421,1+$H383-380,Q$14)</f>
        <v>1.1827773520078e-6</v>
      </c>
      <c r="R383" s="236">
        <f ca="1">INDEX(Photobiology!$21:$421,1+$H383-380,R$14)</f>
        <v>1.74705669976349e-7</v>
      </c>
      <c r="S383" s="236">
        <f ca="1" t="shared" si="127"/>
        <v>5.0612386808116e+18</v>
      </c>
      <c r="T383" s="236">
        <f ca="1">INDEX(Photobiology!$21:$421,1+$H383-380,T$14)</f>
        <v>4.19099141499196e-10</v>
      </c>
      <c r="U383" s="236">
        <f ca="1">INDEX(Photobiology!$21:$421,1+$H383-380,U$14)</f>
        <v>1.98428184940274e-5</v>
      </c>
      <c r="V383" s="236">
        <f ca="1">INDEX(Photobiology!$21:$421,1+$H383-380,V$14)</f>
        <v>0.000247086008436494</v>
      </c>
      <c r="W383" s="236">
        <f ca="1">INDEX(Photobiology!$21:$421,1+$H383-380,W$14)</f>
        <v>8.12536365195011e-7</v>
      </c>
      <c r="X383" s="236">
        <f ca="1">INDEX(Photobiology!$21:$421,1+$H383-380,X$14)</f>
        <v>1.15083763518771e-7</v>
      </c>
      <c r="Y383" s="236">
        <f ca="1" t="shared" si="114"/>
        <v>1.35459060809875</v>
      </c>
      <c r="Z383" s="236">
        <f ca="1" t="shared" si="128"/>
        <v>9.57361724125679e-10</v>
      </c>
      <c r="AA383" s="236">
        <f ca="1" t="shared" si="115"/>
        <v>3.67273894474678e-5</v>
      </c>
      <c r="AB383" s="236">
        <f ca="1" t="shared" si="116"/>
        <v>0.000436251627480025</v>
      </c>
      <c r="AC383" s="236">
        <f ca="1" t="shared" si="117"/>
        <v>1.60217909250168e-6</v>
      </c>
      <c r="AD383" s="236">
        <f ca="1" t="shared" si="118"/>
        <v>2.36654659731562e-7</v>
      </c>
      <c r="AE383" s="236"/>
      <c r="AF383" s="236"/>
      <c r="AG383" s="236"/>
      <c r="AH383" s="236">
        <f t="shared" si="129"/>
        <v>742</v>
      </c>
      <c r="AI383" s="236">
        <f>IF($AH383&gt;$AH382,INDEX(Spectra!383:383,1,MATCH($AI$20,Spectra!$20:$20,0)),AI382)</f>
        <v>1</v>
      </c>
      <c r="AJ383" s="236">
        <f>((Physics!$C$9*Physics!$C$10)/(Physics!$C$11*Physics!$C$12*$AH383))^($AJ$17-$AJ$18)</f>
        <v>3.73636038117476e+18</v>
      </c>
      <c r="AK383" s="236">
        <f t="shared" si="130"/>
        <v>1</v>
      </c>
      <c r="AL383" s="236">
        <f ca="1">INDEX(Photobiology!$21:$421,1+$AH383-380,10)</f>
        <v>0.0002146856</v>
      </c>
      <c r="AM383" s="236">
        <f ca="1" t="shared" si="131"/>
        <v>13.3319879209511</v>
      </c>
      <c r="AN383" s="236">
        <f ca="1">INDEX(Photobiology!$21:$421,1+$AH383-380,AN$14)</f>
        <v>7.06753552255463e-10</v>
      </c>
      <c r="AO383" s="236">
        <f ca="1">INDEX(Photobiology!$21:$421,1+$AH383-380,AO$14)</f>
        <v>2.71132763123295e-5</v>
      </c>
      <c r="AP383" s="236">
        <f ca="1">INDEX(Photobiology!$21:$421,1+$AH383-380,AP$14)</f>
        <v>0.000322054224259188</v>
      </c>
      <c r="AQ383" s="236">
        <f ca="1">INDEX(Photobiology!$21:$421,1+$AH383-380,AQ$14)</f>
        <v>1.1827773520078e-6</v>
      </c>
      <c r="AR383" s="236">
        <f ca="1">INDEX(Photobiology!$21:$421,1+$AH383-380,AR$14)</f>
        <v>1.74705669976349e-7</v>
      </c>
      <c r="AS383" s="236">
        <f ca="1" t="shared" si="132"/>
        <v>4.98131114701424e+19</v>
      </c>
      <c r="AT383" s="236">
        <f ca="1">INDEX(Photobiology!$21:$421,1+$AH383-380,AT$14)</f>
        <v>4.19099141499196e-10</v>
      </c>
      <c r="AU383" s="236">
        <f ca="1">INDEX(Photobiology!$21:$421,1+$AH383-380,AU$14)</f>
        <v>1.98428184940274e-5</v>
      </c>
      <c r="AV383" s="236">
        <f ca="1">INDEX(Photobiology!$21:$421,1+$AH383-380,AV$14)</f>
        <v>0.000247086008436494</v>
      </c>
      <c r="AW383" s="236">
        <f ca="1">INDEX(Photobiology!$21:$421,1+$AH383-380,AW$14)</f>
        <v>8.12536365195011e-7</v>
      </c>
      <c r="AX383" s="236">
        <f ca="1">INDEX(Photobiology!$21:$421,1+$AH383-380,AX$14)</f>
        <v>1.15083763518771e-7</v>
      </c>
      <c r="AY383" s="236">
        <f ca="1" t="shared" si="119"/>
        <v>13.3319879209511</v>
      </c>
      <c r="AZ383" s="236">
        <f ca="1" t="shared" si="133"/>
        <v>9.42242982175914e-9</v>
      </c>
      <c r="BA383" s="236">
        <f ca="1" t="shared" si="120"/>
        <v>0.000361473872293388</v>
      </c>
      <c r="BB383" s="236">
        <f ca="1" t="shared" si="121"/>
        <v>0.00429362302771478</v>
      </c>
      <c r="BC383" s="236">
        <f ca="1" t="shared" si="122"/>
        <v>1.57687733701426e-5</v>
      </c>
      <c r="BD383" s="236">
        <f ca="1" t="shared" si="123"/>
        <v>2.32917388184636e-6</v>
      </c>
    </row>
    <row r="384" s="234" customFormat="1" ht="0.2" customHeight="1" spans="7:56">
      <c r="G384" s="236"/>
      <c r="H384" s="236">
        <f t="shared" si="124"/>
        <v>743</v>
      </c>
      <c r="I384" s="236">
        <f>IF($H384&gt;$H383,INDEX(Spectra!384:384,1,MATCH($I$20,Spectra!$20:$20,0)),I383)</f>
        <v>1.32209969508467</v>
      </c>
      <c r="J384" s="236">
        <f>((Physics!$C$9*Physics!$C$10)/(Physics!$C$11*Physics!$C$12*$H384))^($J$17-$J$18)</f>
        <v>3.74139590729495e+18</v>
      </c>
      <c r="K384" s="236">
        <f t="shared" si="125"/>
        <v>1</v>
      </c>
      <c r="L384" s="236">
        <f ca="1">INDEX(Photobiology!$21:$421,1+$H384-380,10)</f>
        <v>0.0001992884</v>
      </c>
      <c r="M384" s="236">
        <f ca="1" t="shared" si="126"/>
        <v>1.32209969508467</v>
      </c>
      <c r="N384" s="236">
        <f ca="1">INDEX(Photobiology!$21:$421,1+$H384-380,N$14)</f>
        <v>6.71314457039246e-10</v>
      </c>
      <c r="O384" s="236">
        <f ca="1">INDEX(Photobiology!$21:$421,1+$H384-380,O$14)</f>
        <v>2.53956890006117e-5</v>
      </c>
      <c r="P384" s="236">
        <f ca="1">INDEX(Photobiology!$21:$421,1+$H384-380,P$14)</f>
        <v>0.000300764794978367</v>
      </c>
      <c r="Q384" s="236">
        <f ca="1">INDEX(Photobiology!$21:$421,1+$H384-380,Q$14)</f>
        <v>1.1125614303744e-6</v>
      </c>
      <c r="R384" s="236">
        <f ca="1">INDEX(Photobiology!$21:$421,1+$H384-380,R$14)</f>
        <v>1.64671711756422e-7</v>
      </c>
      <c r="S384" s="236">
        <f ca="1" t="shared" si="127"/>
        <v>4.94649838822569e+18</v>
      </c>
      <c r="T384" s="236">
        <f ca="1">INDEX(Photobiology!$21:$421,1+$H384-380,T$14)</f>
        <v>3.97548265272232e-10</v>
      </c>
      <c r="U384" s="236">
        <f ca="1">INDEX(Photobiology!$21:$421,1+$H384-380,U$14)</f>
        <v>1.85607897547572e-5</v>
      </c>
      <c r="V384" s="236">
        <f ca="1">INDEX(Photobiology!$21:$421,1+$H384-380,V$14)</f>
        <v>0.000230441792706421</v>
      </c>
      <c r="W384" s="236">
        <f ca="1">INDEX(Photobiology!$21:$421,1+$H384-380,W$14)</f>
        <v>7.63271240026725e-7</v>
      </c>
      <c r="X384" s="236">
        <f ca="1">INDEX(Photobiology!$21:$421,1+$H384-380,X$14)</f>
        <v>1.08328105354317e-7</v>
      </c>
      <c r="Y384" s="236">
        <f ca="1" t="shared" si="114"/>
        <v>1.32209969508467</v>
      </c>
      <c r="Z384" s="236">
        <f ca="1" t="shared" si="128"/>
        <v>8.87544638957518e-10</v>
      </c>
      <c r="AA384" s="236">
        <f ca="1" t="shared" si="115"/>
        <v>3.35756326841738e-5</v>
      </c>
      <c r="AB384" s="236">
        <f ca="1" t="shared" si="116"/>
        <v>0.000397641043733102</v>
      </c>
      <c r="AC384" s="236">
        <f ca="1" t="shared" si="117"/>
        <v>1.47091712786096e-6</v>
      </c>
      <c r="AD384" s="236">
        <f ca="1" t="shared" si="118"/>
        <v>2.17712419902236e-7</v>
      </c>
      <c r="AE384" s="236"/>
      <c r="AF384" s="236"/>
      <c r="AG384" s="236"/>
      <c r="AH384" s="236">
        <f t="shared" si="129"/>
        <v>743</v>
      </c>
      <c r="AI384" s="236">
        <f>IF($AH384&gt;$AH383,INDEX(Spectra!384:384,1,MATCH($AI$20,Spectra!$20:$20,0)),AI383)</f>
        <v>1</v>
      </c>
      <c r="AJ384" s="236">
        <f>((Physics!$C$9*Physics!$C$10)/(Physics!$C$11*Physics!$C$12*$AH384))^($AJ$17-$AJ$18)</f>
        <v>3.74139590729495e+18</v>
      </c>
      <c r="AK384" s="236">
        <f t="shared" si="130"/>
        <v>1</v>
      </c>
      <c r="AL384" s="236">
        <f ca="1">INDEX(Photobiology!$21:$421,1+$AH384-380,10)</f>
        <v>0.0001992884</v>
      </c>
      <c r="AM384" s="236">
        <f ca="1" t="shared" si="131"/>
        <v>13.3319879209511</v>
      </c>
      <c r="AN384" s="236">
        <f ca="1">INDEX(Photobiology!$21:$421,1+$AH384-380,AN$14)</f>
        <v>6.71314457039246e-10</v>
      </c>
      <c r="AO384" s="236">
        <f ca="1">INDEX(Photobiology!$21:$421,1+$AH384-380,AO$14)</f>
        <v>2.53956890006117e-5</v>
      </c>
      <c r="AP384" s="236">
        <f ca="1">INDEX(Photobiology!$21:$421,1+$AH384-380,AP$14)</f>
        <v>0.000300764794978367</v>
      </c>
      <c r="AQ384" s="236">
        <f ca="1">INDEX(Photobiology!$21:$421,1+$AH384-380,AQ$14)</f>
        <v>1.1125614303744e-6</v>
      </c>
      <c r="AR384" s="236">
        <f ca="1">INDEX(Photobiology!$21:$421,1+$AH384-380,AR$14)</f>
        <v>1.64671711756422e-7</v>
      </c>
      <c r="AS384" s="236">
        <f ca="1" t="shared" si="132"/>
        <v>4.98802450435523e+19</v>
      </c>
      <c r="AT384" s="236">
        <f ca="1">INDEX(Photobiology!$21:$421,1+$AH384-380,AT$14)</f>
        <v>3.97548265272232e-10</v>
      </c>
      <c r="AU384" s="236">
        <f ca="1">INDEX(Photobiology!$21:$421,1+$AH384-380,AU$14)</f>
        <v>1.85607897547572e-5</v>
      </c>
      <c r="AV384" s="236">
        <f ca="1">INDEX(Photobiology!$21:$421,1+$AH384-380,AV$14)</f>
        <v>0.000230441792706421</v>
      </c>
      <c r="AW384" s="236">
        <f ca="1">INDEX(Photobiology!$21:$421,1+$AH384-380,AW$14)</f>
        <v>7.63271240026725e-7</v>
      </c>
      <c r="AX384" s="236">
        <f ca="1">INDEX(Photobiology!$21:$421,1+$AH384-380,AX$14)</f>
        <v>1.08328105354317e-7</v>
      </c>
      <c r="AY384" s="236">
        <f ca="1" t="shared" si="119"/>
        <v>13.3319879209511</v>
      </c>
      <c r="AZ384" s="236">
        <f ca="1" t="shared" si="133"/>
        <v>8.9499562324071e-9</v>
      </c>
      <c r="BA384" s="236">
        <f ca="1" t="shared" si="120"/>
        <v>0.000338575019000387</v>
      </c>
      <c r="BB384" s="236">
        <f ca="1" t="shared" si="121"/>
        <v>0.00400979261369894</v>
      </c>
      <c r="BC384" s="236">
        <f ca="1" t="shared" si="122"/>
        <v>1.48326555510676e-5</v>
      </c>
      <c r="BD384" s="236">
        <f ca="1" t="shared" si="123"/>
        <v>2.19540127205897e-6</v>
      </c>
    </row>
    <row r="385" s="234" customFormat="1" ht="0.2" customHeight="1" spans="7:56">
      <c r="G385" s="236"/>
      <c r="H385" s="236">
        <f t="shared" si="124"/>
        <v>744</v>
      </c>
      <c r="I385" s="236">
        <f>IF($H385&gt;$H384,INDEX(Spectra!385:385,1,MATCH($I$20,Spectra!$20:$20,0)),I384)</f>
        <v>1.28661579046176</v>
      </c>
      <c r="J385" s="236">
        <f>((Physics!$C$9*Physics!$C$10)/(Physics!$C$11*Physics!$C$12*$H385))^($J$17-$J$18)</f>
        <v>3.74643143341513e+18</v>
      </c>
      <c r="K385" s="236">
        <f t="shared" si="125"/>
        <v>1</v>
      </c>
      <c r="L385" s="236">
        <f ca="1">INDEX(Photobiology!$21:$421,1+$H385-380,10)</f>
        <v>0.0001850475</v>
      </c>
      <c r="M385" s="236">
        <f ca="1" t="shared" si="126"/>
        <v>1.28661579046176</v>
      </c>
      <c r="N385" s="236">
        <f ca="1">INDEX(Photobiology!$21:$421,1+$H385-380,N$14)</f>
        <v>6.37743439948117e-10</v>
      </c>
      <c r="O385" s="236">
        <f ca="1">INDEX(Photobiology!$21:$421,1+$H385-380,O$14)</f>
        <v>2.37910165990699e-5</v>
      </c>
      <c r="P385" s="236">
        <f ca="1">INDEX(Photobiology!$21:$421,1+$H385-380,P$14)</f>
        <v>0.000280927335451798</v>
      </c>
      <c r="Q385" s="236">
        <f ca="1">INDEX(Photobiology!$21:$421,1+$H385-380,Q$14)</f>
        <v>1.04668981931595e-6</v>
      </c>
      <c r="R385" s="236">
        <f ca="1">INDEX(Photobiology!$21:$421,1+$H385-380,R$14)</f>
        <v>1.55239415898092e-7</v>
      </c>
      <c r="S385" s="236">
        <f ca="1" t="shared" si="127"/>
        <v>4.82021784011419e+18</v>
      </c>
      <c r="T385" s="236">
        <f ca="1">INDEX(Photobiology!$21:$421,1+$H385-380,T$14)</f>
        <v>3.77160098894048e-10</v>
      </c>
      <c r="U385" s="236">
        <f ca="1">INDEX(Photobiology!$21:$421,1+$H385-380,U$14)</f>
        <v>1.73646218283137e-5</v>
      </c>
      <c r="V385" s="236">
        <f ca="1">INDEX(Photobiology!$21:$421,1+$H385-380,V$14)</f>
        <v>0.000214953303206921</v>
      </c>
      <c r="W385" s="236">
        <f ca="1">INDEX(Photobiology!$21:$421,1+$H385-380,W$14)</f>
        <v>7.17114950363912e-7</v>
      </c>
      <c r="X385" s="236">
        <f ca="1">INDEX(Photobiology!$21:$421,1+$H385-380,X$14)</f>
        <v>1.01985874845383e-7</v>
      </c>
      <c r="Y385" s="236">
        <f ca="1" t="shared" si="114"/>
        <v>1.28661579046176</v>
      </c>
      <c r="Z385" s="236">
        <f ca="1" t="shared" si="128"/>
        <v>8.20530780100648e-10</v>
      </c>
      <c r="AA385" s="236">
        <f ca="1" t="shared" si="115"/>
        <v>3.06098976275012e-5</v>
      </c>
      <c r="AB385" s="236">
        <f ca="1" t="shared" si="116"/>
        <v>0.000361445545764631</v>
      </c>
      <c r="AC385" s="236">
        <f ca="1" t="shared" si="117"/>
        <v>1.34668764924747e-6</v>
      </c>
      <c r="AD385" s="236">
        <f ca="1" t="shared" si="118"/>
        <v>1.99733483796546e-7</v>
      </c>
      <c r="AE385" s="236"/>
      <c r="AF385" s="236"/>
      <c r="AG385" s="236"/>
      <c r="AH385" s="236">
        <f t="shared" si="129"/>
        <v>744</v>
      </c>
      <c r="AI385" s="236">
        <f>IF($AH385&gt;$AH384,INDEX(Spectra!385:385,1,MATCH($AI$20,Spectra!$20:$20,0)),AI384)</f>
        <v>1</v>
      </c>
      <c r="AJ385" s="236">
        <f>((Physics!$C$9*Physics!$C$10)/(Physics!$C$11*Physics!$C$12*$AH385))^($AJ$17-$AJ$18)</f>
        <v>3.74643143341513e+18</v>
      </c>
      <c r="AK385" s="236">
        <f t="shared" si="130"/>
        <v>1</v>
      </c>
      <c r="AL385" s="236">
        <f ca="1">INDEX(Photobiology!$21:$421,1+$AH385-380,10)</f>
        <v>0.0001850475</v>
      </c>
      <c r="AM385" s="236">
        <f ca="1" t="shared" si="131"/>
        <v>13.3319879209511</v>
      </c>
      <c r="AN385" s="236">
        <f ca="1">INDEX(Photobiology!$21:$421,1+$AH385-380,AN$14)</f>
        <v>6.37743439948117e-10</v>
      </c>
      <c r="AO385" s="236">
        <f ca="1">INDEX(Photobiology!$21:$421,1+$AH385-380,AO$14)</f>
        <v>2.37910165990699e-5</v>
      </c>
      <c r="AP385" s="236">
        <f ca="1">INDEX(Photobiology!$21:$421,1+$AH385-380,AP$14)</f>
        <v>0.000280927335451798</v>
      </c>
      <c r="AQ385" s="236">
        <f ca="1">INDEX(Photobiology!$21:$421,1+$AH385-380,AQ$14)</f>
        <v>1.04668981931595e-6</v>
      </c>
      <c r="AR385" s="236">
        <f ca="1">INDEX(Photobiology!$21:$421,1+$AH385-380,AR$14)</f>
        <v>1.55239415898092e-7</v>
      </c>
      <c r="AS385" s="236">
        <f ca="1" t="shared" si="132"/>
        <v>4.99473786169621e+19</v>
      </c>
      <c r="AT385" s="236">
        <f ca="1">INDEX(Photobiology!$21:$421,1+$AH385-380,AT$14)</f>
        <v>3.77160098894048e-10</v>
      </c>
      <c r="AU385" s="236">
        <f ca="1">INDEX(Photobiology!$21:$421,1+$AH385-380,AU$14)</f>
        <v>1.73646218283137e-5</v>
      </c>
      <c r="AV385" s="236">
        <f ca="1">INDEX(Photobiology!$21:$421,1+$AH385-380,AV$14)</f>
        <v>0.000214953303206921</v>
      </c>
      <c r="AW385" s="236">
        <f ca="1">INDEX(Photobiology!$21:$421,1+$AH385-380,AW$14)</f>
        <v>7.17114950363912e-7</v>
      </c>
      <c r="AX385" s="236">
        <f ca="1">INDEX(Photobiology!$21:$421,1+$AH385-380,AX$14)</f>
        <v>1.01985874845383e-7</v>
      </c>
      <c r="AY385" s="236">
        <f ca="1" t="shared" si="119"/>
        <v>13.3319879209511</v>
      </c>
      <c r="AZ385" s="236">
        <f ca="1" t="shared" si="133"/>
        <v>8.50238783805412e-9</v>
      </c>
      <c r="BA385" s="236">
        <f ca="1" t="shared" si="120"/>
        <v>0.000317181545925948</v>
      </c>
      <c r="BB385" s="236">
        <f ca="1" t="shared" si="121"/>
        <v>0.00374531984290836</v>
      </c>
      <c r="BC385" s="236">
        <f ca="1" t="shared" si="122"/>
        <v>1.39544560281028e-5</v>
      </c>
      <c r="BD385" s="236">
        <f ca="1" t="shared" si="123"/>
        <v>2.06965001760887e-6</v>
      </c>
    </row>
    <row r="386" s="234" customFormat="1" ht="0.2" customHeight="1" spans="7:56">
      <c r="G386" s="236"/>
      <c r="H386" s="236">
        <f t="shared" si="124"/>
        <v>745</v>
      </c>
      <c r="I386" s="236">
        <f>IF($H386&gt;$H385,INDEX(Spectra!386:386,1,MATCH($I$20,Spectra!$20:$20,0)),I385)</f>
        <v>1.25104717276379</v>
      </c>
      <c r="J386" s="236">
        <f>((Physics!$C$9*Physics!$C$10)/(Physics!$C$11*Physics!$C$12*$H386))^($J$17-$J$18)</f>
        <v>3.75146695953531e+18</v>
      </c>
      <c r="K386" s="236">
        <f t="shared" si="125"/>
        <v>1</v>
      </c>
      <c r="L386" s="236">
        <f ca="1">INDEX(Photobiology!$21:$421,1+$H386-380,10)</f>
        <v>0.0001719</v>
      </c>
      <c r="M386" s="236">
        <f ca="1" t="shared" si="126"/>
        <v>1.25104717276379</v>
      </c>
      <c r="N386" s="236">
        <f ca="1">INDEX(Photobiology!$21:$421,1+$H386-380,N$14)</f>
        <v>6.05936340907611e-10</v>
      </c>
      <c r="O386" s="236">
        <f ca="1">INDEX(Photobiology!$21:$421,1+$H386-380,O$14)</f>
        <v>2.22916389334234e-5</v>
      </c>
      <c r="P386" s="236">
        <f ca="1">INDEX(Photobiology!$21:$421,1+$H386-380,P$14)</f>
        <v>0.000262439982424055</v>
      </c>
      <c r="Q386" s="236">
        <f ca="1">INDEX(Photobiology!$21:$421,1+$H386-380,Q$14)</f>
        <v>9.84881545935368e-7</v>
      </c>
      <c r="R386" s="236">
        <f ca="1">INDEX(Photobiology!$21:$421,1+$H386-380,R$14)</f>
        <v>1.46370312483214e-7</v>
      </c>
      <c r="S386" s="236">
        <f ca="1" t="shared" si="127"/>
        <v>4.69326213344342e+18</v>
      </c>
      <c r="T386" s="236">
        <f ca="1">INDEX(Photobiology!$21:$421,1+$H386-380,T$14)</f>
        <v>3.57868442952146e-10</v>
      </c>
      <c r="U386" s="236">
        <f ca="1">INDEX(Photobiology!$21:$421,1+$H386-380,U$14)</f>
        <v>1.62484146080959e-5</v>
      </c>
      <c r="V386" s="236">
        <f ca="1">INDEX(Photobiology!$21:$421,1+$H386-380,V$14)</f>
        <v>0.000200538049320732</v>
      </c>
      <c r="W386" s="236">
        <f ca="1">INDEX(Photobiology!$21:$421,1+$H386-380,W$14)</f>
        <v>6.73862733815431e-7</v>
      </c>
      <c r="X386" s="236">
        <f ca="1">INDEX(Photobiology!$21:$421,1+$H386-380,X$14)</f>
        <v>9.60301679613705e-8</v>
      </c>
      <c r="Y386" s="236">
        <f ca="1" t="shared" si="114"/>
        <v>1.25104717276379</v>
      </c>
      <c r="Z386" s="236">
        <f ca="1" t="shared" si="128"/>
        <v>7.58054946167303e-10</v>
      </c>
      <c r="AA386" s="236">
        <f ca="1" t="shared" si="115"/>
        <v>2.78878918639306e-5</v>
      </c>
      <c r="AB386" s="236">
        <f ca="1" t="shared" si="116"/>
        <v>0.000328324798031793</v>
      </c>
      <c r="AC386" s="236">
        <f ca="1" t="shared" si="117"/>
        <v>1.23213327354967e-6</v>
      </c>
      <c r="AD386" s="236">
        <f ca="1" t="shared" si="118"/>
        <v>1.83116165608677e-7</v>
      </c>
      <c r="AE386" s="236"/>
      <c r="AF386" s="236"/>
      <c r="AG386" s="236"/>
      <c r="AH386" s="236">
        <f t="shared" si="129"/>
        <v>745</v>
      </c>
      <c r="AI386" s="236">
        <f>IF($AH386&gt;$AH385,INDEX(Spectra!386:386,1,MATCH($AI$20,Spectra!$20:$20,0)),AI385)</f>
        <v>1</v>
      </c>
      <c r="AJ386" s="236">
        <f>((Physics!$C$9*Physics!$C$10)/(Physics!$C$11*Physics!$C$12*$AH386))^($AJ$17-$AJ$18)</f>
        <v>3.75146695953531e+18</v>
      </c>
      <c r="AK386" s="236">
        <f t="shared" si="130"/>
        <v>1</v>
      </c>
      <c r="AL386" s="236">
        <f ca="1">INDEX(Photobiology!$21:$421,1+$AH386-380,10)</f>
        <v>0.0001719</v>
      </c>
      <c r="AM386" s="236">
        <f ca="1" t="shared" si="131"/>
        <v>13.3319879209511</v>
      </c>
      <c r="AN386" s="236">
        <f ca="1">INDEX(Photobiology!$21:$421,1+$AH386-380,AN$14)</f>
        <v>6.05936340907611e-10</v>
      </c>
      <c r="AO386" s="236">
        <f ca="1">INDEX(Photobiology!$21:$421,1+$AH386-380,AO$14)</f>
        <v>2.22916389334234e-5</v>
      </c>
      <c r="AP386" s="236">
        <f ca="1">INDEX(Photobiology!$21:$421,1+$AH386-380,AP$14)</f>
        <v>0.000262439982424055</v>
      </c>
      <c r="AQ386" s="236">
        <f ca="1">INDEX(Photobiology!$21:$421,1+$AH386-380,AQ$14)</f>
        <v>9.84881545935368e-7</v>
      </c>
      <c r="AR386" s="236">
        <f ca="1">INDEX(Photobiology!$21:$421,1+$AH386-380,AR$14)</f>
        <v>1.46370312483214e-7</v>
      </c>
      <c r="AS386" s="236">
        <f ca="1" t="shared" si="132"/>
        <v>5.0014512190372e+19</v>
      </c>
      <c r="AT386" s="236">
        <f ca="1">INDEX(Photobiology!$21:$421,1+$AH386-380,AT$14)</f>
        <v>3.57868442952146e-10</v>
      </c>
      <c r="AU386" s="236">
        <f ca="1">INDEX(Photobiology!$21:$421,1+$AH386-380,AU$14)</f>
        <v>1.62484146080959e-5</v>
      </c>
      <c r="AV386" s="236">
        <f ca="1">INDEX(Photobiology!$21:$421,1+$AH386-380,AV$14)</f>
        <v>0.000200538049320732</v>
      </c>
      <c r="AW386" s="236">
        <f ca="1">INDEX(Photobiology!$21:$421,1+$AH386-380,AW$14)</f>
        <v>6.73862733815431e-7</v>
      </c>
      <c r="AX386" s="236">
        <f ca="1">INDEX(Photobiology!$21:$421,1+$AH386-380,AX$14)</f>
        <v>9.60301679613705e-8</v>
      </c>
      <c r="AY386" s="236">
        <f ca="1" t="shared" si="119"/>
        <v>13.3319879209511</v>
      </c>
      <c r="AZ386" s="236">
        <f ca="1" t="shared" si="133"/>
        <v>8.0783359778456e-9</v>
      </c>
      <c r="BA386" s="236">
        <f ca="1" t="shared" si="120"/>
        <v>0.000297191860998605</v>
      </c>
      <c r="BB386" s="236">
        <f ca="1" t="shared" si="121"/>
        <v>0.00349884667565213</v>
      </c>
      <c r="BC386" s="236">
        <f ca="1" t="shared" si="122"/>
        <v>1.3130428873978e-5</v>
      </c>
      <c r="BD386" s="236">
        <f ca="1" t="shared" si="123"/>
        <v>1.95140723801205e-6</v>
      </c>
    </row>
    <row r="387" s="234" customFormat="1" ht="0.2" customHeight="1" spans="7:56">
      <c r="G387" s="236"/>
      <c r="H387" s="236">
        <f t="shared" si="124"/>
        <v>746</v>
      </c>
      <c r="I387" s="236">
        <f>IF($H387&gt;$H386,INDEX(Spectra!387:387,1,MATCH($I$20,Spectra!$20:$20,0)),I386)</f>
        <v>1.21336180520925</v>
      </c>
      <c r="J387" s="236">
        <f>((Physics!$C$9*Physics!$C$10)/(Physics!$C$11*Physics!$C$12*$H387))^($J$17-$J$18)</f>
        <v>3.75650248565549e+18</v>
      </c>
      <c r="K387" s="236">
        <f t="shared" si="125"/>
        <v>1</v>
      </c>
      <c r="L387" s="236">
        <f ca="1">INDEX(Photobiology!$21:$421,1+$H387-380,10)</f>
        <v>0.0001597781</v>
      </c>
      <c r="M387" s="236">
        <f ca="1" t="shared" si="126"/>
        <v>1.21336180520925</v>
      </c>
      <c r="N387" s="236">
        <f ca="1">INDEX(Photobiology!$21:$421,1+$H387-380,N$14)</f>
        <v>5.75796472588318e-10</v>
      </c>
      <c r="O387" s="236">
        <f ca="1">INDEX(Photobiology!$21:$421,1+$H387-380,O$14)</f>
        <v>2.08903155459073e-5</v>
      </c>
      <c r="P387" s="236">
        <f ca="1">INDEX(Photobiology!$21:$421,1+$H387-380,P$14)</f>
        <v>0.000245208206031276</v>
      </c>
      <c r="Q387" s="236">
        <f ca="1">INDEX(Photobiology!$21:$421,1+$H387-380,Q$14)</f>
        <v>9.26876774868318e-7</v>
      </c>
      <c r="R387" s="236">
        <f ca="1">INDEX(Photobiology!$21:$421,1+$H387-380,R$14)</f>
        <v>1.38030480558416e-7</v>
      </c>
      <c r="S387" s="236">
        <f ca="1" t="shared" si="127"/>
        <v>4.55799663726798e+18</v>
      </c>
      <c r="T387" s="236">
        <f ca="1">INDEX(Photobiology!$21:$421,1+$H387-380,T$14)</f>
        <v>3.39611860507855e-10</v>
      </c>
      <c r="U387" s="236">
        <f ca="1">INDEX(Photobiology!$21:$421,1+$H387-380,U$14)</f>
        <v>1.52065760284822e-5</v>
      </c>
      <c r="V387" s="236">
        <f ca="1">INDEX(Photobiology!$21:$421,1+$H387-380,V$14)</f>
        <v>0.000187119578886428</v>
      </c>
      <c r="W387" s="236">
        <f ca="1">INDEX(Photobiology!$21:$421,1+$H387-380,W$14)</f>
        <v>6.33325368970574e-7</v>
      </c>
      <c r="X387" s="236">
        <f ca="1">INDEX(Photobiology!$21:$421,1+$H387-380,X$14)</f>
        <v>9.04372053988922e-8</v>
      </c>
      <c r="Y387" s="236">
        <f ca="1" t="shared" si="114"/>
        <v>1.21336180520925</v>
      </c>
      <c r="Z387" s="236">
        <f ca="1" t="shared" si="128"/>
        <v>6.9864944741288e-10</v>
      </c>
      <c r="AA387" s="236">
        <f ca="1" t="shared" si="115"/>
        <v>2.53475109821729e-5</v>
      </c>
      <c r="AB387" s="236">
        <f ca="1" t="shared" si="116"/>
        <v>0.000297526271522231</v>
      </c>
      <c r="AC387" s="236">
        <f ca="1" t="shared" si="117"/>
        <v>1.12463687676075e-6</v>
      </c>
      <c r="AD387" s="236">
        <f ca="1" t="shared" si="118"/>
        <v>1.6748091306426e-7</v>
      </c>
      <c r="AE387" s="236"/>
      <c r="AF387" s="236"/>
      <c r="AG387" s="236"/>
      <c r="AH387" s="236">
        <f t="shared" si="129"/>
        <v>746</v>
      </c>
      <c r="AI387" s="236">
        <f>IF($AH387&gt;$AH386,INDEX(Spectra!387:387,1,MATCH($AI$20,Spectra!$20:$20,0)),AI386)</f>
        <v>1</v>
      </c>
      <c r="AJ387" s="236">
        <f>((Physics!$C$9*Physics!$C$10)/(Physics!$C$11*Physics!$C$12*$AH387))^($AJ$17-$AJ$18)</f>
        <v>3.75650248565549e+18</v>
      </c>
      <c r="AK387" s="236">
        <f t="shared" si="130"/>
        <v>1</v>
      </c>
      <c r="AL387" s="236">
        <f ca="1">INDEX(Photobiology!$21:$421,1+$AH387-380,10)</f>
        <v>0.0001597781</v>
      </c>
      <c r="AM387" s="236">
        <f ca="1" t="shared" si="131"/>
        <v>13.3319879209511</v>
      </c>
      <c r="AN387" s="236">
        <f ca="1">INDEX(Photobiology!$21:$421,1+$AH387-380,AN$14)</f>
        <v>5.75796472588318e-10</v>
      </c>
      <c r="AO387" s="236">
        <f ca="1">INDEX(Photobiology!$21:$421,1+$AH387-380,AO$14)</f>
        <v>2.08903155459073e-5</v>
      </c>
      <c r="AP387" s="236">
        <f ca="1">INDEX(Photobiology!$21:$421,1+$AH387-380,AP$14)</f>
        <v>0.000245208206031276</v>
      </c>
      <c r="AQ387" s="236">
        <f ca="1">INDEX(Photobiology!$21:$421,1+$AH387-380,AQ$14)</f>
        <v>9.26876774868318e-7</v>
      </c>
      <c r="AR387" s="236">
        <f ca="1">INDEX(Photobiology!$21:$421,1+$AH387-380,AR$14)</f>
        <v>1.38030480558416e-7</v>
      </c>
      <c r="AS387" s="236">
        <f ca="1" t="shared" si="132"/>
        <v>5.00816457637819e+19</v>
      </c>
      <c r="AT387" s="236">
        <f ca="1">INDEX(Photobiology!$21:$421,1+$AH387-380,AT$14)</f>
        <v>3.39611860507855e-10</v>
      </c>
      <c r="AU387" s="236">
        <f ca="1">INDEX(Photobiology!$21:$421,1+$AH387-380,AU$14)</f>
        <v>1.52065760284822e-5</v>
      </c>
      <c r="AV387" s="236">
        <f ca="1">INDEX(Photobiology!$21:$421,1+$AH387-380,AV$14)</f>
        <v>0.000187119578886428</v>
      </c>
      <c r="AW387" s="236">
        <f ca="1">INDEX(Photobiology!$21:$421,1+$AH387-380,AW$14)</f>
        <v>6.33325368970574e-7</v>
      </c>
      <c r="AX387" s="236">
        <f ca="1">INDEX(Photobiology!$21:$421,1+$AH387-380,AX$14)</f>
        <v>9.04372053988922e-8</v>
      </c>
      <c r="AY387" s="236">
        <f ca="1" t="shared" si="119"/>
        <v>13.3319879209511</v>
      </c>
      <c r="AZ387" s="236">
        <f ca="1" t="shared" si="133"/>
        <v>7.67651161747373e-9</v>
      </c>
      <c r="BA387" s="236">
        <f ca="1" t="shared" si="120"/>
        <v>0.000278509434522894</v>
      </c>
      <c r="BB387" s="236">
        <f ca="1" t="shared" si="121"/>
        <v>0.00326911284092707</v>
      </c>
      <c r="BC387" s="236">
        <f ca="1" t="shared" si="122"/>
        <v>1.23571099667546e-5</v>
      </c>
      <c r="BD387" s="236">
        <f ca="1" t="shared" si="123"/>
        <v>1.84022069952788e-6</v>
      </c>
    </row>
    <row r="388" s="234" customFormat="1" ht="0.2" customHeight="1" spans="7:56">
      <c r="G388" s="236"/>
      <c r="H388" s="236">
        <f t="shared" si="124"/>
        <v>747</v>
      </c>
      <c r="I388" s="236">
        <f>IF($H388&gt;$H387,INDEX(Spectra!388:388,1,MATCH($I$20,Spectra!$20:$20,0)),I387)</f>
        <v>1.16894337922138</v>
      </c>
      <c r="J388" s="236">
        <f>((Physics!$C$9*Physics!$C$10)/(Physics!$C$11*Physics!$C$12*$H388))^($J$17-$J$18)</f>
        <v>3.76153801177567e+18</v>
      </c>
      <c r="K388" s="236">
        <f t="shared" si="125"/>
        <v>1</v>
      </c>
      <c r="L388" s="236">
        <f ca="1">INDEX(Photobiology!$21:$421,1+$H388-380,10)</f>
        <v>0.0001486044</v>
      </c>
      <c r="M388" s="236">
        <f ca="1" t="shared" si="126"/>
        <v>1.16894337922138</v>
      </c>
      <c r="N388" s="236">
        <f ca="1">INDEX(Photobiology!$21:$421,1+$H388-380,N$14)</f>
        <v>5.4723138848935e-10</v>
      </c>
      <c r="O388" s="236">
        <f ca="1">INDEX(Photobiology!$21:$421,1+$H388-380,O$14)</f>
        <v>1.95804649421063e-5</v>
      </c>
      <c r="P388" s="236">
        <f ca="1">INDEX(Photobiology!$21:$421,1+$H388-380,P$14)</f>
        <v>0.000229144796720476</v>
      </c>
      <c r="Q388" s="236">
        <f ca="1">INDEX(Photobiology!$21:$421,1+$H388-380,Q$14)</f>
        <v>8.72430821370363e-7</v>
      </c>
      <c r="R388" s="236">
        <f ca="1">INDEX(Photobiology!$21:$421,1+$H388-380,R$14)</f>
        <v>1.3018621481432e-7</v>
      </c>
      <c r="S388" s="236">
        <f ca="1" t="shared" si="127"/>
        <v>4.39702495455472e+18</v>
      </c>
      <c r="T388" s="236">
        <f ca="1">INDEX(Photobiology!$21:$421,1+$H388-380,T$14)</f>
        <v>3.22331741546605e-10</v>
      </c>
      <c r="U388" s="236">
        <f ca="1">INDEX(Photobiology!$21:$421,1+$H388-380,U$14)</f>
        <v>1.42340230015196e-5</v>
      </c>
      <c r="V388" s="236">
        <f ca="1">INDEX(Photobiology!$21:$421,1+$H388-380,V$14)</f>
        <v>0.000174627427811802</v>
      </c>
      <c r="W388" s="236">
        <f ca="1">INDEX(Photobiology!$21:$421,1+$H388-380,W$14)</f>
        <v>5.95324986056751e-7</v>
      </c>
      <c r="X388" s="236">
        <f ca="1">INDEX(Photobiology!$21:$421,1+$H388-380,X$14)</f>
        <v>8.51834762870724e-8</v>
      </c>
      <c r="Y388" s="236">
        <f ca="1" t="shared" si="114"/>
        <v>1.16894337922138</v>
      </c>
      <c r="Z388" s="236">
        <f ca="1" t="shared" si="128"/>
        <v>6.39682508476749e-10</v>
      </c>
      <c r="AA388" s="236">
        <f ca="1" t="shared" si="115"/>
        <v>2.28884548561515e-5</v>
      </c>
      <c r="AB388" s="236">
        <f ca="1" t="shared" si="116"/>
        <v>0.000267857293009429</v>
      </c>
      <c r="AC388" s="236">
        <f ca="1" t="shared" si="117"/>
        <v>1.01982223246956e-6</v>
      </c>
      <c r="AD388" s="236">
        <f ca="1" t="shared" si="118"/>
        <v>1.52180313873092e-7</v>
      </c>
      <c r="AE388" s="236"/>
      <c r="AF388" s="236"/>
      <c r="AG388" s="236"/>
      <c r="AH388" s="236">
        <f t="shared" si="129"/>
        <v>747</v>
      </c>
      <c r="AI388" s="236">
        <f>IF($AH388&gt;$AH387,INDEX(Spectra!388:388,1,MATCH($AI$20,Spectra!$20:$20,0)),AI387)</f>
        <v>1</v>
      </c>
      <c r="AJ388" s="236">
        <f>((Physics!$C$9*Physics!$C$10)/(Physics!$C$11*Physics!$C$12*$AH388))^($AJ$17-$AJ$18)</f>
        <v>3.76153801177567e+18</v>
      </c>
      <c r="AK388" s="236">
        <f t="shared" si="130"/>
        <v>1</v>
      </c>
      <c r="AL388" s="236">
        <f ca="1">INDEX(Photobiology!$21:$421,1+$AH388-380,10)</f>
        <v>0.0001486044</v>
      </c>
      <c r="AM388" s="236">
        <f ca="1" t="shared" si="131"/>
        <v>13.3319879209511</v>
      </c>
      <c r="AN388" s="236">
        <f ca="1">INDEX(Photobiology!$21:$421,1+$AH388-380,AN$14)</f>
        <v>5.4723138848935e-10</v>
      </c>
      <c r="AO388" s="236">
        <f ca="1">INDEX(Photobiology!$21:$421,1+$AH388-380,AO$14)</f>
        <v>1.95804649421063e-5</v>
      </c>
      <c r="AP388" s="236">
        <f ca="1">INDEX(Photobiology!$21:$421,1+$AH388-380,AP$14)</f>
        <v>0.000229144796720476</v>
      </c>
      <c r="AQ388" s="236">
        <f ca="1">INDEX(Photobiology!$21:$421,1+$AH388-380,AQ$14)</f>
        <v>8.72430821370363e-7</v>
      </c>
      <c r="AR388" s="236">
        <f ca="1">INDEX(Photobiology!$21:$421,1+$AH388-380,AR$14)</f>
        <v>1.3018621481432e-7</v>
      </c>
      <c r="AS388" s="236">
        <f ca="1" t="shared" si="132"/>
        <v>5.01487793371918e+19</v>
      </c>
      <c r="AT388" s="236">
        <f ca="1">INDEX(Photobiology!$21:$421,1+$AH388-380,AT$14)</f>
        <v>3.22331741546605e-10</v>
      </c>
      <c r="AU388" s="236">
        <f ca="1">INDEX(Photobiology!$21:$421,1+$AH388-380,AU$14)</f>
        <v>1.42340230015196e-5</v>
      </c>
      <c r="AV388" s="236">
        <f ca="1">INDEX(Photobiology!$21:$421,1+$AH388-380,AV$14)</f>
        <v>0.000174627427811802</v>
      </c>
      <c r="AW388" s="236">
        <f ca="1">INDEX(Photobiology!$21:$421,1+$AH388-380,AW$14)</f>
        <v>5.95324986056751e-7</v>
      </c>
      <c r="AX388" s="236">
        <f ca="1">INDEX(Photobiology!$21:$421,1+$AH388-380,AX$14)</f>
        <v>8.51834762870724e-8</v>
      </c>
      <c r="AY388" s="236">
        <f ca="1" t="shared" si="119"/>
        <v>13.3319879209511</v>
      </c>
      <c r="AZ388" s="236">
        <f ca="1" t="shared" si="133"/>
        <v>7.29568226130534e-9</v>
      </c>
      <c r="BA388" s="236">
        <f ca="1" t="shared" si="120"/>
        <v>0.000261046522094768</v>
      </c>
      <c r="BB388" s="236">
        <f ca="1" t="shared" si="121"/>
        <v>0.00305495566202619</v>
      </c>
      <c r="BC388" s="236">
        <f ca="1" t="shared" si="122"/>
        <v>1.16312371723752e-5</v>
      </c>
      <c r="BD388" s="236">
        <f ca="1" t="shared" si="123"/>
        <v>1.73564104337886e-6</v>
      </c>
    </row>
    <row r="389" s="234" customFormat="1" ht="0.2" customHeight="1" spans="7:56">
      <c r="G389" s="236"/>
      <c r="H389" s="236">
        <f t="shared" si="124"/>
        <v>748</v>
      </c>
      <c r="I389" s="236">
        <f>IF($H389&gt;$H388,INDEX(Spectra!389:389,1,MATCH($I$20,Spectra!$20:$20,0)),I388)</f>
        <v>1.14258745415568</v>
      </c>
      <c r="J389" s="236">
        <f>((Physics!$C$9*Physics!$C$10)/(Physics!$C$11*Physics!$C$12*$H389))^($J$17-$J$18)</f>
        <v>3.76657353789585e+18</v>
      </c>
      <c r="K389" s="236">
        <f t="shared" si="125"/>
        <v>1</v>
      </c>
      <c r="L389" s="236">
        <f ca="1">INDEX(Photobiology!$21:$421,1+$H389-380,10)</f>
        <v>0.0001383016</v>
      </c>
      <c r="M389" s="236">
        <f ca="1" t="shared" si="126"/>
        <v>1.14258745415568</v>
      </c>
      <c r="N389" s="236">
        <f ca="1">INDEX(Photobiology!$21:$421,1+$H389-380,N$14)</f>
        <v>5.20155266478981e-10</v>
      </c>
      <c r="O389" s="236">
        <f ca="1">INDEX(Photobiology!$21:$421,1+$H389-380,O$14)</f>
        <v>1.83558288637874e-5</v>
      </c>
      <c r="P389" s="236">
        <f ca="1">INDEX(Photobiology!$21:$421,1+$H389-380,P$14)</f>
        <v>0.000214168206599085</v>
      </c>
      <c r="Q389" s="236">
        <f ca="1">INDEX(Photobiology!$21:$421,1+$H389-380,Q$14)</f>
        <v>8.21317355255193e-7</v>
      </c>
      <c r="R389" s="236">
        <f ca="1">INDEX(Photobiology!$21:$421,1+$H389-380,R$14)</f>
        <v>1.22807530965162e-7</v>
      </c>
      <c r="S389" s="236">
        <f ca="1" t="shared" si="127"/>
        <v>4.30363966955457e+18</v>
      </c>
      <c r="T389" s="236">
        <f ca="1">INDEX(Photobiology!$21:$421,1+$H389-380,T$14)</f>
        <v>3.05973686164107e-10</v>
      </c>
      <c r="U389" s="236">
        <f ca="1">INDEX(Photobiology!$21:$421,1+$H389-380,U$14)</f>
        <v>1.33259342840126e-5</v>
      </c>
      <c r="V389" s="236">
        <f ca="1">INDEX(Photobiology!$21:$421,1+$H389-380,V$14)</f>
        <v>0.00016299581770669</v>
      </c>
      <c r="W389" s="236">
        <f ca="1">INDEX(Photobiology!$21:$421,1+$H389-380,W$14)</f>
        <v>5.59697174424083e-7</v>
      </c>
      <c r="X389" s="236">
        <f ca="1">INDEX(Photobiology!$21:$421,1+$H389-380,X$14)</f>
        <v>8.02480269677081e-8</v>
      </c>
      <c r="Y389" s="236">
        <f ca="1" t="shared" si="114"/>
        <v>1.14258745415568</v>
      </c>
      <c r="Z389" s="236">
        <f ca="1" t="shared" si="128"/>
        <v>5.94322881691888e-10</v>
      </c>
      <c r="AA389" s="236">
        <f ca="1" t="shared" si="115"/>
        <v>2.09731397703922e-5</v>
      </c>
      <c r="AB389" s="236">
        <f ca="1" t="shared" si="116"/>
        <v>0.000244705905939136</v>
      </c>
      <c r="AC389" s="236">
        <f ca="1" t="shared" si="117"/>
        <v>9.38426905994907e-7</v>
      </c>
      <c r="AD389" s="236">
        <f ca="1" t="shared" si="118"/>
        <v>1.40318344156629e-7</v>
      </c>
      <c r="AE389" s="236"/>
      <c r="AF389" s="236"/>
      <c r="AG389" s="236"/>
      <c r="AH389" s="236">
        <f t="shared" si="129"/>
        <v>748</v>
      </c>
      <c r="AI389" s="236">
        <f>IF($AH389&gt;$AH388,INDEX(Spectra!389:389,1,MATCH($AI$20,Spectra!$20:$20,0)),AI388)</f>
        <v>1</v>
      </c>
      <c r="AJ389" s="236">
        <f>((Physics!$C$9*Physics!$C$10)/(Physics!$C$11*Physics!$C$12*$AH389))^($AJ$17-$AJ$18)</f>
        <v>3.76657353789585e+18</v>
      </c>
      <c r="AK389" s="236">
        <f t="shared" si="130"/>
        <v>1</v>
      </c>
      <c r="AL389" s="236">
        <f ca="1">INDEX(Photobiology!$21:$421,1+$AH389-380,10)</f>
        <v>0.0001383016</v>
      </c>
      <c r="AM389" s="236">
        <f ca="1" t="shared" si="131"/>
        <v>13.3319879209511</v>
      </c>
      <c r="AN389" s="236">
        <f ca="1">INDEX(Photobiology!$21:$421,1+$AH389-380,AN$14)</f>
        <v>5.20155266478981e-10</v>
      </c>
      <c r="AO389" s="236">
        <f ca="1">INDEX(Photobiology!$21:$421,1+$AH389-380,AO$14)</f>
        <v>1.83558288637874e-5</v>
      </c>
      <c r="AP389" s="236">
        <f ca="1">INDEX(Photobiology!$21:$421,1+$AH389-380,AP$14)</f>
        <v>0.000214168206599085</v>
      </c>
      <c r="AQ389" s="236">
        <f ca="1">INDEX(Photobiology!$21:$421,1+$AH389-380,AQ$14)</f>
        <v>8.21317355255193e-7</v>
      </c>
      <c r="AR389" s="236">
        <f ca="1">INDEX(Photobiology!$21:$421,1+$AH389-380,AR$14)</f>
        <v>1.22807530965162e-7</v>
      </c>
      <c r="AS389" s="236">
        <f ca="1" t="shared" si="132"/>
        <v>5.02159129106017e+19</v>
      </c>
      <c r="AT389" s="236">
        <f ca="1">INDEX(Photobiology!$21:$421,1+$AH389-380,AT$14)</f>
        <v>3.05973686164107e-10</v>
      </c>
      <c r="AU389" s="236">
        <f ca="1">INDEX(Photobiology!$21:$421,1+$AH389-380,AU$14)</f>
        <v>1.33259342840126e-5</v>
      </c>
      <c r="AV389" s="236">
        <f ca="1">INDEX(Photobiology!$21:$421,1+$AH389-380,AV$14)</f>
        <v>0.00016299581770669</v>
      </c>
      <c r="AW389" s="236">
        <f ca="1">INDEX(Photobiology!$21:$421,1+$AH389-380,AW$14)</f>
        <v>5.59697174424083e-7</v>
      </c>
      <c r="AX389" s="236">
        <f ca="1">INDEX(Photobiology!$21:$421,1+$AH389-380,AX$14)</f>
        <v>8.02480269677081e-8</v>
      </c>
      <c r="AY389" s="236">
        <f ca="1" t="shared" si="119"/>
        <v>13.3319879209511</v>
      </c>
      <c r="AZ389" s="236">
        <f ca="1" t="shared" si="133"/>
        <v>6.9347037297169e-9</v>
      </c>
      <c r="BA389" s="236">
        <f ca="1" t="shared" si="120"/>
        <v>0.00024471968869106</v>
      </c>
      <c r="BB389" s="236">
        <f ca="1" t="shared" si="121"/>
        <v>0.00285528794343077</v>
      </c>
      <c r="BC389" s="236">
        <f ca="1" t="shared" si="122"/>
        <v>1.09497930595298e-5</v>
      </c>
      <c r="BD389" s="236">
        <f ca="1" t="shared" si="123"/>
        <v>1.63726851942937e-6</v>
      </c>
    </row>
    <row r="390" s="234" customFormat="1" ht="0.2" customHeight="1" spans="7:56">
      <c r="G390" s="236"/>
      <c r="H390" s="236">
        <f t="shared" si="124"/>
        <v>749</v>
      </c>
      <c r="I390" s="236">
        <f>IF($H390&gt;$H389,INDEX(Spectra!390:390,1,MATCH($I$20,Spectra!$20:$20,0)),I389)</f>
        <v>1.11621441330348</v>
      </c>
      <c r="J390" s="236">
        <f>((Physics!$C$9*Physics!$C$10)/(Physics!$C$11*Physics!$C$12*$H390))^($J$17-$J$18)</f>
        <v>3.77160906401604e+18</v>
      </c>
      <c r="K390" s="236">
        <f t="shared" si="125"/>
        <v>1</v>
      </c>
      <c r="L390" s="236">
        <f ca="1">INDEX(Photobiology!$21:$421,1+$H390-380,10)</f>
        <v>0.0001287925</v>
      </c>
      <c r="M390" s="236">
        <f ca="1" t="shared" si="126"/>
        <v>1.11621441330348</v>
      </c>
      <c r="N390" s="236">
        <f ca="1">INDEX(Photobiology!$21:$421,1+$H390-380,N$14)</f>
        <v>4.94485999700327e-10</v>
      </c>
      <c r="O390" s="236">
        <f ca="1">INDEX(Photobiology!$21:$421,1+$H390-380,O$14)</f>
        <v>1.72107580775885e-5</v>
      </c>
      <c r="P390" s="236">
        <f ca="1">INDEX(Photobiology!$21:$421,1+$H390-380,P$14)</f>
        <v>0.000200202271183143</v>
      </c>
      <c r="Q390" s="236">
        <f ca="1">INDEX(Photobiology!$21:$421,1+$H390-380,Q$14)</f>
        <v>7.73324910525027e-7</v>
      </c>
      <c r="R390" s="236">
        <f ca="1">INDEX(Photobiology!$21:$421,1+$H390-380,R$14)</f>
        <v>1.1586519583177e-7</v>
      </c>
      <c r="S390" s="236">
        <f ca="1" t="shared" si="127"/>
        <v>4.20992439860075e+18</v>
      </c>
      <c r="T390" s="236">
        <f ca="1">INDEX(Photobiology!$21:$421,1+$H390-380,T$14)</f>
        <v>2.90485767514211e-10</v>
      </c>
      <c r="U390" s="236">
        <f ca="1">INDEX(Photobiology!$21:$421,1+$H390-380,U$14)</f>
        <v>1.24779559289561e-5</v>
      </c>
      <c r="V390" s="236">
        <f ca="1">INDEX(Photobiology!$21:$421,1+$H390-380,V$14)</f>
        <v>0.00015216341311842</v>
      </c>
      <c r="W390" s="236">
        <f ca="1">INDEX(Photobiology!$21:$421,1+$H390-380,W$14)</f>
        <v>5.26288517316932e-7</v>
      </c>
      <c r="X390" s="236">
        <f ca="1">INDEX(Photobiology!$21:$421,1+$H390-380,X$14)</f>
        <v>7.56105058365728e-8</v>
      </c>
      <c r="Y390" s="236">
        <f ca="1" t="shared" si="114"/>
        <v>1.11621441330348</v>
      </c>
      <c r="Z390" s="236">
        <f ca="1" t="shared" si="128"/>
        <v>5.51952400042285e-10</v>
      </c>
      <c r="AA390" s="236">
        <f ca="1" t="shared" si="115"/>
        <v>1.92108962300836e-5</v>
      </c>
      <c r="AB390" s="236">
        <f ca="1" t="shared" si="116"/>
        <v>0.000223468660670716</v>
      </c>
      <c r="AC390" s="236">
        <f ca="1" t="shared" si="117"/>
        <v>8.63196411294659e-7</v>
      </c>
      <c r="AD390" s="236">
        <f ca="1" t="shared" si="118"/>
        <v>1.29330401587652e-7</v>
      </c>
      <c r="AE390" s="236"/>
      <c r="AF390" s="236"/>
      <c r="AG390" s="236"/>
      <c r="AH390" s="236">
        <f t="shared" si="129"/>
        <v>749</v>
      </c>
      <c r="AI390" s="236">
        <f>IF($AH390&gt;$AH389,INDEX(Spectra!390:390,1,MATCH($AI$20,Spectra!$20:$20,0)),AI389)</f>
        <v>1</v>
      </c>
      <c r="AJ390" s="236">
        <f>((Physics!$C$9*Physics!$C$10)/(Physics!$C$11*Physics!$C$12*$AH390))^($AJ$17-$AJ$18)</f>
        <v>3.77160906401604e+18</v>
      </c>
      <c r="AK390" s="236">
        <f t="shared" si="130"/>
        <v>1</v>
      </c>
      <c r="AL390" s="236">
        <f ca="1">INDEX(Photobiology!$21:$421,1+$AH390-380,10)</f>
        <v>0.0001287925</v>
      </c>
      <c r="AM390" s="236">
        <f ca="1" t="shared" si="131"/>
        <v>13.3319879209511</v>
      </c>
      <c r="AN390" s="236">
        <f ca="1">INDEX(Photobiology!$21:$421,1+$AH390-380,AN$14)</f>
        <v>4.94485999700327e-10</v>
      </c>
      <c r="AO390" s="236">
        <f ca="1">INDEX(Photobiology!$21:$421,1+$AH390-380,AO$14)</f>
        <v>1.72107580775885e-5</v>
      </c>
      <c r="AP390" s="236">
        <f ca="1">INDEX(Photobiology!$21:$421,1+$AH390-380,AP$14)</f>
        <v>0.000200202271183143</v>
      </c>
      <c r="AQ390" s="236">
        <f ca="1">INDEX(Photobiology!$21:$421,1+$AH390-380,AQ$14)</f>
        <v>7.73324910525027e-7</v>
      </c>
      <c r="AR390" s="236">
        <f ca="1">INDEX(Photobiology!$21:$421,1+$AH390-380,AR$14)</f>
        <v>1.1586519583177e-7</v>
      </c>
      <c r="AS390" s="236">
        <f ca="1" t="shared" si="132"/>
        <v>5.02830464840116e+19</v>
      </c>
      <c r="AT390" s="236">
        <f ca="1">INDEX(Photobiology!$21:$421,1+$AH390-380,AT$14)</f>
        <v>2.90485767514211e-10</v>
      </c>
      <c r="AU390" s="236">
        <f ca="1">INDEX(Photobiology!$21:$421,1+$AH390-380,AU$14)</f>
        <v>1.24779559289561e-5</v>
      </c>
      <c r="AV390" s="236">
        <f ca="1">INDEX(Photobiology!$21:$421,1+$AH390-380,AV$14)</f>
        <v>0.00015216341311842</v>
      </c>
      <c r="AW390" s="236">
        <f ca="1">INDEX(Photobiology!$21:$421,1+$AH390-380,AW$14)</f>
        <v>5.26288517316932e-7</v>
      </c>
      <c r="AX390" s="236">
        <f ca="1">INDEX(Photobiology!$21:$421,1+$AH390-380,AX$14)</f>
        <v>7.56105058365728e-8</v>
      </c>
      <c r="AY390" s="236">
        <f ca="1" t="shared" si="119"/>
        <v>13.3319879209511</v>
      </c>
      <c r="AZ390" s="236">
        <f ca="1" t="shared" si="133"/>
        <v>6.59248137508421e-9</v>
      </c>
      <c r="BA390" s="236">
        <f ca="1" t="shared" si="120"/>
        <v>0.000229453618800822</v>
      </c>
      <c r="BB390" s="236">
        <f ca="1" t="shared" si="121"/>
        <v>0.00266909426116065</v>
      </c>
      <c r="BC390" s="236">
        <f ca="1" t="shared" si="122"/>
        <v>1.03099583660903e-5</v>
      </c>
      <c r="BD390" s="236">
        <f ca="1" t="shared" si="123"/>
        <v>1.5447133912878e-6</v>
      </c>
    </row>
    <row r="391" s="234" customFormat="1" ht="0.2" customHeight="1" spans="7:56">
      <c r="G391" s="236"/>
      <c r="H391" s="236">
        <f t="shared" si="124"/>
        <v>750</v>
      </c>
      <c r="I391" s="236">
        <f>IF($H391&gt;$H390,INDEX(Spectra!391:391,1,MATCH($I$20,Spectra!$20:$20,0)),I390)</f>
        <v>1.08327774016807</v>
      </c>
      <c r="J391" s="236">
        <f>((Physics!$C$9*Physics!$C$10)/(Physics!$C$11*Physics!$C$12*$H391))^($J$17-$J$18)</f>
        <v>3.77664459013622e+18</v>
      </c>
      <c r="K391" s="236">
        <f t="shared" si="125"/>
        <v>1</v>
      </c>
      <c r="L391" s="236">
        <f ca="1">INDEX(Photobiology!$21:$421,1+$H391-380,10)</f>
        <v>0.00012</v>
      </c>
      <c r="M391" s="236">
        <f ca="1" t="shared" si="126"/>
        <v>1.08327774016807</v>
      </c>
      <c r="N391" s="236">
        <f ca="1">INDEX(Photobiology!$21:$421,1+$H391-380,N$14)</f>
        <v>4.70148440634387e-10</v>
      </c>
      <c r="O391" s="236">
        <f ca="1">INDEX(Photobiology!$21:$421,1+$H391-380,O$14)</f>
        <v>1.61398687982425e-5</v>
      </c>
      <c r="P391" s="236">
        <f ca="1">INDEX(Photobiology!$21:$421,1+$H391-380,P$14)</f>
        <v>0.000187177654119016</v>
      </c>
      <c r="Q391" s="236">
        <f ca="1">INDEX(Photobiology!$21:$421,1+$H391-380,Q$14)</f>
        <v>7.28254203391554e-7</v>
      </c>
      <c r="R391" s="236">
        <f ca="1">INDEX(Photobiology!$21:$421,1+$H391-380,R$14)</f>
        <v>1.09332429810826e-7</v>
      </c>
      <c r="S391" s="236">
        <f ca="1" t="shared" si="127"/>
        <v>4.09115501702073e+18</v>
      </c>
      <c r="T391" s="236">
        <f ca="1">INDEX(Photobiology!$21:$421,1+$H391-380,T$14)</f>
        <v>2.75820418505507e-10</v>
      </c>
      <c r="U391" s="236">
        <f ca="1">INDEX(Photobiology!$21:$421,1+$H391-380,U$14)</f>
        <v>1.16859494060724e-5</v>
      </c>
      <c r="V391" s="236">
        <f ca="1">INDEX(Photobiology!$21:$421,1+$H391-380,V$14)</f>
        <v>0.000142074388506554</v>
      </c>
      <c r="W391" s="236">
        <f ca="1">INDEX(Photobiology!$21:$421,1+$H391-380,W$14)</f>
        <v>4.94954695786263e-7</v>
      </c>
      <c r="X391" s="236">
        <f ca="1">INDEX(Photobiology!$21:$421,1+$H391-380,X$14)</f>
        <v>7.12522688339916e-8</v>
      </c>
      <c r="Y391" s="236">
        <f ca="1" t="shared" si="114"/>
        <v>1.08327774016807</v>
      </c>
      <c r="Z391" s="236">
        <f ca="1" t="shared" si="128"/>
        <v>5.09301340313961e-10</v>
      </c>
      <c r="AA391" s="236">
        <f ca="1" t="shared" si="115"/>
        <v>1.74839605983693e-5</v>
      </c>
      <c r="AB391" s="236">
        <f ca="1" t="shared" si="116"/>
        <v>0.000202765386164008</v>
      </c>
      <c r="AC391" s="236">
        <f ca="1" t="shared" si="117"/>
        <v>7.88901567717901e-7</v>
      </c>
      <c r="AD391" s="236">
        <f ca="1" t="shared" si="118"/>
        <v>1.18437387492556e-7</v>
      </c>
      <c r="AE391" s="236"/>
      <c r="AF391" s="236"/>
      <c r="AG391" s="236"/>
      <c r="AH391" s="236">
        <f t="shared" si="129"/>
        <v>750</v>
      </c>
      <c r="AI391" s="236">
        <f>IF($AH391&gt;$AH390,INDEX(Spectra!391:391,1,MATCH($AI$20,Spectra!$20:$20,0)),AI390)</f>
        <v>1</v>
      </c>
      <c r="AJ391" s="236">
        <f>((Physics!$C$9*Physics!$C$10)/(Physics!$C$11*Physics!$C$12*$AH391))^($AJ$17-$AJ$18)</f>
        <v>3.77664459013622e+18</v>
      </c>
      <c r="AK391" s="236">
        <f t="shared" si="130"/>
        <v>1</v>
      </c>
      <c r="AL391" s="236">
        <f ca="1">INDEX(Photobiology!$21:$421,1+$AH391-380,10)</f>
        <v>0.00012</v>
      </c>
      <c r="AM391" s="236">
        <f ca="1" t="shared" si="131"/>
        <v>13.3319879209511</v>
      </c>
      <c r="AN391" s="236">
        <f ca="1">INDEX(Photobiology!$21:$421,1+$AH391-380,AN$14)</f>
        <v>4.70148440634387e-10</v>
      </c>
      <c r="AO391" s="236">
        <f ca="1">INDEX(Photobiology!$21:$421,1+$AH391-380,AO$14)</f>
        <v>1.61398687982425e-5</v>
      </c>
      <c r="AP391" s="236">
        <f ca="1">INDEX(Photobiology!$21:$421,1+$AH391-380,AP$14)</f>
        <v>0.000187177654119016</v>
      </c>
      <c r="AQ391" s="236">
        <f ca="1">INDEX(Photobiology!$21:$421,1+$AH391-380,AQ$14)</f>
        <v>7.28254203391554e-7</v>
      </c>
      <c r="AR391" s="236">
        <f ca="1">INDEX(Photobiology!$21:$421,1+$AH391-380,AR$14)</f>
        <v>1.09332429810826e-7</v>
      </c>
      <c r="AS391" s="236">
        <f ca="1" t="shared" si="132"/>
        <v>5.03501800574215e+19</v>
      </c>
      <c r="AT391" s="236">
        <f ca="1">INDEX(Photobiology!$21:$421,1+$AH391-380,AT$14)</f>
        <v>2.75820418505507e-10</v>
      </c>
      <c r="AU391" s="236">
        <f ca="1">INDEX(Photobiology!$21:$421,1+$AH391-380,AU$14)</f>
        <v>1.16859494060724e-5</v>
      </c>
      <c r="AV391" s="236">
        <f ca="1">INDEX(Photobiology!$21:$421,1+$AH391-380,AV$14)</f>
        <v>0.000142074388506554</v>
      </c>
      <c r="AW391" s="236">
        <f ca="1">INDEX(Photobiology!$21:$421,1+$AH391-380,AW$14)</f>
        <v>4.94954695786263e-7</v>
      </c>
      <c r="AX391" s="236">
        <f ca="1">INDEX(Photobiology!$21:$421,1+$AH391-380,AX$14)</f>
        <v>7.12522688339916e-8</v>
      </c>
      <c r="AY391" s="236">
        <f ca="1" t="shared" si="119"/>
        <v>13.3319879209511</v>
      </c>
      <c r="AZ391" s="236">
        <f ca="1" t="shared" si="133"/>
        <v>6.26801333159166e-9</v>
      </c>
      <c r="BA391" s="236">
        <f ca="1" t="shared" si="120"/>
        <v>0.000215176535863905</v>
      </c>
      <c r="BB391" s="236">
        <f ca="1" t="shared" si="121"/>
        <v>0.00249545022378669</v>
      </c>
      <c r="BC391" s="236">
        <f ca="1" t="shared" si="122"/>
        <v>9.70907624299809e-6</v>
      </c>
      <c r="BD391" s="236">
        <f ca="1" t="shared" si="123"/>
        <v>1.45761863360617e-6</v>
      </c>
    </row>
    <row r="392" s="234" customFormat="1" ht="0.2" customHeight="1" spans="7:56">
      <c r="G392" s="236"/>
      <c r="H392" s="236">
        <f t="shared" si="124"/>
        <v>751</v>
      </c>
      <c r="I392" s="236">
        <f>IF($H392&gt;$H391,INDEX(Spectra!392:392,1,MATCH($I$20,Spectra!$20:$20,0)),I391)</f>
        <v>1.04699999503139</v>
      </c>
      <c r="J392" s="236">
        <f>((Physics!$C$9*Physics!$C$10)/(Physics!$C$11*Physics!$C$12*$H392))^($J$17-$J$18)</f>
        <v>3.7816801162564e+18</v>
      </c>
      <c r="K392" s="236">
        <f t="shared" si="125"/>
        <v>1</v>
      </c>
      <c r="L392" s="236">
        <f ca="1">INDEX(Photobiology!$21:$421,1+$H392-380,10)</f>
        <v>0.0001118595</v>
      </c>
      <c r="M392" s="236">
        <f ca="1" t="shared" si="126"/>
        <v>1.04699999503139</v>
      </c>
      <c r="N392" s="236">
        <f ca="1">INDEX(Photobiology!$21:$421,1+$H392-380,N$14)</f>
        <v>4.47039604283854e-10</v>
      </c>
      <c r="O392" s="236">
        <f ca="1">INDEX(Photobiology!$21:$421,1+$H392-380,O$14)</f>
        <v>1.51371460076141e-5</v>
      </c>
      <c r="P392" s="236">
        <f ca="1">INDEX(Photobiology!$21:$421,1+$H392-380,P$14)</f>
        <v>0.0001750165022078</v>
      </c>
      <c r="Q392" s="236">
        <f ca="1">INDEX(Photobiology!$21:$421,1+$H392-380,Q$14)</f>
        <v>6.85875042318322e-7</v>
      </c>
      <c r="R392" s="236">
        <f ca="1">INDEX(Photobiology!$21:$421,1+$H392-380,R$14)</f>
        <v>1.03177024691769e-7</v>
      </c>
      <c r="S392" s="236">
        <f ca="1" t="shared" si="127"/>
        <v>3.95941906293076e+18</v>
      </c>
      <c r="T392" s="236">
        <f ca="1">INDEX(Photobiology!$21:$421,1+$H392-380,T$14)</f>
        <v>2.61914015825427e-10</v>
      </c>
      <c r="U392" s="236">
        <f ca="1">INDEX(Photobiology!$21:$421,1+$H392-380,U$14)</f>
        <v>1.09453417970662e-5</v>
      </c>
      <c r="V392" s="236">
        <f ca="1">INDEX(Photobiology!$21:$421,1+$H392-380,V$14)</f>
        <v>0.000132666759694833</v>
      </c>
      <c r="W392" s="236">
        <f ca="1">INDEX(Photobiology!$21:$421,1+$H392-380,W$14)</f>
        <v>4.65531181218232e-7</v>
      </c>
      <c r="X392" s="236">
        <f ca="1">INDEX(Photobiology!$21:$421,1+$H392-380,X$14)</f>
        <v>6.71512380742654e-8</v>
      </c>
      <c r="Y392" s="236">
        <f ca="1" t="shared" si="114"/>
        <v>1.04699999503139</v>
      </c>
      <c r="Z392" s="236">
        <f ca="1" t="shared" si="128"/>
        <v>4.6805046346403e-10</v>
      </c>
      <c r="AA392" s="236">
        <f ca="1" t="shared" si="115"/>
        <v>1.58485917947614e-5</v>
      </c>
      <c r="AB392" s="236">
        <f ca="1" t="shared" si="116"/>
        <v>0.000183242276941978</v>
      </c>
      <c r="AC392" s="236">
        <f ca="1" t="shared" si="117"/>
        <v>7.18111165899438e-7</v>
      </c>
      <c r="AD392" s="236">
        <f ca="1" t="shared" si="118"/>
        <v>1.08026344339636e-7</v>
      </c>
      <c r="AE392" s="236"/>
      <c r="AF392" s="236"/>
      <c r="AG392" s="236"/>
      <c r="AH392" s="236">
        <f t="shared" si="129"/>
        <v>751</v>
      </c>
      <c r="AI392" s="236">
        <f>IF($AH392&gt;$AH391,INDEX(Spectra!392:392,1,MATCH($AI$20,Spectra!$20:$20,0)),AI391)</f>
        <v>1</v>
      </c>
      <c r="AJ392" s="236">
        <f>((Physics!$C$9*Physics!$C$10)/(Physics!$C$11*Physics!$C$12*$AH392))^($AJ$17-$AJ$18)</f>
        <v>3.7816801162564e+18</v>
      </c>
      <c r="AK392" s="236">
        <f t="shared" si="130"/>
        <v>1</v>
      </c>
      <c r="AL392" s="236">
        <f ca="1">INDEX(Photobiology!$21:$421,1+$AH392-380,10)</f>
        <v>0.0001118595</v>
      </c>
      <c r="AM392" s="236">
        <f ca="1" t="shared" si="131"/>
        <v>13.3319879209511</v>
      </c>
      <c r="AN392" s="236">
        <f ca="1">INDEX(Photobiology!$21:$421,1+$AH392-380,AN$14)</f>
        <v>4.47039604283854e-10</v>
      </c>
      <c r="AO392" s="236">
        <f ca="1">INDEX(Photobiology!$21:$421,1+$AH392-380,AO$14)</f>
        <v>1.51371460076141e-5</v>
      </c>
      <c r="AP392" s="236">
        <f ca="1">INDEX(Photobiology!$21:$421,1+$AH392-380,AP$14)</f>
        <v>0.0001750165022078</v>
      </c>
      <c r="AQ392" s="236">
        <f ca="1">INDEX(Photobiology!$21:$421,1+$AH392-380,AQ$14)</f>
        <v>6.85875042318322e-7</v>
      </c>
      <c r="AR392" s="236">
        <f ca="1">INDEX(Photobiology!$21:$421,1+$AH392-380,AR$14)</f>
        <v>1.03177024691769e-7</v>
      </c>
      <c r="AS392" s="236">
        <f ca="1" t="shared" si="132"/>
        <v>5.04173136308314e+19</v>
      </c>
      <c r="AT392" s="236">
        <f ca="1">INDEX(Photobiology!$21:$421,1+$AH392-380,AT$14)</f>
        <v>2.61914015825427e-10</v>
      </c>
      <c r="AU392" s="236">
        <f ca="1">INDEX(Photobiology!$21:$421,1+$AH392-380,AU$14)</f>
        <v>1.09453417970662e-5</v>
      </c>
      <c r="AV392" s="236">
        <f ca="1">INDEX(Photobiology!$21:$421,1+$AH392-380,AV$14)</f>
        <v>0.000132666759694833</v>
      </c>
      <c r="AW392" s="236">
        <f ca="1">INDEX(Photobiology!$21:$421,1+$AH392-380,AW$14)</f>
        <v>4.65531181218232e-7</v>
      </c>
      <c r="AX392" s="236">
        <f ca="1">INDEX(Photobiology!$21:$421,1+$AH392-380,AX$14)</f>
        <v>6.71512380742654e-8</v>
      </c>
      <c r="AY392" s="236">
        <f ca="1" t="shared" si="119"/>
        <v>13.3319879209511</v>
      </c>
      <c r="AZ392" s="236">
        <f ca="1" t="shared" si="133"/>
        <v>5.95992660449912e-9</v>
      </c>
      <c r="BA392" s="236">
        <f ca="1" t="shared" si="120"/>
        <v>0.000201808247731185</v>
      </c>
      <c r="BB392" s="236">
        <f ca="1" t="shared" si="121"/>
        <v>0.00233331789340151</v>
      </c>
      <c r="BC392" s="236">
        <f ca="1" t="shared" si="122"/>
        <v>9.14407777946972e-6</v>
      </c>
      <c r="BD392" s="236">
        <f ca="1" t="shared" si="123"/>
        <v>1.37555484691034e-6</v>
      </c>
    </row>
    <row r="393" s="234" customFormat="1" ht="0.2" customHeight="1" spans="7:56">
      <c r="G393" s="236"/>
      <c r="H393" s="236">
        <f t="shared" si="124"/>
        <v>752</v>
      </c>
      <c r="I393" s="236">
        <f>IF($H393&gt;$H392,INDEX(Spectra!393:393,1,MATCH($I$20,Spectra!$20:$20,0)),I392)</f>
        <v>1.02001641393857</v>
      </c>
      <c r="J393" s="236">
        <f>((Physics!$C$9*Physics!$C$10)/(Physics!$C$11*Physics!$C$12*$H393))^($J$17-$J$18)</f>
        <v>3.78671564237658e+18</v>
      </c>
      <c r="K393" s="236">
        <f t="shared" si="125"/>
        <v>1</v>
      </c>
      <c r="L393" s="236">
        <f ca="1">INDEX(Photobiology!$21:$421,1+$H393-380,10)</f>
        <v>0.0001043224</v>
      </c>
      <c r="M393" s="236">
        <f ca="1" t="shared" si="126"/>
        <v>1.02001641393857</v>
      </c>
      <c r="N393" s="236">
        <f ca="1">INDEX(Photobiology!$21:$421,1+$H393-380,N$14)</f>
        <v>4.25125347562817e-10</v>
      </c>
      <c r="O393" s="236">
        <f ca="1">INDEX(Photobiology!$21:$421,1+$H393-380,O$14)</f>
        <v>1.4199105956829e-5</v>
      </c>
      <c r="P393" s="236">
        <f ca="1">INDEX(Photobiology!$21:$421,1+$H393-380,P$14)</f>
        <v>0.000163671476403926</v>
      </c>
      <c r="Q393" s="236">
        <f ca="1">INDEX(Photobiology!$21:$421,1+$H393-380,Q$14)</f>
        <v>6.4606468141448e-7</v>
      </c>
      <c r="R393" s="236">
        <f ca="1">INDEX(Photobiology!$21:$421,1+$H393-380,R$14)</f>
        <v>9.73834149707826e-8</v>
      </c>
      <c r="S393" s="236">
        <f ca="1" t="shared" si="127"/>
        <v>3.86251211014205e+18</v>
      </c>
      <c r="T393" s="236">
        <f ca="1">INDEX(Photobiology!$21:$421,1+$H393-380,T$14)</f>
        <v>2.48743554425052e-10</v>
      </c>
      <c r="U393" s="236">
        <f ca="1">INDEX(Photobiology!$21:$421,1+$H393-380,U$14)</f>
        <v>1.02534123796311e-5</v>
      </c>
      <c r="V393" s="236">
        <f ca="1">INDEX(Photobiology!$21:$421,1+$H393-380,V$14)</f>
        <v>0.000123901971920858</v>
      </c>
      <c r="W393" s="236">
        <f ca="1">INDEX(Photobiology!$21:$421,1+$H393-380,W$14)</f>
        <v>4.3792715088596e-7</v>
      </c>
      <c r="X393" s="236">
        <f ca="1">INDEX(Photobiology!$21:$421,1+$H393-380,X$14)</f>
        <v>6.3296270362598e-8</v>
      </c>
      <c r="Y393" s="236">
        <f ca="1" t="shared" si="114"/>
        <v>1.02001641393857</v>
      </c>
      <c r="Z393" s="236">
        <f ca="1" t="shared" si="128"/>
        <v>4.33634832495413e-10</v>
      </c>
      <c r="AA393" s="236">
        <f ca="1" t="shared" si="115"/>
        <v>1.44833211392185e-5</v>
      </c>
      <c r="AB393" s="236">
        <f ca="1" t="shared" si="116"/>
        <v>0.000166947592425564</v>
      </c>
      <c r="AC393" s="236">
        <f ca="1" t="shared" si="117"/>
        <v>6.58996579508763e-7</v>
      </c>
      <c r="AD393" s="236">
        <f ca="1" t="shared" si="118"/>
        <v>9.93326817155893e-8</v>
      </c>
      <c r="AE393" s="236"/>
      <c r="AF393" s="236"/>
      <c r="AG393" s="236"/>
      <c r="AH393" s="236">
        <f t="shared" si="129"/>
        <v>752</v>
      </c>
      <c r="AI393" s="236">
        <f>IF($AH393&gt;$AH392,INDEX(Spectra!393:393,1,MATCH($AI$20,Spectra!$20:$20,0)),AI392)</f>
        <v>1</v>
      </c>
      <c r="AJ393" s="236">
        <f>((Physics!$C$9*Physics!$C$10)/(Physics!$C$11*Physics!$C$12*$AH393))^($AJ$17-$AJ$18)</f>
        <v>3.78671564237658e+18</v>
      </c>
      <c r="AK393" s="236">
        <f t="shared" si="130"/>
        <v>1</v>
      </c>
      <c r="AL393" s="236">
        <f ca="1">INDEX(Photobiology!$21:$421,1+$AH393-380,10)</f>
        <v>0.0001043224</v>
      </c>
      <c r="AM393" s="236">
        <f ca="1" t="shared" si="131"/>
        <v>13.3319879209511</v>
      </c>
      <c r="AN393" s="236">
        <f ca="1">INDEX(Photobiology!$21:$421,1+$AH393-380,AN$14)</f>
        <v>4.25125347562817e-10</v>
      </c>
      <c r="AO393" s="236">
        <f ca="1">INDEX(Photobiology!$21:$421,1+$AH393-380,AO$14)</f>
        <v>1.4199105956829e-5</v>
      </c>
      <c r="AP393" s="236">
        <f ca="1">INDEX(Photobiology!$21:$421,1+$AH393-380,AP$14)</f>
        <v>0.000163671476403926</v>
      </c>
      <c r="AQ393" s="236">
        <f ca="1">INDEX(Photobiology!$21:$421,1+$AH393-380,AQ$14)</f>
        <v>6.4606468141448e-7</v>
      </c>
      <c r="AR393" s="236">
        <f ca="1">INDEX(Photobiology!$21:$421,1+$AH393-380,AR$14)</f>
        <v>9.73834149707826e-8</v>
      </c>
      <c r="AS393" s="236">
        <f ca="1" t="shared" si="132"/>
        <v>5.04844472042413e+19</v>
      </c>
      <c r="AT393" s="236">
        <f ca="1">INDEX(Photobiology!$21:$421,1+$AH393-380,AT$14)</f>
        <v>2.48743554425052e-10</v>
      </c>
      <c r="AU393" s="236">
        <f ca="1">INDEX(Photobiology!$21:$421,1+$AH393-380,AU$14)</f>
        <v>1.02534123796311e-5</v>
      </c>
      <c r="AV393" s="236">
        <f ca="1">INDEX(Photobiology!$21:$421,1+$AH393-380,AV$14)</f>
        <v>0.000123901971920858</v>
      </c>
      <c r="AW393" s="236">
        <f ca="1">INDEX(Photobiology!$21:$421,1+$AH393-380,AW$14)</f>
        <v>4.3792715088596e-7</v>
      </c>
      <c r="AX393" s="236">
        <f ca="1">INDEX(Photobiology!$21:$421,1+$AH393-380,AX$14)</f>
        <v>6.3296270362598e-8</v>
      </c>
      <c r="AY393" s="236">
        <f ca="1" t="shared" si="119"/>
        <v>13.3319879209511</v>
      </c>
      <c r="AZ393" s="236">
        <f ca="1" t="shared" si="133"/>
        <v>5.66776599859763e-9</v>
      </c>
      <c r="BA393" s="236">
        <f ca="1" t="shared" si="120"/>
        <v>0.00018930230910475</v>
      </c>
      <c r="BB393" s="236">
        <f ca="1" t="shared" si="121"/>
        <v>0.00218206614642138</v>
      </c>
      <c r="BC393" s="236">
        <f ca="1" t="shared" si="122"/>
        <v>8.613326528771e-6</v>
      </c>
      <c r="BD393" s="236">
        <f ca="1" t="shared" si="123"/>
        <v>1.29831451209145e-6</v>
      </c>
    </row>
    <row r="394" s="234" customFormat="1" ht="0.2" customHeight="1" spans="7:56">
      <c r="G394" s="236"/>
      <c r="H394" s="236">
        <f t="shared" si="124"/>
        <v>753</v>
      </c>
      <c r="I394" s="236">
        <f>IF($H394&gt;$H393,INDEX(Spectra!394:394,1,MATCH($I$20,Spectra!$20:$20,0)),I393)</f>
        <v>0.996289191771972</v>
      </c>
      <c r="J394" s="236">
        <f>((Physics!$C$9*Physics!$C$10)/(Physics!$C$11*Physics!$C$12*$H394))^($J$17-$J$18)</f>
        <v>3.79175116849676e+18</v>
      </c>
      <c r="K394" s="236">
        <f t="shared" si="125"/>
        <v>1</v>
      </c>
      <c r="L394" s="236">
        <f ca="1">INDEX(Photobiology!$21:$421,1+$H394-380,10)</f>
        <v>9.73356e-5</v>
      </c>
      <c r="M394" s="236">
        <f ca="1" t="shared" si="126"/>
        <v>0.996289191771972</v>
      </c>
      <c r="N394" s="236">
        <f ca="1">INDEX(Photobiology!$21:$421,1+$H394-380,N$14)</f>
        <v>4.04338410967375e-10</v>
      </c>
      <c r="O394" s="236">
        <f ca="1">INDEX(Photobiology!$21:$421,1+$H394-380,O$14)</f>
        <v>1.33214346918662e-5</v>
      </c>
      <c r="P394" s="236">
        <f ca="1">INDEX(Photobiology!$21:$421,1+$H394-380,P$14)</f>
        <v>0.000153087242377516</v>
      </c>
      <c r="Q394" s="236">
        <f ca="1">INDEX(Photobiology!$21:$421,1+$H394-380,Q$14)</f>
        <v>6.08663137012009e-7</v>
      </c>
      <c r="R394" s="236">
        <f ca="1">INDEX(Photobiology!$21:$421,1+$H394-380,R$14)</f>
        <v>9.19293099120146e-8</v>
      </c>
      <c r="S394" s="236">
        <f ca="1" t="shared" si="127"/>
        <v>3.77768070706207e+18</v>
      </c>
      <c r="T394" s="236">
        <f ca="1">INDEX(Photobiology!$21:$421,1+$H394-380,T$14)</f>
        <v>2.36266800565266e-10</v>
      </c>
      <c r="U394" s="236">
        <f ca="1">INDEX(Photobiology!$21:$421,1+$H394-380,U$14)</f>
        <v>9.60685617527453e-6</v>
      </c>
      <c r="V394" s="236">
        <f ca="1">INDEX(Photobiology!$21:$421,1+$H394-380,V$14)</f>
        <v>0.000115735630705959</v>
      </c>
      <c r="W394" s="236">
        <f ca="1">INDEX(Photobiology!$21:$421,1+$H394-380,W$14)</f>
        <v>4.12027056863376e-7</v>
      </c>
      <c r="X394" s="236">
        <f ca="1">INDEX(Photobiology!$21:$421,1+$H394-380,X$14)</f>
        <v>5.96719163056916e-8</v>
      </c>
      <c r="Y394" s="236">
        <f ca="1" t="shared" si="114"/>
        <v>0.996289191771972</v>
      </c>
      <c r="Z394" s="236">
        <f ca="1" t="shared" si="128"/>
        <v>4.02837988665049e-10</v>
      </c>
      <c r="AA394" s="236">
        <f ca="1" t="shared" si="115"/>
        <v>1.32720014024025e-5</v>
      </c>
      <c r="AB394" s="236">
        <f ca="1" t="shared" si="116"/>
        <v>0.000152519164978895</v>
      </c>
      <c r="AC394" s="236">
        <f ca="1" t="shared" si="117"/>
        <v>6.06404504835088e-7</v>
      </c>
      <c r="AD394" s="236">
        <f ca="1" t="shared" si="118"/>
        <v>9.15881778723962e-8</v>
      </c>
      <c r="AE394" s="236"/>
      <c r="AF394" s="236"/>
      <c r="AG394" s="236"/>
      <c r="AH394" s="236">
        <f t="shared" si="129"/>
        <v>753</v>
      </c>
      <c r="AI394" s="236">
        <f>IF($AH394&gt;$AH393,INDEX(Spectra!394:394,1,MATCH($AI$20,Spectra!$20:$20,0)),AI393)</f>
        <v>1</v>
      </c>
      <c r="AJ394" s="236">
        <f>((Physics!$C$9*Physics!$C$10)/(Physics!$C$11*Physics!$C$12*$AH394))^($AJ$17-$AJ$18)</f>
        <v>3.79175116849676e+18</v>
      </c>
      <c r="AK394" s="236">
        <f t="shared" si="130"/>
        <v>1</v>
      </c>
      <c r="AL394" s="236">
        <f ca="1">INDEX(Photobiology!$21:$421,1+$AH394-380,10)</f>
        <v>9.73356e-5</v>
      </c>
      <c r="AM394" s="236">
        <f ca="1" t="shared" si="131"/>
        <v>13.3319879209511</v>
      </c>
      <c r="AN394" s="236">
        <f ca="1">INDEX(Photobiology!$21:$421,1+$AH394-380,AN$14)</f>
        <v>4.04338410967375e-10</v>
      </c>
      <c r="AO394" s="236">
        <f ca="1">INDEX(Photobiology!$21:$421,1+$AH394-380,AO$14)</f>
        <v>1.33214346918662e-5</v>
      </c>
      <c r="AP394" s="236">
        <f ca="1">INDEX(Photobiology!$21:$421,1+$AH394-380,AP$14)</f>
        <v>0.000153087242377516</v>
      </c>
      <c r="AQ394" s="236">
        <f ca="1">INDEX(Photobiology!$21:$421,1+$AH394-380,AQ$14)</f>
        <v>6.08663137012009e-7</v>
      </c>
      <c r="AR394" s="236">
        <f ca="1">INDEX(Photobiology!$21:$421,1+$AH394-380,AR$14)</f>
        <v>9.19293099120146e-8</v>
      </c>
      <c r="AS394" s="236">
        <f ca="1" t="shared" si="132"/>
        <v>5.05515807776512e+19</v>
      </c>
      <c r="AT394" s="236">
        <f ca="1">INDEX(Photobiology!$21:$421,1+$AH394-380,AT$14)</f>
        <v>2.36266800565266e-10</v>
      </c>
      <c r="AU394" s="236">
        <f ca="1">INDEX(Photobiology!$21:$421,1+$AH394-380,AU$14)</f>
        <v>9.60685617527453e-6</v>
      </c>
      <c r="AV394" s="236">
        <f ca="1">INDEX(Photobiology!$21:$421,1+$AH394-380,AV$14)</f>
        <v>0.000115735630705959</v>
      </c>
      <c r="AW394" s="236">
        <f ca="1">INDEX(Photobiology!$21:$421,1+$AH394-380,AW$14)</f>
        <v>4.12027056863376e-7</v>
      </c>
      <c r="AX394" s="236">
        <f ca="1">INDEX(Photobiology!$21:$421,1+$AH394-380,AX$14)</f>
        <v>5.96719163056916e-8</v>
      </c>
      <c r="AY394" s="236">
        <f ca="1" t="shared" si="119"/>
        <v>13.3319879209511</v>
      </c>
      <c r="AZ394" s="236">
        <f ca="1" t="shared" si="133"/>
        <v>5.39063481099362e-9</v>
      </c>
      <c r="BA394" s="236">
        <f ca="1" t="shared" si="120"/>
        <v>0.0001776012064017</v>
      </c>
      <c r="BB394" s="236">
        <f ca="1" t="shared" si="121"/>
        <v>0.00204095726622876</v>
      </c>
      <c r="BC394" s="236">
        <f ca="1" t="shared" si="122"/>
        <v>8.11468959057233e-6</v>
      </c>
      <c r="BD394" s="236">
        <f ca="1" t="shared" si="123"/>
        <v>1.22560044932835e-6</v>
      </c>
    </row>
    <row r="395" s="234" customFormat="1" ht="0.2" customHeight="1" spans="7:56">
      <c r="G395" s="236"/>
      <c r="H395" s="236">
        <f t="shared" si="124"/>
        <v>754</v>
      </c>
      <c r="I395" s="236">
        <f>IF($H395&gt;$H394,INDEX(Spectra!395:395,1,MATCH($I$20,Spectra!$20:$20,0)),I394)</f>
        <v>0.965150340714146</v>
      </c>
      <c r="J395" s="236">
        <f>((Physics!$C$9*Physics!$C$10)/(Physics!$C$11*Physics!$C$12*$H395))^($J$17-$J$18)</f>
        <v>3.79678669461694e+18</v>
      </c>
      <c r="K395" s="236">
        <f t="shared" si="125"/>
        <v>1</v>
      </c>
      <c r="L395" s="236">
        <f ca="1">INDEX(Photobiology!$21:$421,1+$H395-380,10)</f>
        <v>9.084587e-5</v>
      </c>
      <c r="M395" s="236">
        <f ca="1" t="shared" si="126"/>
        <v>0.965150340714146</v>
      </c>
      <c r="N395" s="236">
        <f ca="1">INDEX(Photobiology!$21:$421,1+$H395-380,N$14)</f>
        <v>3.84621006480692e-10</v>
      </c>
      <c r="O395" s="236">
        <f ca="1">INDEX(Photobiology!$21:$421,1+$H395-380,O$14)</f>
        <v>1.25001147553794e-5</v>
      </c>
      <c r="P395" s="236">
        <f ca="1">INDEX(Photobiology!$21:$421,1+$H395-380,P$14)</f>
        <v>0.000143210216074284</v>
      </c>
      <c r="Q395" s="236">
        <f ca="1">INDEX(Photobiology!$21:$421,1+$H395-380,Q$14)</f>
        <v>5.73519250733269e-7</v>
      </c>
      <c r="R395" s="236">
        <f ca="1">INDEX(Photobiology!$21:$421,1+$H395-380,R$14)</f>
        <v>8.67942590500972e-8</v>
      </c>
      <c r="S395" s="236">
        <f ca="1" t="shared" si="127"/>
        <v>3.66446997192848e+18</v>
      </c>
      <c r="T395" s="236">
        <f ca="1">INDEX(Photobiology!$21:$421,1+$H395-380,T$14)</f>
        <v>2.24447271686346e-10</v>
      </c>
      <c r="U395" s="236">
        <f ca="1">INDEX(Photobiology!$21:$421,1+$H395-380,U$14)</f>
        <v>9.00259927584565e-6</v>
      </c>
      <c r="V395" s="236">
        <f ca="1">INDEX(Photobiology!$21:$421,1+$H395-380,V$14)</f>
        <v>0.000108124898558503</v>
      </c>
      <c r="W395" s="236">
        <f ca="1">INDEX(Photobiology!$21:$421,1+$H395-380,W$14)</f>
        <v>3.87721930459695e-7</v>
      </c>
      <c r="X395" s="236">
        <f ca="1">INDEX(Photobiology!$21:$421,1+$H395-380,X$14)</f>
        <v>5.62640014172426e-8</v>
      </c>
      <c r="Y395" s="236">
        <f ca="1" t="shared" si="114"/>
        <v>0.965150340714146</v>
      </c>
      <c r="Z395" s="236">
        <f ca="1" t="shared" si="128"/>
        <v>3.71217095450658e-10</v>
      </c>
      <c r="AA395" s="236">
        <f ca="1" t="shared" si="115"/>
        <v>1.20644900151204e-5</v>
      </c>
      <c r="AB395" s="236">
        <f ca="1" t="shared" si="116"/>
        <v>0.000138219388837842</v>
      </c>
      <c r="AC395" s="236">
        <f ca="1" t="shared" si="117"/>
        <v>5.53532300251336e-7</v>
      </c>
      <c r="AD395" s="236">
        <f ca="1" t="shared" si="118"/>
        <v>8.37695086942332e-8</v>
      </c>
      <c r="AE395" s="236"/>
      <c r="AF395" s="236"/>
      <c r="AG395" s="236"/>
      <c r="AH395" s="236">
        <f t="shared" si="129"/>
        <v>754</v>
      </c>
      <c r="AI395" s="236">
        <f>IF($AH395&gt;$AH394,INDEX(Spectra!395:395,1,MATCH($AI$20,Spectra!$20:$20,0)),AI394)</f>
        <v>1</v>
      </c>
      <c r="AJ395" s="236">
        <f>((Physics!$C$9*Physics!$C$10)/(Physics!$C$11*Physics!$C$12*$AH395))^($AJ$17-$AJ$18)</f>
        <v>3.79678669461694e+18</v>
      </c>
      <c r="AK395" s="236">
        <f t="shared" si="130"/>
        <v>1</v>
      </c>
      <c r="AL395" s="236">
        <f ca="1">INDEX(Photobiology!$21:$421,1+$AH395-380,10)</f>
        <v>9.084587e-5</v>
      </c>
      <c r="AM395" s="236">
        <f ca="1" t="shared" si="131"/>
        <v>13.3319879209511</v>
      </c>
      <c r="AN395" s="236">
        <f ca="1">INDEX(Photobiology!$21:$421,1+$AH395-380,AN$14)</f>
        <v>3.84621006480692e-10</v>
      </c>
      <c r="AO395" s="236">
        <f ca="1">INDEX(Photobiology!$21:$421,1+$AH395-380,AO$14)</f>
        <v>1.25001147553794e-5</v>
      </c>
      <c r="AP395" s="236">
        <f ca="1">INDEX(Photobiology!$21:$421,1+$AH395-380,AP$14)</f>
        <v>0.000143210216074284</v>
      </c>
      <c r="AQ395" s="236">
        <f ca="1">INDEX(Photobiology!$21:$421,1+$AH395-380,AQ$14)</f>
        <v>5.73519250733269e-7</v>
      </c>
      <c r="AR395" s="236">
        <f ca="1">INDEX(Photobiology!$21:$421,1+$AH395-380,AR$14)</f>
        <v>8.67942590500972e-8</v>
      </c>
      <c r="AS395" s="236">
        <f ca="1" t="shared" si="132"/>
        <v>5.06187143510611e+19</v>
      </c>
      <c r="AT395" s="236">
        <f ca="1">INDEX(Photobiology!$21:$421,1+$AH395-380,AT$14)</f>
        <v>2.24447271686346e-10</v>
      </c>
      <c r="AU395" s="236">
        <f ca="1">INDEX(Photobiology!$21:$421,1+$AH395-380,AU$14)</f>
        <v>9.00259927584565e-6</v>
      </c>
      <c r="AV395" s="236">
        <f ca="1">INDEX(Photobiology!$21:$421,1+$AH395-380,AV$14)</f>
        <v>0.000108124898558503</v>
      </c>
      <c r="AW395" s="236">
        <f ca="1">INDEX(Photobiology!$21:$421,1+$AH395-380,AW$14)</f>
        <v>3.87721930459695e-7</v>
      </c>
      <c r="AX395" s="236">
        <f ca="1">INDEX(Photobiology!$21:$421,1+$AH395-380,AX$14)</f>
        <v>5.62640014172426e-8</v>
      </c>
      <c r="AY395" s="236">
        <f ca="1" t="shared" si="119"/>
        <v>13.3319879209511</v>
      </c>
      <c r="AZ395" s="236">
        <f ca="1" t="shared" si="133"/>
        <v>5.12776261254466e-9</v>
      </c>
      <c r="BA395" s="236">
        <f ca="1" t="shared" si="120"/>
        <v>0.000166651378929221</v>
      </c>
      <c r="BB395" s="236">
        <f ca="1" t="shared" si="121"/>
        <v>0.00190927687085916</v>
      </c>
      <c r="BC395" s="236">
        <f ca="1" t="shared" si="122"/>
        <v>7.64615172320889e-6</v>
      </c>
      <c r="BD395" s="236">
        <f ca="1" t="shared" si="123"/>
        <v>1.1571400132638e-6</v>
      </c>
    </row>
    <row r="396" s="234" customFormat="1" ht="0.2" customHeight="1" spans="7:56">
      <c r="G396" s="236"/>
      <c r="H396" s="236">
        <f t="shared" si="124"/>
        <v>755</v>
      </c>
      <c r="I396" s="236">
        <f>IF($H396&gt;$H395,INDEX(Spectra!396:396,1,MATCH($I$20,Spectra!$20:$20,0)),I395)</f>
        <v>0.941575861839882</v>
      </c>
      <c r="J396" s="236">
        <f>((Physics!$C$9*Physics!$C$10)/(Physics!$C$11*Physics!$C$12*$H396))^($J$17-$J$18)</f>
        <v>3.80182222073712e+18</v>
      </c>
      <c r="K396" s="236">
        <f t="shared" si="125"/>
        <v>1</v>
      </c>
      <c r="L396" s="236">
        <f ca="1">INDEX(Photobiology!$21:$421,1+$H396-380,10)</f>
        <v>8.48e-5</v>
      </c>
      <c r="M396" s="236">
        <f ca="1" t="shared" si="126"/>
        <v>0.941575861839882</v>
      </c>
      <c r="N396" s="236">
        <f ca="1">INDEX(Photobiology!$21:$421,1+$H396-380,N$14)</f>
        <v>3.65913135490967e-10</v>
      </c>
      <c r="O396" s="236">
        <f ca="1">INDEX(Photobiology!$21:$421,1+$H396-380,O$14)</f>
        <v>1.17313772290924e-5</v>
      </c>
      <c r="P396" s="236">
        <f ca="1">INDEX(Photobiology!$21:$421,1+$H396-380,P$14)</f>
        <v>0.000133992348772198</v>
      </c>
      <c r="Q396" s="236">
        <f ca="1">INDEX(Photobiology!$21:$421,1+$H396-380,Q$14)</f>
        <v>5.40490419200155e-7</v>
      </c>
      <c r="R396" s="236">
        <f ca="1">INDEX(Photobiology!$21:$421,1+$H396-380,R$14)</f>
        <v>8.19586884584814e-8</v>
      </c>
      <c r="S396" s="236">
        <f ca="1" t="shared" si="127"/>
        <v>3.57970403405257e+18</v>
      </c>
      <c r="T396" s="236">
        <f ca="1">INDEX(Photobiology!$21:$421,1+$H396-380,T$14)</f>
        <v>2.13247390219901e-10</v>
      </c>
      <c r="U396" s="236">
        <f ca="1">INDEX(Photobiology!$21:$421,1+$H396-380,U$14)</f>
        <v>8.43776281988504e-6</v>
      </c>
      <c r="V396" s="236">
        <f ca="1">INDEX(Photobiology!$21:$421,1+$H396-380,V$14)</f>
        <v>0.000101031338626733</v>
      </c>
      <c r="W396" s="236">
        <f ca="1">INDEX(Photobiology!$21:$421,1+$H396-380,W$14)</f>
        <v>3.64909156162938e-7</v>
      </c>
      <c r="X396" s="236">
        <f ca="1">INDEX(Photobiology!$21:$421,1+$H396-380,X$14)</f>
        <v>5.30589937674459e-8</v>
      </c>
      <c r="Y396" s="236">
        <f ca="1" t="shared" si="114"/>
        <v>0.941575861839882</v>
      </c>
      <c r="Z396" s="236">
        <f ca="1" t="shared" si="128"/>
        <v>3.44534975908441e-10</v>
      </c>
      <c r="AA396" s="236">
        <f ca="1" t="shared" si="115"/>
        <v>1.10459816250514e-5</v>
      </c>
      <c r="AB396" s="236">
        <f ca="1" t="shared" si="116"/>
        <v>0.000126163961275132</v>
      </c>
      <c r="AC396" s="236">
        <f ca="1" t="shared" si="117"/>
        <v>5.08912732274585e-7</v>
      </c>
      <c r="AD396" s="236">
        <f ca="1" t="shared" si="118"/>
        <v>7.7170322720561e-8</v>
      </c>
      <c r="AE396" s="236"/>
      <c r="AF396" s="236"/>
      <c r="AG396" s="236"/>
      <c r="AH396" s="236">
        <f t="shared" si="129"/>
        <v>755</v>
      </c>
      <c r="AI396" s="236">
        <f>IF($AH396&gt;$AH395,INDEX(Spectra!396:396,1,MATCH($AI$20,Spectra!$20:$20,0)),AI395)</f>
        <v>1</v>
      </c>
      <c r="AJ396" s="236">
        <f>((Physics!$C$9*Physics!$C$10)/(Physics!$C$11*Physics!$C$12*$AH396))^($AJ$17-$AJ$18)</f>
        <v>3.80182222073712e+18</v>
      </c>
      <c r="AK396" s="236">
        <f t="shared" si="130"/>
        <v>1</v>
      </c>
      <c r="AL396" s="236">
        <f ca="1">INDEX(Photobiology!$21:$421,1+$AH396-380,10)</f>
        <v>8.48e-5</v>
      </c>
      <c r="AM396" s="236">
        <f ca="1" t="shared" si="131"/>
        <v>13.3319879209511</v>
      </c>
      <c r="AN396" s="236">
        <f ca="1">INDEX(Photobiology!$21:$421,1+$AH396-380,AN$14)</f>
        <v>3.65913135490967e-10</v>
      </c>
      <c r="AO396" s="236">
        <f ca="1">INDEX(Photobiology!$21:$421,1+$AH396-380,AO$14)</f>
        <v>1.17313772290924e-5</v>
      </c>
      <c r="AP396" s="236">
        <f ca="1">INDEX(Photobiology!$21:$421,1+$AH396-380,AP$14)</f>
        <v>0.000133992348772198</v>
      </c>
      <c r="AQ396" s="236">
        <f ca="1">INDEX(Photobiology!$21:$421,1+$AH396-380,AQ$14)</f>
        <v>5.40490419200155e-7</v>
      </c>
      <c r="AR396" s="236">
        <f ca="1">INDEX(Photobiology!$21:$421,1+$AH396-380,AR$14)</f>
        <v>8.19586884584814e-8</v>
      </c>
      <c r="AS396" s="236">
        <f ca="1" t="shared" si="132"/>
        <v>5.0685847924471e+19</v>
      </c>
      <c r="AT396" s="236">
        <f ca="1">INDEX(Photobiology!$21:$421,1+$AH396-380,AT$14)</f>
        <v>2.13247390219901e-10</v>
      </c>
      <c r="AU396" s="236">
        <f ca="1">INDEX(Photobiology!$21:$421,1+$AH396-380,AU$14)</f>
        <v>8.43776281988504e-6</v>
      </c>
      <c r="AV396" s="236">
        <f ca="1">INDEX(Photobiology!$21:$421,1+$AH396-380,AV$14)</f>
        <v>0.000101031338626733</v>
      </c>
      <c r="AW396" s="236">
        <f ca="1">INDEX(Photobiology!$21:$421,1+$AH396-380,AW$14)</f>
        <v>3.64909156162938e-7</v>
      </c>
      <c r="AX396" s="236">
        <f ca="1">INDEX(Photobiology!$21:$421,1+$AH396-380,AX$14)</f>
        <v>5.30589937674459e-8</v>
      </c>
      <c r="AY396" s="236">
        <f ca="1" t="shared" si="119"/>
        <v>13.3319879209511</v>
      </c>
      <c r="AZ396" s="236">
        <f ca="1" t="shared" si="133"/>
        <v>4.87834950248293e-9</v>
      </c>
      <c r="BA396" s="236">
        <f ca="1" t="shared" si="120"/>
        <v>0.000156402579514381</v>
      </c>
      <c r="BB396" s="236">
        <f ca="1" t="shared" si="121"/>
        <v>0.00178638437533082</v>
      </c>
      <c r="BC396" s="236">
        <f ca="1" t="shared" si="122"/>
        <v>7.20581174016628e-6</v>
      </c>
      <c r="BD396" s="236">
        <f ca="1" t="shared" si="123"/>
        <v>1.09267224454547e-6</v>
      </c>
    </row>
    <row r="397" s="234" customFormat="1" ht="0.2" customHeight="1" spans="7:56">
      <c r="G397" s="236"/>
      <c r="H397" s="236">
        <f t="shared" si="124"/>
        <v>756</v>
      </c>
      <c r="I397" s="236">
        <f>IF($H397&gt;$H396,INDEX(Spectra!397:397,1,MATCH($I$20,Spectra!$20:$20,0)),I396)</f>
        <v>0.913523943558157</v>
      </c>
      <c r="J397" s="236">
        <f>((Physics!$C$9*Physics!$C$10)/(Physics!$C$11*Physics!$C$12*$H397))^($J$17-$J$18)</f>
        <v>3.80685774685731e+18</v>
      </c>
      <c r="K397" s="236">
        <f t="shared" si="125"/>
        <v>1</v>
      </c>
      <c r="L397" s="236">
        <f ca="1">INDEX(Photobiology!$21:$421,1+$H397-380,10)</f>
        <v>7.914667e-5</v>
      </c>
      <c r="M397" s="236">
        <f ca="1" t="shared" si="126"/>
        <v>0.913523943558157</v>
      </c>
      <c r="N397" s="236">
        <f ca="1">INDEX(Photobiology!$21:$421,1+$H397-380,N$14)</f>
        <v>3.48162506278146e-10</v>
      </c>
      <c r="O397" s="236">
        <f ca="1">INDEX(Photobiology!$21:$421,1+$H397-380,O$14)</f>
        <v>1.10117920132131e-5</v>
      </c>
      <c r="P397" s="236">
        <f ca="1">INDEX(Photobiology!$21:$421,1+$H397-380,P$14)</f>
        <v>0.00012538829586969</v>
      </c>
      <c r="Q397" s="236">
        <f ca="1">INDEX(Photobiology!$21:$421,1+$H397-380,Q$14)</f>
        <v>5.09444643196365e-7</v>
      </c>
      <c r="R397" s="236">
        <f ca="1">INDEX(Photobiology!$21:$421,1+$H397-380,R$14)</f>
        <v>7.74042844077423e-8</v>
      </c>
      <c r="S397" s="236">
        <f ca="1" t="shared" si="127"/>
        <v>3.47765570147401e+18</v>
      </c>
      <c r="T397" s="236">
        <f ca="1">INDEX(Photobiology!$21:$421,1+$H397-380,T$14)</f>
        <v>2.02634262913207e-10</v>
      </c>
      <c r="U397" s="236">
        <f ca="1">INDEX(Photobiology!$21:$421,1+$H397-380,U$14)</f>
        <v>7.90972654997848e-6</v>
      </c>
      <c r="V397" s="236">
        <f ca="1">INDEX(Photobiology!$21:$421,1+$H397-380,V$14)</f>
        <v>9.44187536606659e-5</v>
      </c>
      <c r="W397" s="236">
        <f ca="1">INDEX(Photobiology!$21:$421,1+$H397-380,W$14)</f>
        <v>3.43493811272268e-7</v>
      </c>
      <c r="X397" s="236">
        <f ca="1">INDEX(Photobiology!$21:$421,1+$H397-380,X$14)</f>
        <v>5.00442477801635e-8</v>
      </c>
      <c r="Y397" s="236">
        <f ca="1" t="shared" si="114"/>
        <v>0.913523943558157</v>
      </c>
      <c r="Z397" s="236">
        <f ca="1" t="shared" si="128"/>
        <v>3.18054785734304e-10</v>
      </c>
      <c r="AA397" s="236">
        <f ca="1" t="shared" si="115"/>
        <v>1.00595356655526e-5</v>
      </c>
      <c r="AB397" s="236">
        <f ca="1" t="shared" si="116"/>
        <v>0.000114545210518916</v>
      </c>
      <c r="AC397" s="236">
        <f ca="1" t="shared" si="117"/>
        <v>4.65389879477322e-7</v>
      </c>
      <c r="AD397" s="236">
        <f ca="1" t="shared" si="118"/>
        <v>7.07106671404579e-8</v>
      </c>
      <c r="AE397" s="236"/>
      <c r="AF397" s="236"/>
      <c r="AG397" s="236"/>
      <c r="AH397" s="236">
        <f t="shared" si="129"/>
        <v>756</v>
      </c>
      <c r="AI397" s="236">
        <f>IF($AH397&gt;$AH396,INDEX(Spectra!397:397,1,MATCH($AI$20,Spectra!$20:$20,0)),AI396)</f>
        <v>1</v>
      </c>
      <c r="AJ397" s="236">
        <f>((Physics!$C$9*Physics!$C$10)/(Physics!$C$11*Physics!$C$12*$AH397))^($AJ$17-$AJ$18)</f>
        <v>3.80685774685731e+18</v>
      </c>
      <c r="AK397" s="236">
        <f t="shared" si="130"/>
        <v>1</v>
      </c>
      <c r="AL397" s="236">
        <f ca="1">INDEX(Photobiology!$21:$421,1+$AH397-380,10)</f>
        <v>7.914667e-5</v>
      </c>
      <c r="AM397" s="236">
        <f ca="1" t="shared" si="131"/>
        <v>13.3319879209511</v>
      </c>
      <c r="AN397" s="236">
        <f ca="1">INDEX(Photobiology!$21:$421,1+$AH397-380,AN$14)</f>
        <v>3.48162506278146e-10</v>
      </c>
      <c r="AO397" s="236">
        <f ca="1">INDEX(Photobiology!$21:$421,1+$AH397-380,AO$14)</f>
        <v>1.10117920132131e-5</v>
      </c>
      <c r="AP397" s="236">
        <f ca="1">INDEX(Photobiology!$21:$421,1+$AH397-380,AP$14)</f>
        <v>0.00012538829586969</v>
      </c>
      <c r="AQ397" s="236">
        <f ca="1">INDEX(Photobiology!$21:$421,1+$AH397-380,AQ$14)</f>
        <v>5.09444643196365e-7</v>
      </c>
      <c r="AR397" s="236">
        <f ca="1">INDEX(Photobiology!$21:$421,1+$AH397-380,AR$14)</f>
        <v>7.74042844077423e-8</v>
      </c>
      <c r="AS397" s="236">
        <f ca="1" t="shared" si="132"/>
        <v>5.07529814978809e+19</v>
      </c>
      <c r="AT397" s="236">
        <f ca="1">INDEX(Photobiology!$21:$421,1+$AH397-380,AT$14)</f>
        <v>2.02634262913207e-10</v>
      </c>
      <c r="AU397" s="236">
        <f ca="1">INDEX(Photobiology!$21:$421,1+$AH397-380,AU$14)</f>
        <v>7.90972654997848e-6</v>
      </c>
      <c r="AV397" s="236">
        <f ca="1">INDEX(Photobiology!$21:$421,1+$AH397-380,AV$14)</f>
        <v>9.44187536606659e-5</v>
      </c>
      <c r="AW397" s="236">
        <f ca="1">INDEX(Photobiology!$21:$421,1+$AH397-380,AW$14)</f>
        <v>3.43493811272268e-7</v>
      </c>
      <c r="AX397" s="236">
        <f ca="1">INDEX(Photobiology!$21:$421,1+$AH397-380,AX$14)</f>
        <v>5.00442477801635e-8</v>
      </c>
      <c r="AY397" s="236">
        <f ca="1" t="shared" si="119"/>
        <v>13.3319879209511</v>
      </c>
      <c r="AZ397" s="236">
        <f ca="1" t="shared" si="133"/>
        <v>4.64169832822832e-9</v>
      </c>
      <c r="BA397" s="236">
        <f ca="1" t="shared" si="120"/>
        <v>0.000146809078108183</v>
      </c>
      <c r="BB397" s="236">
        <f ca="1" t="shared" si="121"/>
        <v>0.00167167524596336</v>
      </c>
      <c r="BC397" s="236">
        <f ca="1" t="shared" si="122"/>
        <v>6.7919098294872e-6</v>
      </c>
      <c r="BD397" s="236">
        <f ca="1" t="shared" si="123"/>
        <v>1.03195298475389e-6</v>
      </c>
    </row>
    <row r="398" s="234" customFormat="1" ht="0.2" customHeight="1" spans="7:56">
      <c r="G398" s="236"/>
      <c r="H398" s="236">
        <f t="shared" si="124"/>
        <v>757</v>
      </c>
      <c r="I398" s="236">
        <f>IF($H398&gt;$H397,INDEX(Spectra!398:398,1,MATCH($I$20,Spectra!$20:$20,0)),I397)</f>
        <v>0.888405781831483</v>
      </c>
      <c r="J398" s="236">
        <f>((Physics!$C$9*Physics!$C$10)/(Physics!$C$11*Physics!$C$12*$H398))^($J$17-$J$18)</f>
        <v>3.81189327297749e+18</v>
      </c>
      <c r="K398" s="236">
        <f t="shared" si="125"/>
        <v>1</v>
      </c>
      <c r="L398" s="236">
        <f ca="1">INDEX(Photobiology!$21:$421,1+$H398-380,10)</f>
        <v>7.3858e-5</v>
      </c>
      <c r="M398" s="236">
        <f ca="1" t="shared" si="126"/>
        <v>0.888405781831483</v>
      </c>
      <c r="N398" s="236">
        <f ca="1">INDEX(Photobiology!$21:$421,1+$H398-380,N$14)</f>
        <v>3.31317213404312e-10</v>
      </c>
      <c r="O398" s="236">
        <f ca="1">INDEX(Photobiology!$21:$421,1+$H398-380,O$14)</f>
        <v>1.03380350437378e-5</v>
      </c>
      <c r="P398" s="236">
        <f ca="1">INDEX(Photobiology!$21:$421,1+$H398-380,P$14)</f>
        <v>0.000117355378908567</v>
      </c>
      <c r="Q398" s="236">
        <f ca="1">INDEX(Photobiology!$21:$421,1+$H398-380,Q$14)</f>
        <v>4.80257327711578e-7</v>
      </c>
      <c r="R398" s="236">
        <f ca="1">INDEX(Photobiology!$21:$421,1+$H398-380,R$14)</f>
        <v>7.3114245051108e-8</v>
      </c>
      <c r="S398" s="236">
        <f ca="1" t="shared" si="127"/>
        <v>3.38650802343774e+18</v>
      </c>
      <c r="T398" s="236">
        <f ca="1">INDEX(Photobiology!$21:$421,1+$H398-380,T$14)</f>
        <v>1.92575394845307e-10</v>
      </c>
      <c r="U398" s="236">
        <f ca="1">INDEX(Photobiology!$21:$421,1+$H398-380,U$14)</f>
        <v>7.4159601186655e-6</v>
      </c>
      <c r="V398" s="236">
        <f ca="1">INDEX(Photobiology!$21:$421,1+$H398-380,V$14)</f>
        <v>8.82531426600906e-5</v>
      </c>
      <c r="W398" s="236">
        <f ca="1">INDEX(Photobiology!$21:$421,1+$H398-380,W$14)</f>
        <v>3.23386460361998e-7</v>
      </c>
      <c r="X398" s="236">
        <f ca="1">INDEX(Photobiology!$21:$421,1+$H398-380,X$14)</f>
        <v>4.72081608860104e-8</v>
      </c>
      <c r="Y398" s="236">
        <f ca="1" t="shared" si="114"/>
        <v>0.888405781831483</v>
      </c>
      <c r="Z398" s="236">
        <f ca="1" t="shared" si="128"/>
        <v>2.94344128008686e-10</v>
      </c>
      <c r="AA398" s="236">
        <f ca="1" t="shared" si="115"/>
        <v>9.18437010563315e-6</v>
      </c>
      <c r="AB398" s="236">
        <f ca="1" t="shared" si="116"/>
        <v>0.000104259197151395</v>
      </c>
      <c r="AC398" s="236">
        <f ca="1" t="shared" si="117"/>
        <v>4.26663386705903e-7</v>
      </c>
      <c r="AD398" s="236">
        <f ca="1" t="shared" si="118"/>
        <v>6.49551180376482e-8</v>
      </c>
      <c r="AE398" s="236"/>
      <c r="AF398" s="236"/>
      <c r="AG398" s="236"/>
      <c r="AH398" s="236">
        <f t="shared" si="129"/>
        <v>757</v>
      </c>
      <c r="AI398" s="236">
        <f>IF($AH398&gt;$AH397,INDEX(Spectra!398:398,1,MATCH($AI$20,Spectra!$20:$20,0)),AI397)</f>
        <v>1</v>
      </c>
      <c r="AJ398" s="236">
        <f>((Physics!$C$9*Physics!$C$10)/(Physics!$C$11*Physics!$C$12*$AH398))^($AJ$17-$AJ$18)</f>
        <v>3.81189327297749e+18</v>
      </c>
      <c r="AK398" s="236">
        <f t="shared" si="130"/>
        <v>1</v>
      </c>
      <c r="AL398" s="236">
        <f ca="1">INDEX(Photobiology!$21:$421,1+$AH398-380,10)</f>
        <v>7.3858e-5</v>
      </c>
      <c r="AM398" s="236">
        <f ca="1" t="shared" si="131"/>
        <v>13.3319879209511</v>
      </c>
      <c r="AN398" s="236">
        <f ca="1">INDEX(Photobiology!$21:$421,1+$AH398-380,AN$14)</f>
        <v>3.31317213404312e-10</v>
      </c>
      <c r="AO398" s="236">
        <f ca="1">INDEX(Photobiology!$21:$421,1+$AH398-380,AO$14)</f>
        <v>1.03380350437378e-5</v>
      </c>
      <c r="AP398" s="236">
        <f ca="1">INDEX(Photobiology!$21:$421,1+$AH398-380,AP$14)</f>
        <v>0.000117355378908567</v>
      </c>
      <c r="AQ398" s="236">
        <f ca="1">INDEX(Photobiology!$21:$421,1+$AH398-380,AQ$14)</f>
        <v>4.80257327711578e-7</v>
      </c>
      <c r="AR398" s="236">
        <f ca="1">INDEX(Photobiology!$21:$421,1+$AH398-380,AR$14)</f>
        <v>7.3114245051108e-8</v>
      </c>
      <c r="AS398" s="236">
        <f ca="1" t="shared" si="132"/>
        <v>5.08201150712908e+19</v>
      </c>
      <c r="AT398" s="236">
        <f ca="1">INDEX(Photobiology!$21:$421,1+$AH398-380,AT$14)</f>
        <v>1.92575394845307e-10</v>
      </c>
      <c r="AU398" s="236">
        <f ca="1">INDEX(Photobiology!$21:$421,1+$AH398-380,AU$14)</f>
        <v>7.4159601186655e-6</v>
      </c>
      <c r="AV398" s="236">
        <f ca="1">INDEX(Photobiology!$21:$421,1+$AH398-380,AV$14)</f>
        <v>8.82531426600906e-5</v>
      </c>
      <c r="AW398" s="236">
        <f ca="1">INDEX(Photobiology!$21:$421,1+$AH398-380,AW$14)</f>
        <v>3.23386460361998e-7</v>
      </c>
      <c r="AX398" s="236">
        <f ca="1">INDEX(Photobiology!$21:$421,1+$AH398-380,AX$14)</f>
        <v>4.72081608860104e-8</v>
      </c>
      <c r="AY398" s="236">
        <f ca="1" t="shared" si="119"/>
        <v>13.3319879209511</v>
      </c>
      <c r="AZ398" s="236">
        <f ca="1" t="shared" si="133"/>
        <v>4.41711708710948e-9</v>
      </c>
      <c r="BA398" s="236">
        <f ca="1" t="shared" si="120"/>
        <v>0.000137826558329482</v>
      </c>
      <c r="BB398" s="236">
        <f ca="1" t="shared" si="121"/>
        <v>0.00156458049406766</v>
      </c>
      <c r="BC398" s="236">
        <f ca="1" t="shared" si="122"/>
        <v>6.40278489199903e-6</v>
      </c>
      <c r="BD398" s="236">
        <f ca="1" t="shared" si="123"/>
        <v>9.74758231870834e-7</v>
      </c>
    </row>
    <row r="399" s="234" customFormat="1" ht="0.2" customHeight="1" spans="7:56">
      <c r="G399" s="236"/>
      <c r="H399" s="236">
        <f t="shared" si="124"/>
        <v>758</v>
      </c>
      <c r="I399" s="236">
        <f>IF($H399&gt;$H398,INDEX(Spectra!399:399,1,MATCH($I$20,Spectra!$20:$20,0)),I398)</f>
        <v>0.86033674776326</v>
      </c>
      <c r="J399" s="236">
        <f>((Physics!$C$9*Physics!$C$10)/(Physics!$C$11*Physics!$C$12*$H399))^($J$17-$J$18)</f>
        <v>3.81692879909767e+18</v>
      </c>
      <c r="K399" s="236">
        <f t="shared" si="125"/>
        <v>1</v>
      </c>
      <c r="L399" s="236">
        <f ca="1">INDEX(Photobiology!$21:$421,1+$H399-380,10)</f>
        <v>6.8916e-5</v>
      </c>
      <c r="M399" s="236">
        <f ca="1" t="shared" si="126"/>
        <v>0.86033674776326</v>
      </c>
      <c r="N399" s="236">
        <f ca="1">INDEX(Photobiology!$21:$421,1+$H399-380,N$14)</f>
        <v>3.15329062779711e-10</v>
      </c>
      <c r="O399" s="236">
        <f ca="1">INDEX(Photobiology!$21:$421,1+$H399-380,O$14)</f>
        <v>9.70713344594375e-6</v>
      </c>
      <c r="P399" s="236">
        <f ca="1">INDEX(Photobiology!$21:$421,1+$H399-380,P$14)</f>
        <v>0.000109855296351934</v>
      </c>
      <c r="Q399" s="236">
        <f ca="1">INDEX(Photobiology!$21:$421,1+$H399-380,Q$14)</f>
        <v>4.52814160769751e-7</v>
      </c>
      <c r="R399" s="236">
        <f ca="1">INDEX(Photobiology!$21:$421,1+$H399-380,R$14)</f>
        <v>6.9072472154065e-8</v>
      </c>
      <c r="S399" s="236">
        <f ca="1" t="shared" si="127"/>
        <v>3.28384410945962e+18</v>
      </c>
      <c r="T399" s="236">
        <f ca="1">INDEX(Photobiology!$21:$421,1+$H399-380,T$14)</f>
        <v>1.83040616916983e-10</v>
      </c>
      <c r="U399" s="236">
        <f ca="1">INDEX(Photobiology!$21:$421,1+$H399-380,U$14)</f>
        <v>6.954198123523e-6</v>
      </c>
      <c r="V399" s="236">
        <f ca="1">INDEX(Photobiology!$21:$421,1+$H399-380,V$14)</f>
        <v>8.2503971222826e-5</v>
      </c>
      <c r="W399" s="236">
        <f ca="1">INDEX(Photobiology!$21:$421,1+$H399-380,W$14)</f>
        <v>3.04505055018607e-7</v>
      </c>
      <c r="X399" s="236">
        <f ca="1">INDEX(Photobiology!$21:$421,1+$H399-380,X$14)</f>
        <v>4.45396454495389e-8</v>
      </c>
      <c r="Y399" s="236">
        <f ca="1" t="shared" si="114"/>
        <v>0.86033674776326</v>
      </c>
      <c r="Z399" s="236">
        <f ca="1" t="shared" si="128"/>
        <v>2.71289180347133e-10</v>
      </c>
      <c r="AA399" s="236">
        <f ca="1" t="shared" si="115"/>
        <v>8.35140361898721e-6</v>
      </c>
      <c r="AB399" s="236">
        <f ca="1" t="shared" si="116"/>
        <v>9.4512548387992e-5</v>
      </c>
      <c r="AC399" s="236">
        <f ca="1" t="shared" si="117"/>
        <v>3.89572662417798e-7</v>
      </c>
      <c r="AD399" s="236">
        <f ca="1" t="shared" si="118"/>
        <v>5.94255860529966e-8</v>
      </c>
      <c r="AE399" s="236"/>
      <c r="AF399" s="236"/>
      <c r="AG399" s="236"/>
      <c r="AH399" s="236">
        <f t="shared" si="129"/>
        <v>758</v>
      </c>
      <c r="AI399" s="236">
        <f>IF($AH399&gt;$AH398,INDEX(Spectra!399:399,1,MATCH($AI$20,Spectra!$20:$20,0)),AI398)</f>
        <v>1</v>
      </c>
      <c r="AJ399" s="236">
        <f>((Physics!$C$9*Physics!$C$10)/(Physics!$C$11*Physics!$C$12*$AH399))^($AJ$17-$AJ$18)</f>
        <v>3.81692879909767e+18</v>
      </c>
      <c r="AK399" s="236">
        <f t="shared" si="130"/>
        <v>1</v>
      </c>
      <c r="AL399" s="236">
        <f ca="1">INDEX(Photobiology!$21:$421,1+$AH399-380,10)</f>
        <v>6.8916e-5</v>
      </c>
      <c r="AM399" s="236">
        <f ca="1" t="shared" si="131"/>
        <v>13.3319879209511</v>
      </c>
      <c r="AN399" s="236">
        <f ca="1">INDEX(Photobiology!$21:$421,1+$AH399-380,AN$14)</f>
        <v>3.15329062779711e-10</v>
      </c>
      <c r="AO399" s="236">
        <f ca="1">INDEX(Photobiology!$21:$421,1+$AH399-380,AO$14)</f>
        <v>9.70713344594375e-6</v>
      </c>
      <c r="AP399" s="236">
        <f ca="1">INDEX(Photobiology!$21:$421,1+$AH399-380,AP$14)</f>
        <v>0.000109855296351934</v>
      </c>
      <c r="AQ399" s="236">
        <f ca="1">INDEX(Photobiology!$21:$421,1+$AH399-380,AQ$14)</f>
        <v>4.52814160769751e-7</v>
      </c>
      <c r="AR399" s="236">
        <f ca="1">INDEX(Photobiology!$21:$421,1+$AH399-380,AR$14)</f>
        <v>6.9072472154065e-8</v>
      </c>
      <c r="AS399" s="236">
        <f ca="1" t="shared" si="132"/>
        <v>5.08872486447007e+19</v>
      </c>
      <c r="AT399" s="236">
        <f ca="1">INDEX(Photobiology!$21:$421,1+$AH399-380,AT$14)</f>
        <v>1.83040616916983e-10</v>
      </c>
      <c r="AU399" s="236">
        <f ca="1">INDEX(Photobiology!$21:$421,1+$AH399-380,AU$14)</f>
        <v>6.954198123523e-6</v>
      </c>
      <c r="AV399" s="236">
        <f ca="1">INDEX(Photobiology!$21:$421,1+$AH399-380,AV$14)</f>
        <v>8.2503971222826e-5</v>
      </c>
      <c r="AW399" s="236">
        <f ca="1">INDEX(Photobiology!$21:$421,1+$AH399-380,AW$14)</f>
        <v>3.04505055018607e-7</v>
      </c>
      <c r="AX399" s="236">
        <f ca="1">INDEX(Photobiology!$21:$421,1+$AH399-380,AX$14)</f>
        <v>4.45396454495389e-8</v>
      </c>
      <c r="AY399" s="236">
        <f ca="1" t="shared" si="119"/>
        <v>13.3319879209511</v>
      </c>
      <c r="AZ399" s="236">
        <f ca="1" t="shared" si="133"/>
        <v>4.20396325610395e-9</v>
      </c>
      <c r="BA399" s="236">
        <f ca="1" t="shared" si="120"/>
        <v>0.000129415385848383</v>
      </c>
      <c r="BB399" s="236">
        <f ca="1" t="shared" si="121"/>
        <v>0.00146458948401649</v>
      </c>
      <c r="BC399" s="236">
        <f ca="1" t="shared" si="122"/>
        <v>6.03691292181795e-6</v>
      </c>
      <c r="BD399" s="236">
        <f ca="1" t="shared" si="123"/>
        <v>9.20873364428229e-7</v>
      </c>
    </row>
    <row r="400" s="234" customFormat="1" ht="0.2" customHeight="1" spans="7:56">
      <c r="G400" s="236"/>
      <c r="H400" s="236">
        <f t="shared" si="124"/>
        <v>759</v>
      </c>
      <c r="I400" s="236">
        <f>IF($H400&gt;$H399,INDEX(Spectra!400:400,1,MATCH($I$20,Spectra!$20:$20,0)),I399)</f>
        <v>0.838220805737631</v>
      </c>
      <c r="J400" s="236">
        <f>((Physics!$C$9*Physics!$C$10)/(Physics!$C$11*Physics!$C$12*$H400))^($J$17-$J$18)</f>
        <v>3.82196432521785e+18</v>
      </c>
      <c r="K400" s="236">
        <f t="shared" si="125"/>
        <v>1</v>
      </c>
      <c r="L400" s="236">
        <f ca="1">INDEX(Photobiology!$21:$421,1+$H400-380,10)</f>
        <v>6.430267e-5</v>
      </c>
      <c r="M400" s="236">
        <f ca="1" t="shared" si="126"/>
        <v>0.838220805737631</v>
      </c>
      <c r="N400" s="236">
        <f ca="1">INDEX(Photobiology!$21:$421,1+$H400-380,N$14)</f>
        <v>3.00151833071204e-10</v>
      </c>
      <c r="O400" s="236">
        <f ca="1">INDEX(Photobiology!$21:$421,1+$H400-380,O$14)</f>
        <v>9.11622425315527e-6</v>
      </c>
      <c r="P400" s="236">
        <f ca="1">INDEX(Photobiology!$21:$421,1+$H400-380,P$14)</f>
        <v>0.000102851114004157</v>
      </c>
      <c r="Q400" s="236">
        <f ca="1">INDEX(Photobiology!$21:$421,1+$H400-380,Q$14)</f>
        <v>4.2700503892478e-7</v>
      </c>
      <c r="R400" s="236">
        <f ca="1">INDEX(Photobiology!$21:$421,1+$H400-380,R$14)</f>
        <v>6.52640468901564e-8</v>
      </c>
      <c r="S400" s="236">
        <f ca="1" t="shared" si="127"/>
        <v>3.20365001618459e+18</v>
      </c>
      <c r="T400" s="236">
        <f ca="1">INDEX(Photobiology!$21:$421,1+$H400-380,T$14)</f>
        <v>1.74001062649973e-10</v>
      </c>
      <c r="U400" s="236">
        <f ca="1">INDEX(Photobiology!$21:$421,1+$H400-380,U$14)</f>
        <v>6.5222657354805e-6</v>
      </c>
      <c r="V400" s="236">
        <f ca="1">INDEX(Photobiology!$21:$421,1+$H400-380,V$14)</f>
        <v>7.71418914190256e-5</v>
      </c>
      <c r="W400" s="236">
        <f ca="1">INDEX(Photobiology!$21:$421,1+$H400-380,W$14)</f>
        <v>2.86770805623034e-7</v>
      </c>
      <c r="X400" s="236">
        <f ca="1">INDEX(Photobiology!$21:$421,1+$H400-380,X$14)</f>
        <v>4.20284317777764e-8</v>
      </c>
      <c r="Y400" s="236">
        <f ca="1" t="shared" si="114"/>
        <v>0.838220805737631</v>
      </c>
      <c r="Z400" s="236">
        <f ca="1" t="shared" si="128"/>
        <v>2.51593511360572e-10</v>
      </c>
      <c r="AA400" s="236">
        <f ca="1" t="shared" si="115"/>
        <v>7.64140883876474e-6</v>
      </c>
      <c r="AB400" s="236">
        <f ca="1" t="shared" si="116"/>
        <v>8.62119436515774e-5</v>
      </c>
      <c r="AC400" s="236">
        <f ca="1" t="shared" si="117"/>
        <v>3.57924507781558e-7</v>
      </c>
      <c r="AD400" s="236">
        <f ca="1" t="shared" si="118"/>
        <v>5.47056819699654e-8</v>
      </c>
      <c r="AE400" s="236"/>
      <c r="AF400" s="236"/>
      <c r="AG400" s="236"/>
      <c r="AH400" s="236">
        <f t="shared" si="129"/>
        <v>759</v>
      </c>
      <c r="AI400" s="236">
        <f>IF($AH400&gt;$AH399,INDEX(Spectra!400:400,1,MATCH($AI$20,Spectra!$20:$20,0)),AI399)</f>
        <v>1</v>
      </c>
      <c r="AJ400" s="236">
        <f>((Physics!$C$9*Physics!$C$10)/(Physics!$C$11*Physics!$C$12*$AH400))^($AJ$17-$AJ$18)</f>
        <v>3.82196432521785e+18</v>
      </c>
      <c r="AK400" s="236">
        <f t="shared" si="130"/>
        <v>1</v>
      </c>
      <c r="AL400" s="236">
        <f ca="1">INDEX(Photobiology!$21:$421,1+$AH400-380,10)</f>
        <v>6.430267e-5</v>
      </c>
      <c r="AM400" s="236">
        <f ca="1" t="shared" si="131"/>
        <v>13.3319879209511</v>
      </c>
      <c r="AN400" s="236">
        <f ca="1">INDEX(Photobiology!$21:$421,1+$AH400-380,AN$14)</f>
        <v>3.00151833071204e-10</v>
      </c>
      <c r="AO400" s="236">
        <f ca="1">INDEX(Photobiology!$21:$421,1+$AH400-380,AO$14)</f>
        <v>9.11622425315527e-6</v>
      </c>
      <c r="AP400" s="236">
        <f ca="1">INDEX(Photobiology!$21:$421,1+$AH400-380,AP$14)</f>
        <v>0.000102851114004157</v>
      </c>
      <c r="AQ400" s="236">
        <f ca="1">INDEX(Photobiology!$21:$421,1+$AH400-380,AQ$14)</f>
        <v>4.2700503892478e-7</v>
      </c>
      <c r="AR400" s="236">
        <f ca="1">INDEX(Photobiology!$21:$421,1+$AH400-380,AR$14)</f>
        <v>6.52640468901564e-8</v>
      </c>
      <c r="AS400" s="236">
        <f ca="1" t="shared" si="132"/>
        <v>5.09543822181106e+19</v>
      </c>
      <c r="AT400" s="236">
        <f ca="1">INDEX(Photobiology!$21:$421,1+$AH400-380,AT$14)</f>
        <v>1.74001062649973e-10</v>
      </c>
      <c r="AU400" s="236">
        <f ca="1">INDEX(Photobiology!$21:$421,1+$AH400-380,AU$14)</f>
        <v>6.5222657354805e-6</v>
      </c>
      <c r="AV400" s="236">
        <f ca="1">INDEX(Photobiology!$21:$421,1+$AH400-380,AV$14)</f>
        <v>7.71418914190256e-5</v>
      </c>
      <c r="AW400" s="236">
        <f ca="1">INDEX(Photobiology!$21:$421,1+$AH400-380,AW$14)</f>
        <v>2.86770805623034e-7</v>
      </c>
      <c r="AX400" s="236">
        <f ca="1">INDEX(Photobiology!$21:$421,1+$AH400-380,AX$14)</f>
        <v>4.20284317777764e-8</v>
      </c>
      <c r="AY400" s="236">
        <f ca="1" t="shared" si="119"/>
        <v>13.3319879209511</v>
      </c>
      <c r="AZ400" s="236">
        <f ca="1" t="shared" si="133"/>
        <v>4.00162061295663e-9</v>
      </c>
      <c r="BA400" s="236">
        <f ca="1" t="shared" si="120"/>
        <v>0.000121537391627748</v>
      </c>
      <c r="BB400" s="236">
        <f ca="1" t="shared" si="121"/>
        <v>0.00137120980955979</v>
      </c>
      <c r="BC400" s="236">
        <f ca="1" t="shared" si="122"/>
        <v>5.69282602113044e-6</v>
      </c>
      <c r="BD400" s="236">
        <f ca="1" t="shared" si="123"/>
        <v>8.70099484811954e-7</v>
      </c>
    </row>
    <row r="401" s="234" customFormat="1" ht="0.2" customHeight="1" spans="7:56">
      <c r="G401" s="236"/>
      <c r="H401" s="236">
        <f t="shared" si="124"/>
        <v>760</v>
      </c>
      <c r="I401" s="236">
        <f>IF($H401&gt;$H400,INDEX(Spectra!401:401,1,MATCH($I$20,Spectra!$20:$20,0)),I400)</f>
        <v>0.819276509563161</v>
      </c>
      <c r="J401" s="236">
        <f>((Physics!$C$9*Physics!$C$10)/(Physics!$C$11*Physics!$C$12*$H401))^($J$17-$J$18)</f>
        <v>3.82699985133803e+18</v>
      </c>
      <c r="K401" s="236">
        <f t="shared" si="125"/>
        <v>1</v>
      </c>
      <c r="L401" s="236">
        <f ca="1">INDEX(Photobiology!$21:$421,1+$H401-380,10)</f>
        <v>6e-5</v>
      </c>
      <c r="M401" s="236">
        <f ca="1" t="shared" si="126"/>
        <v>0.819276509563161</v>
      </c>
      <c r="N401" s="236">
        <f ca="1">INDEX(Photobiology!$21:$421,1+$H401-380,N$14)</f>
        <v>2.85742605197475e-10</v>
      </c>
      <c r="O401" s="236">
        <f ca="1">INDEX(Photobiology!$21:$421,1+$H401-380,O$14)</f>
        <v>8.56270535325167e-6</v>
      </c>
      <c r="P401" s="236">
        <f ca="1">INDEX(Photobiology!$21:$421,1+$H401-380,P$14)</f>
        <v>9.63090280531915e-5</v>
      </c>
      <c r="Q401" s="236">
        <f ca="1">INDEX(Photobiology!$21:$421,1+$H401-380,Q$14)</f>
        <v>4.02730943919266e-7</v>
      </c>
      <c r="R401" s="236">
        <f ca="1">INDEX(Photobiology!$21:$421,1+$H401-380,R$14)</f>
        <v>6.16749775391445e-8</v>
      </c>
      <c r="S401" s="236">
        <f ca="1" t="shared" si="127"/>
        <v>3.13537108030296e+18</v>
      </c>
      <c r="T401" s="236">
        <f ca="1">INDEX(Photobiology!$21:$421,1+$H401-380,T$14)</f>
        <v>1.65429929324854e-10</v>
      </c>
      <c r="U401" s="236">
        <f ca="1">INDEX(Photobiology!$21:$421,1+$H401-380,U$14)</f>
        <v>6.11818595656702e-6</v>
      </c>
      <c r="V401" s="236">
        <f ca="1">INDEX(Photobiology!$21:$421,1+$H401-380,V$14)</f>
        <v>7.21400545882151e-5</v>
      </c>
      <c r="W401" s="236">
        <f ca="1">INDEX(Photobiology!$21:$421,1+$H401-380,W$14)</f>
        <v>2.70112772105534e-7</v>
      </c>
      <c r="X401" s="236">
        <f ca="1">INDEX(Photobiology!$21:$421,1+$H401-380,X$14)</f>
        <v>3.96649004766671e-8</v>
      </c>
      <c r="Y401" s="236">
        <f ca="1" t="shared" si="114"/>
        <v>0.819276509563161</v>
      </c>
      <c r="Z401" s="236">
        <f ca="1" t="shared" si="128"/>
        <v>2.34102204219672e-10</v>
      </c>
      <c r="AA401" s="236">
        <f ca="1" t="shared" si="115"/>
        <v>7.01522335422982e-6</v>
      </c>
      <c r="AB401" s="236">
        <f ca="1" t="shared" si="116"/>
        <v>7.89037243428393e-5</v>
      </c>
      <c r="AC401" s="236">
        <f ca="1" t="shared" si="117"/>
        <v>3.29948002027253e-7</v>
      </c>
      <c r="AD401" s="236">
        <f ca="1" t="shared" si="118"/>
        <v>5.05288603256567e-8</v>
      </c>
      <c r="AE401" s="236"/>
      <c r="AF401" s="236"/>
      <c r="AG401" s="236"/>
      <c r="AH401" s="236">
        <f t="shared" si="129"/>
        <v>760</v>
      </c>
      <c r="AI401" s="236">
        <f>IF($AH401&gt;$AH400,INDEX(Spectra!401:401,1,MATCH($AI$20,Spectra!$20:$20,0)),AI400)</f>
        <v>1</v>
      </c>
      <c r="AJ401" s="236">
        <f>((Physics!$C$9*Physics!$C$10)/(Physics!$C$11*Physics!$C$12*$AH401))^($AJ$17-$AJ$18)</f>
        <v>3.82699985133803e+18</v>
      </c>
      <c r="AK401" s="236">
        <f t="shared" si="130"/>
        <v>1</v>
      </c>
      <c r="AL401" s="236">
        <f ca="1">INDEX(Photobiology!$21:$421,1+$AH401-380,10)</f>
        <v>6e-5</v>
      </c>
      <c r="AM401" s="236">
        <f ca="1" t="shared" si="131"/>
        <v>13.3319879209511</v>
      </c>
      <c r="AN401" s="236">
        <f ca="1">INDEX(Photobiology!$21:$421,1+$AH401-380,AN$14)</f>
        <v>2.85742605197475e-10</v>
      </c>
      <c r="AO401" s="236">
        <f ca="1">INDEX(Photobiology!$21:$421,1+$AH401-380,AO$14)</f>
        <v>8.56270535325167e-6</v>
      </c>
      <c r="AP401" s="236">
        <f ca="1">INDEX(Photobiology!$21:$421,1+$AH401-380,AP$14)</f>
        <v>9.63090280531915e-5</v>
      </c>
      <c r="AQ401" s="236">
        <f ca="1">INDEX(Photobiology!$21:$421,1+$AH401-380,AQ$14)</f>
        <v>4.02730943919266e-7</v>
      </c>
      <c r="AR401" s="236">
        <f ca="1">INDEX(Photobiology!$21:$421,1+$AH401-380,AR$14)</f>
        <v>6.16749775391445e-8</v>
      </c>
      <c r="AS401" s="236">
        <f ca="1" t="shared" si="132"/>
        <v>5.10215157915205e+19</v>
      </c>
      <c r="AT401" s="236">
        <f ca="1">INDEX(Photobiology!$21:$421,1+$AH401-380,AT$14)</f>
        <v>1.65429929324854e-10</v>
      </c>
      <c r="AU401" s="236">
        <f ca="1">INDEX(Photobiology!$21:$421,1+$AH401-380,AU$14)</f>
        <v>6.11818595656702e-6</v>
      </c>
      <c r="AV401" s="236">
        <f ca="1">INDEX(Photobiology!$21:$421,1+$AH401-380,AV$14)</f>
        <v>7.21400545882151e-5</v>
      </c>
      <c r="AW401" s="236">
        <f ca="1">INDEX(Photobiology!$21:$421,1+$AH401-380,AW$14)</f>
        <v>2.70112772105534e-7</v>
      </c>
      <c r="AX401" s="236">
        <f ca="1">INDEX(Photobiology!$21:$421,1+$AH401-380,AX$14)</f>
        <v>3.96649004766671e-8</v>
      </c>
      <c r="AY401" s="236">
        <f ca="1" t="shared" si="119"/>
        <v>13.3319879209511</v>
      </c>
      <c r="AZ401" s="236">
        <f ca="1" t="shared" si="133"/>
        <v>3.80951696099385e-9</v>
      </c>
      <c r="BA401" s="236">
        <f ca="1" t="shared" si="120"/>
        <v>0.000114157884340215</v>
      </c>
      <c r="BB401" s="236">
        <f ca="1" t="shared" si="121"/>
        <v>0.00128399079868369</v>
      </c>
      <c r="BC401" s="236">
        <f ca="1" t="shared" si="122"/>
        <v>5.36920407972491e-6</v>
      </c>
      <c r="BD401" s="236">
        <f ca="1" t="shared" si="123"/>
        <v>8.22250055576807e-7</v>
      </c>
    </row>
    <row r="402" s="234" customFormat="1" ht="0.2" customHeight="1" spans="7:56">
      <c r="G402" s="236"/>
      <c r="H402" s="236">
        <f t="shared" si="124"/>
        <v>761</v>
      </c>
      <c r="I402" s="236">
        <f>IF($H402&gt;$H401,INDEX(Spectra!402:402,1,MATCH($I$20,Spectra!$20:$20,0)),I401)</f>
        <v>0.796108913206406</v>
      </c>
      <c r="J402" s="236">
        <f>((Physics!$C$9*Physics!$C$10)/(Physics!$C$11*Physics!$C$12*$H402))^($J$17-$J$18)</f>
        <v>3.83203537745821e+18</v>
      </c>
      <c r="K402" s="236">
        <f t="shared" si="125"/>
        <v>1</v>
      </c>
      <c r="L402" s="236">
        <f ca="1">INDEX(Photobiology!$21:$421,1+$H402-380,10)</f>
        <v>5.598187e-5</v>
      </c>
      <c r="M402" s="236">
        <f ca="1" t="shared" si="126"/>
        <v>0.796108913206406</v>
      </c>
      <c r="N402" s="236">
        <f ca="1">INDEX(Photobiology!$21:$421,1+$H402-380,N$14)</f>
        <v>2.72067082811118e-10</v>
      </c>
      <c r="O402" s="236">
        <f ca="1">INDEX(Photobiology!$21:$421,1+$H402-380,O$14)</f>
        <v>8.04429521035967e-6</v>
      </c>
      <c r="P402" s="236">
        <f ca="1">INDEX(Photobiology!$21:$421,1+$H402-380,P$14)</f>
        <v>9.01998883562763e-5</v>
      </c>
      <c r="Q402" s="236">
        <f ca="1">INDEX(Photobiology!$21:$421,1+$H402-380,Q$14)</f>
        <v>3.7990411699509e-7</v>
      </c>
      <c r="R402" s="236">
        <f ca="1">INDEX(Photobiology!$21:$421,1+$H402-380,R$14)</f>
        <v>5.82933481134311e-8</v>
      </c>
      <c r="S402" s="236">
        <f ca="1" t="shared" si="127"/>
        <v>3.05071751971675e+18</v>
      </c>
      <c r="T402" s="236">
        <f ca="1">INDEX(Photobiology!$21:$421,1+$H402-380,T$14)</f>
        <v>1.57305540652946e-10</v>
      </c>
      <c r="U402" s="236">
        <f ca="1">INDEX(Photobiology!$21:$421,1+$H402-380,U$14)</f>
        <v>5.740220936104e-6</v>
      </c>
      <c r="V402" s="236">
        <f ca="1">INDEX(Photobiology!$21:$421,1+$H402-380,V$14)</f>
        <v>6.74752344326002e-5</v>
      </c>
      <c r="W402" s="236">
        <f ca="1">INDEX(Photobiology!$21:$421,1+$H402-380,W$14)</f>
        <v>2.54467929128738e-7</v>
      </c>
      <c r="X402" s="236">
        <f ca="1">INDEX(Photobiology!$21:$421,1+$H402-380,X$14)</f>
        <v>3.74408159214264e-8</v>
      </c>
      <c r="Y402" s="236">
        <f ca="1" t="shared" si="114"/>
        <v>0.796108913206406</v>
      </c>
      <c r="Z402" s="236">
        <f ca="1" t="shared" si="128"/>
        <v>2.16595029615996e-10</v>
      </c>
      <c r="AA402" s="236">
        <f ca="1" t="shared" si="115"/>
        <v>6.40413511743093e-6</v>
      </c>
      <c r="AB402" s="236">
        <f ca="1" t="shared" si="116"/>
        <v>7.18089350906543e-5</v>
      </c>
      <c r="AC402" s="236">
        <f ca="1" t="shared" si="117"/>
        <v>3.024450537036e-7</v>
      </c>
      <c r="AD402" s="236">
        <f ca="1" t="shared" si="118"/>
        <v>4.64078540137463e-8</v>
      </c>
      <c r="AE402" s="236"/>
      <c r="AF402" s="236"/>
      <c r="AG402" s="236"/>
      <c r="AH402" s="236">
        <f t="shared" si="129"/>
        <v>761</v>
      </c>
      <c r="AI402" s="236">
        <f>IF($AH402&gt;$AH401,INDEX(Spectra!402:402,1,MATCH($AI$20,Spectra!$20:$20,0)),AI401)</f>
        <v>1</v>
      </c>
      <c r="AJ402" s="236">
        <f>((Physics!$C$9*Physics!$C$10)/(Physics!$C$11*Physics!$C$12*$AH402))^($AJ$17-$AJ$18)</f>
        <v>3.83203537745821e+18</v>
      </c>
      <c r="AK402" s="236">
        <f t="shared" si="130"/>
        <v>1</v>
      </c>
      <c r="AL402" s="236">
        <f ca="1">INDEX(Photobiology!$21:$421,1+$AH402-380,10)</f>
        <v>5.598187e-5</v>
      </c>
      <c r="AM402" s="236">
        <f ca="1" t="shared" si="131"/>
        <v>13.3319879209511</v>
      </c>
      <c r="AN402" s="236">
        <f ca="1">INDEX(Photobiology!$21:$421,1+$AH402-380,AN$14)</f>
        <v>2.72067082811118e-10</v>
      </c>
      <c r="AO402" s="236">
        <f ca="1">INDEX(Photobiology!$21:$421,1+$AH402-380,AO$14)</f>
        <v>8.04429521035967e-6</v>
      </c>
      <c r="AP402" s="236">
        <f ca="1">INDEX(Photobiology!$21:$421,1+$AH402-380,AP$14)</f>
        <v>9.01998883562763e-5</v>
      </c>
      <c r="AQ402" s="236">
        <f ca="1">INDEX(Photobiology!$21:$421,1+$AH402-380,AQ$14)</f>
        <v>3.7990411699509e-7</v>
      </c>
      <c r="AR402" s="236">
        <f ca="1">INDEX(Photobiology!$21:$421,1+$AH402-380,AR$14)</f>
        <v>5.82933481134311e-8</v>
      </c>
      <c r="AS402" s="236">
        <f ca="1" t="shared" si="132"/>
        <v>5.10886493649304e+19</v>
      </c>
      <c r="AT402" s="236">
        <f ca="1">INDEX(Photobiology!$21:$421,1+$AH402-380,AT$14)</f>
        <v>1.57305540652946e-10</v>
      </c>
      <c r="AU402" s="236">
        <f ca="1">INDEX(Photobiology!$21:$421,1+$AH402-380,AU$14)</f>
        <v>5.740220936104e-6</v>
      </c>
      <c r="AV402" s="236">
        <f ca="1">INDEX(Photobiology!$21:$421,1+$AH402-380,AV$14)</f>
        <v>6.74752344326002e-5</v>
      </c>
      <c r="AW402" s="236">
        <f ca="1">INDEX(Photobiology!$21:$421,1+$AH402-380,AW$14)</f>
        <v>2.54467929128738e-7</v>
      </c>
      <c r="AX402" s="236">
        <f ca="1">INDEX(Photobiology!$21:$421,1+$AH402-380,AX$14)</f>
        <v>3.74408159214264e-8</v>
      </c>
      <c r="AY402" s="236">
        <f ca="1" t="shared" si="119"/>
        <v>13.3319879209511</v>
      </c>
      <c r="AZ402" s="236">
        <f ca="1" t="shared" si="133"/>
        <v>3.62719506172624e-9</v>
      </c>
      <c r="BA402" s="236">
        <f ca="1" t="shared" si="120"/>
        <v>0.00010724644657708</v>
      </c>
      <c r="BB402" s="236">
        <f ca="1" t="shared" si="121"/>
        <v>0.00120254382203702</v>
      </c>
      <c r="BC402" s="236">
        <f ca="1" t="shared" si="122"/>
        <v>5.06487709889815e-6</v>
      </c>
      <c r="BD402" s="236">
        <f ca="1" t="shared" si="123"/>
        <v>7.77166212920063e-7</v>
      </c>
    </row>
    <row r="403" s="234" customFormat="1" ht="0.2" customHeight="1" spans="7:56">
      <c r="G403" s="236"/>
      <c r="H403" s="236">
        <f t="shared" si="124"/>
        <v>762</v>
      </c>
      <c r="I403" s="236">
        <f>IF($H403&gt;$H402,INDEX(Spectra!403:403,1,MATCH($I$20,Spectra!$20:$20,0)),I402)</f>
        <v>0.770804209543117</v>
      </c>
      <c r="J403" s="236">
        <f>((Physics!$C$9*Physics!$C$10)/(Physics!$C$11*Physics!$C$12*$H403))^($J$17-$J$18)</f>
        <v>3.8370709035784e+18</v>
      </c>
      <c r="K403" s="236">
        <f t="shared" si="125"/>
        <v>1</v>
      </c>
      <c r="L403" s="236">
        <f ca="1">INDEX(Photobiology!$21:$421,1+$H403-380,10)</f>
        <v>5.22256e-5</v>
      </c>
      <c r="M403" s="236">
        <f ca="1" t="shared" si="126"/>
        <v>0.770804209543117</v>
      </c>
      <c r="N403" s="236">
        <f ca="1">INDEX(Photobiology!$21:$421,1+$H403-380,N$14)</f>
        <v>2.59080066586231e-10</v>
      </c>
      <c r="O403" s="236">
        <f ca="1">INDEX(Photobiology!$21:$421,1+$H403-380,O$14)</f>
        <v>7.55850665860826e-6</v>
      </c>
      <c r="P403" s="236">
        <f ca="1">INDEX(Photobiology!$21:$421,1+$H403-380,P$14)</f>
        <v>8.44918851443845e-5</v>
      </c>
      <c r="Q403" s="236">
        <f ca="1">INDEX(Photobiology!$21:$421,1+$H403-380,Q$14)</f>
        <v>3.58426408043714e-7</v>
      </c>
      <c r="R403" s="236">
        <f ca="1">INDEX(Photobiology!$21:$421,1+$H403-380,R$14)</f>
        <v>5.51053797996911e-8</v>
      </c>
      <c r="S403" s="236">
        <f ca="1" t="shared" si="127"/>
        <v>2.95763040479364e+18</v>
      </c>
      <c r="T403" s="236">
        <f ca="1">INDEX(Photobiology!$21:$421,1+$H403-380,T$14)</f>
        <v>1.49600038448742e-10</v>
      </c>
      <c r="U403" s="236">
        <f ca="1">INDEX(Photobiology!$21:$421,1+$H403-380,U$14)</f>
        <v>5.38649540579382e-6</v>
      </c>
      <c r="V403" s="236">
        <f ca="1">INDEX(Photobiology!$21:$421,1+$H403-380,V$14)</f>
        <v>6.3122339619147e-5</v>
      </c>
      <c r="W403" s="236">
        <f ca="1">INDEX(Photobiology!$21:$421,1+$H403-380,W$14)</f>
        <v>2.39766630981778e-7</v>
      </c>
      <c r="X403" s="236">
        <f ca="1">INDEX(Photobiology!$21:$421,1+$H403-380,X$14)</f>
        <v>3.53467908280963e-8</v>
      </c>
      <c r="Y403" s="236">
        <f ca="1" t="shared" si="114"/>
        <v>0.770804209543117</v>
      </c>
      <c r="Z403" s="236">
        <f ca="1" t="shared" si="128"/>
        <v>1.99700005933378e-10</v>
      </c>
      <c r="AA403" s="236">
        <f ca="1" t="shared" si="115"/>
        <v>5.82612875031493e-6</v>
      </c>
      <c r="AB403" s="236">
        <f ca="1" t="shared" si="116"/>
        <v>6.51267007415251e-5</v>
      </c>
      <c r="AC403" s="236">
        <f ca="1" t="shared" si="117"/>
        <v>2.76276584131514e-7</v>
      </c>
      <c r="AD403" s="236">
        <f ca="1" t="shared" si="118"/>
        <v>4.24754587180741e-8</v>
      </c>
      <c r="AE403" s="236"/>
      <c r="AF403" s="236"/>
      <c r="AG403" s="236"/>
      <c r="AH403" s="236">
        <f t="shared" si="129"/>
        <v>762</v>
      </c>
      <c r="AI403" s="236">
        <f>IF($AH403&gt;$AH402,INDEX(Spectra!403:403,1,MATCH($AI$20,Spectra!$20:$20,0)),AI402)</f>
        <v>1</v>
      </c>
      <c r="AJ403" s="236">
        <f>((Physics!$C$9*Physics!$C$10)/(Physics!$C$11*Physics!$C$12*$AH403))^($AJ$17-$AJ$18)</f>
        <v>3.8370709035784e+18</v>
      </c>
      <c r="AK403" s="236">
        <f t="shared" si="130"/>
        <v>1</v>
      </c>
      <c r="AL403" s="236">
        <f ca="1">INDEX(Photobiology!$21:$421,1+$AH403-380,10)</f>
        <v>5.22256e-5</v>
      </c>
      <c r="AM403" s="236">
        <f ca="1" t="shared" si="131"/>
        <v>13.3319879209511</v>
      </c>
      <c r="AN403" s="236">
        <f ca="1">INDEX(Photobiology!$21:$421,1+$AH403-380,AN$14)</f>
        <v>2.59080066586231e-10</v>
      </c>
      <c r="AO403" s="236">
        <f ca="1">INDEX(Photobiology!$21:$421,1+$AH403-380,AO$14)</f>
        <v>7.55850665860826e-6</v>
      </c>
      <c r="AP403" s="236">
        <f ca="1">INDEX(Photobiology!$21:$421,1+$AH403-380,AP$14)</f>
        <v>8.44918851443845e-5</v>
      </c>
      <c r="AQ403" s="236">
        <f ca="1">INDEX(Photobiology!$21:$421,1+$AH403-380,AQ$14)</f>
        <v>3.58426408043714e-7</v>
      </c>
      <c r="AR403" s="236">
        <f ca="1">INDEX(Photobiology!$21:$421,1+$AH403-380,AR$14)</f>
        <v>5.51053797996911e-8</v>
      </c>
      <c r="AS403" s="236">
        <f ca="1" t="shared" si="132"/>
        <v>5.11557829383403e+19</v>
      </c>
      <c r="AT403" s="236">
        <f ca="1">INDEX(Photobiology!$21:$421,1+$AH403-380,AT$14)</f>
        <v>1.49600038448742e-10</v>
      </c>
      <c r="AU403" s="236">
        <f ca="1">INDEX(Photobiology!$21:$421,1+$AH403-380,AU$14)</f>
        <v>5.38649540579382e-6</v>
      </c>
      <c r="AV403" s="236">
        <f ca="1">INDEX(Photobiology!$21:$421,1+$AH403-380,AV$14)</f>
        <v>6.3122339619147e-5</v>
      </c>
      <c r="AW403" s="236">
        <f ca="1">INDEX(Photobiology!$21:$421,1+$AH403-380,AW$14)</f>
        <v>2.39766630981778e-7</v>
      </c>
      <c r="AX403" s="236">
        <f ca="1">INDEX(Photobiology!$21:$421,1+$AH403-380,AX$14)</f>
        <v>3.53467908280963e-8</v>
      </c>
      <c r="AY403" s="236">
        <f ca="1" t="shared" si="119"/>
        <v>13.3319879209511</v>
      </c>
      <c r="AZ403" s="236">
        <f ca="1" t="shared" si="133"/>
        <v>3.45405231828685e-9</v>
      </c>
      <c r="BA403" s="236">
        <f ca="1" t="shared" si="120"/>
        <v>0.000100769919472994</v>
      </c>
      <c r="BB403" s="236">
        <f ca="1" t="shared" si="121"/>
        <v>0.00112644479216333</v>
      </c>
      <c r="BC403" s="236">
        <f ca="1" t="shared" si="122"/>
        <v>4.7785365425887e-6</v>
      </c>
      <c r="BD403" s="236">
        <f ca="1" t="shared" si="123"/>
        <v>7.34664257868907e-7</v>
      </c>
    </row>
    <row r="404" s="234" customFormat="1" ht="0.2" customHeight="1" spans="7:56">
      <c r="G404" s="236"/>
      <c r="H404" s="236">
        <f t="shared" si="124"/>
        <v>763</v>
      </c>
      <c r="I404" s="236">
        <f>IF($H404&gt;$H403,INDEX(Spectra!404:404,1,MATCH($I$20,Spectra!$20:$20,0)),I403)</f>
        <v>0.747365358174689</v>
      </c>
      <c r="J404" s="236">
        <f>((Physics!$C$9*Physics!$C$10)/(Physics!$C$11*Physics!$C$12*$H404))^($J$17-$J$18)</f>
        <v>3.84210642969858e+18</v>
      </c>
      <c r="K404" s="236">
        <f t="shared" si="125"/>
        <v>1</v>
      </c>
      <c r="L404" s="236">
        <f ca="1">INDEX(Photobiology!$21:$421,1+$H404-380,10)</f>
        <v>4.87184e-5</v>
      </c>
      <c r="M404" s="236">
        <f ca="1" t="shared" si="126"/>
        <v>0.747365358174689</v>
      </c>
      <c r="N404" s="236">
        <f ca="1">INDEX(Photobiology!$21:$421,1+$H404-380,N$14)</f>
        <v>2.46745931225095e-10</v>
      </c>
      <c r="O404" s="236">
        <f ca="1">INDEX(Photobiology!$21:$421,1+$H404-380,O$14)</f>
        <v>7.10321565276559e-6</v>
      </c>
      <c r="P404" s="236">
        <f ca="1">INDEX(Photobiology!$21:$421,1+$H404-380,P$14)</f>
        <v>7.91578518487337e-5</v>
      </c>
      <c r="Q404" s="236">
        <f ca="1">INDEX(Photobiology!$21:$421,1+$H404-380,Q$14)</f>
        <v>3.3821588401226e-7</v>
      </c>
      <c r="R404" s="236">
        <f ca="1">INDEX(Photobiology!$21:$421,1+$H404-380,R$14)</f>
        <v>5.20995533374661e-8</v>
      </c>
      <c r="S404" s="236">
        <f ca="1" t="shared" si="127"/>
        <v>2.87145724797695e+18</v>
      </c>
      <c r="T404" s="236">
        <f ca="1">INDEX(Photobiology!$21:$421,1+$H404-380,T$14)</f>
        <v>1.42291231637014e-10</v>
      </c>
      <c r="U404" s="236">
        <f ca="1">INDEX(Photobiology!$21:$421,1+$H404-380,U$14)</f>
        <v>5.05540236356247e-6</v>
      </c>
      <c r="V404" s="236">
        <f ca="1">INDEX(Photobiology!$21:$421,1+$H404-380,V$14)</f>
        <v>5.90598746587466e-5</v>
      </c>
      <c r="W404" s="236">
        <f ca="1">INDEX(Photobiology!$21:$421,1+$H404-380,W$14)</f>
        <v>2.25950431127551e-7</v>
      </c>
      <c r="X404" s="236">
        <f ca="1">INDEX(Photobiology!$21:$421,1+$H404-380,X$14)</f>
        <v>3.33749345930799e-8</v>
      </c>
      <c r="Y404" s="236">
        <f ca="1" t="shared" si="114"/>
        <v>0.747365358174689</v>
      </c>
      <c r="Z404" s="236">
        <f ca="1" t="shared" si="128"/>
        <v>1.8440936126819e-10</v>
      </c>
      <c r="AA404" s="236">
        <f ca="1" t="shared" si="115"/>
        <v>5.30869731052121e-6</v>
      </c>
      <c r="AB404" s="236">
        <f ca="1" t="shared" si="116"/>
        <v>5.91598362992678e-5</v>
      </c>
      <c r="AC404" s="236">
        <f ca="1" t="shared" si="117"/>
        <v>2.52770835295192e-7</v>
      </c>
      <c r="AD404" s="236">
        <f ca="1" t="shared" si="118"/>
        <v>3.89374013407967e-8</v>
      </c>
      <c r="AE404" s="236"/>
      <c r="AF404" s="236"/>
      <c r="AG404" s="236"/>
      <c r="AH404" s="236">
        <f t="shared" si="129"/>
        <v>763</v>
      </c>
      <c r="AI404" s="236">
        <f>IF($AH404&gt;$AH403,INDEX(Spectra!404:404,1,MATCH($AI$20,Spectra!$20:$20,0)),AI403)</f>
        <v>1</v>
      </c>
      <c r="AJ404" s="236">
        <f>((Physics!$C$9*Physics!$C$10)/(Physics!$C$11*Physics!$C$12*$AH404))^($AJ$17-$AJ$18)</f>
        <v>3.84210642969858e+18</v>
      </c>
      <c r="AK404" s="236">
        <f t="shared" si="130"/>
        <v>1</v>
      </c>
      <c r="AL404" s="236">
        <f ca="1">INDEX(Photobiology!$21:$421,1+$AH404-380,10)</f>
        <v>4.87184e-5</v>
      </c>
      <c r="AM404" s="236">
        <f ca="1" t="shared" si="131"/>
        <v>13.3319879209511</v>
      </c>
      <c r="AN404" s="236">
        <f ca="1">INDEX(Photobiology!$21:$421,1+$AH404-380,AN$14)</f>
        <v>2.46745931225095e-10</v>
      </c>
      <c r="AO404" s="236">
        <f ca="1">INDEX(Photobiology!$21:$421,1+$AH404-380,AO$14)</f>
        <v>7.10321565276559e-6</v>
      </c>
      <c r="AP404" s="236">
        <f ca="1">INDEX(Photobiology!$21:$421,1+$AH404-380,AP$14)</f>
        <v>7.91578518487337e-5</v>
      </c>
      <c r="AQ404" s="236">
        <f ca="1">INDEX(Photobiology!$21:$421,1+$AH404-380,AQ$14)</f>
        <v>3.3821588401226e-7</v>
      </c>
      <c r="AR404" s="236">
        <f ca="1">INDEX(Photobiology!$21:$421,1+$AH404-380,AR$14)</f>
        <v>5.20995533374661e-8</v>
      </c>
      <c r="AS404" s="236">
        <f ca="1" t="shared" si="132"/>
        <v>5.12229165117502e+19</v>
      </c>
      <c r="AT404" s="236">
        <f ca="1">INDEX(Photobiology!$21:$421,1+$AH404-380,AT$14)</f>
        <v>1.42291231637014e-10</v>
      </c>
      <c r="AU404" s="236">
        <f ca="1">INDEX(Photobiology!$21:$421,1+$AH404-380,AU$14)</f>
        <v>5.05540236356247e-6</v>
      </c>
      <c r="AV404" s="236">
        <f ca="1">INDEX(Photobiology!$21:$421,1+$AH404-380,AV$14)</f>
        <v>5.90598746587466e-5</v>
      </c>
      <c r="AW404" s="236">
        <f ca="1">INDEX(Photobiology!$21:$421,1+$AH404-380,AW$14)</f>
        <v>2.25950431127551e-7</v>
      </c>
      <c r="AX404" s="236">
        <f ca="1">INDEX(Photobiology!$21:$421,1+$AH404-380,AX$14)</f>
        <v>3.33749345930799e-8</v>
      </c>
      <c r="AY404" s="236">
        <f ca="1" t="shared" si="119"/>
        <v>13.3319879209511</v>
      </c>
      <c r="AZ404" s="236">
        <f ca="1" t="shared" si="133"/>
        <v>3.28961377463681e-9</v>
      </c>
      <c r="BA404" s="236">
        <f ca="1" t="shared" si="120"/>
        <v>9.46999852825819e-5</v>
      </c>
      <c r="BB404" s="236">
        <f ca="1" t="shared" si="121"/>
        <v>0.00105533152469576</v>
      </c>
      <c r="BC404" s="236">
        <f ca="1" t="shared" si="122"/>
        <v>4.50909008032526e-6</v>
      </c>
      <c r="BD404" s="236">
        <f ca="1" t="shared" si="123"/>
        <v>6.94590615782048e-7</v>
      </c>
    </row>
    <row r="405" s="234" customFormat="1" ht="0.2" customHeight="1" spans="7:56">
      <c r="G405" s="236"/>
      <c r="H405" s="236">
        <f t="shared" si="124"/>
        <v>764</v>
      </c>
      <c r="I405" s="236">
        <f>IF($H405&gt;$H404,INDEX(Spectra!405:405,1,MATCH($I$20,Spectra!$20:$20,0)),I404)</f>
        <v>0.727844320403879</v>
      </c>
      <c r="J405" s="236">
        <f>((Physics!$C$9*Physics!$C$10)/(Physics!$C$11*Physics!$C$12*$H405))^($J$17-$J$18)</f>
        <v>3.84714195581876e+18</v>
      </c>
      <c r="K405" s="236">
        <f t="shared" si="125"/>
        <v>1</v>
      </c>
      <c r="L405" s="236">
        <f ca="1">INDEX(Photobiology!$21:$421,1+$H405-380,10)</f>
        <v>4.544747e-5</v>
      </c>
      <c r="M405" s="236">
        <f ca="1" t="shared" si="126"/>
        <v>0.727844320403879</v>
      </c>
      <c r="N405" s="236">
        <f ca="1">INDEX(Photobiology!$21:$421,1+$H405-380,N$14)</f>
        <v>2.35027672637315e-10</v>
      </c>
      <c r="O405" s="236">
        <f ca="1">INDEX(Photobiology!$21:$421,1+$H405-380,O$14)</f>
        <v>6.67644076208779e-6</v>
      </c>
      <c r="P405" s="236">
        <f ca="1">INDEX(Photobiology!$21:$421,1+$H405-380,P$14)</f>
        <v>7.4172684921979e-5</v>
      </c>
      <c r="Q405" s="236">
        <f ca="1">INDEX(Photobiology!$21:$421,1+$H405-380,Q$14)</f>
        <v>3.1919347142973e-7</v>
      </c>
      <c r="R405" s="236">
        <f ca="1">INDEX(Photobiology!$21:$421,1+$H405-380,R$14)</f>
        <v>4.92650581788763e-8</v>
      </c>
      <c r="S405" s="236">
        <f ca="1" t="shared" si="127"/>
        <v>2.80012042233016e+18</v>
      </c>
      <c r="T405" s="236">
        <f ca="1">INDEX(Photobiology!$21:$421,1+$H405-380,T$14)</f>
        <v>1.35356251257092e-10</v>
      </c>
      <c r="U405" s="236">
        <f ca="1">INDEX(Photobiology!$21:$421,1+$H405-380,U$14)</f>
        <v>4.74544458771662e-6</v>
      </c>
      <c r="V405" s="236">
        <f ca="1">INDEX(Photobiology!$21:$421,1+$H405-380,V$14)</f>
        <v>5.5267993814968e-5</v>
      </c>
      <c r="W405" s="236">
        <f ca="1">INDEX(Photobiology!$21:$421,1+$H405-380,W$14)</f>
        <v>2.12963096919826e-7</v>
      </c>
      <c r="X405" s="236">
        <f ca="1">INDEX(Photobiology!$21:$421,1+$H405-380,X$14)</f>
        <v>3.15178513313425e-8</v>
      </c>
      <c r="Y405" s="236">
        <f ca="1" t="shared" ref="Y405:Y421" si="134">IF(TRUE,M405,S405)</f>
        <v>0.727844320403879</v>
      </c>
      <c r="Z405" s="236">
        <f ca="1" t="shared" si="128"/>
        <v>1.71063556666812e-10</v>
      </c>
      <c r="AA405" s="236">
        <f ca="1" t="shared" ref="AA405:AA421" si="135">$Y405*O405</f>
        <v>4.85940948919854e-6</v>
      </c>
      <c r="AB405" s="236">
        <f ca="1" t="shared" ref="AB405:AB421" si="136">$Y405*P405</f>
        <v>5.39861674495689e-5</v>
      </c>
      <c r="AC405" s="236">
        <f ca="1" t="shared" ref="AC405:AC421" si="137">$Y405*Q405</f>
        <v>2.32323155290127e-7</v>
      </c>
      <c r="AD405" s="236">
        <f ca="1" t="shared" ref="AD405:AD421" si="138">$Y405*R405</f>
        <v>3.58572927898618e-8</v>
      </c>
      <c r="AE405" s="236"/>
      <c r="AF405" s="236"/>
      <c r="AG405" s="236"/>
      <c r="AH405" s="236">
        <f t="shared" si="129"/>
        <v>764</v>
      </c>
      <c r="AI405" s="236">
        <f>IF($AH405&gt;$AH404,INDEX(Spectra!405:405,1,MATCH($AI$20,Spectra!$20:$20,0)),AI404)</f>
        <v>1</v>
      </c>
      <c r="AJ405" s="236">
        <f>((Physics!$C$9*Physics!$C$10)/(Physics!$C$11*Physics!$C$12*$AH405))^($AJ$17-$AJ$18)</f>
        <v>3.84714195581876e+18</v>
      </c>
      <c r="AK405" s="236">
        <f t="shared" si="130"/>
        <v>1</v>
      </c>
      <c r="AL405" s="236">
        <f ca="1">INDEX(Photobiology!$21:$421,1+$AH405-380,10)</f>
        <v>4.544747e-5</v>
      </c>
      <c r="AM405" s="236">
        <f ca="1" t="shared" si="131"/>
        <v>13.3319879209511</v>
      </c>
      <c r="AN405" s="236">
        <f ca="1">INDEX(Photobiology!$21:$421,1+$AH405-380,AN$14)</f>
        <v>2.35027672637315e-10</v>
      </c>
      <c r="AO405" s="236">
        <f ca="1">INDEX(Photobiology!$21:$421,1+$AH405-380,AO$14)</f>
        <v>6.67644076208779e-6</v>
      </c>
      <c r="AP405" s="236">
        <f ca="1">INDEX(Photobiology!$21:$421,1+$AH405-380,AP$14)</f>
        <v>7.4172684921979e-5</v>
      </c>
      <c r="AQ405" s="236">
        <f ca="1">INDEX(Photobiology!$21:$421,1+$AH405-380,AQ$14)</f>
        <v>3.1919347142973e-7</v>
      </c>
      <c r="AR405" s="236">
        <f ca="1">INDEX(Photobiology!$21:$421,1+$AH405-380,AR$14)</f>
        <v>4.92650581788763e-8</v>
      </c>
      <c r="AS405" s="236">
        <f ca="1" t="shared" si="132"/>
        <v>5.12900500851601e+19</v>
      </c>
      <c r="AT405" s="236">
        <f ca="1">INDEX(Photobiology!$21:$421,1+$AH405-380,AT$14)</f>
        <v>1.35356251257092e-10</v>
      </c>
      <c r="AU405" s="236">
        <f ca="1">INDEX(Photobiology!$21:$421,1+$AH405-380,AU$14)</f>
        <v>4.74544458771662e-6</v>
      </c>
      <c r="AV405" s="236">
        <f ca="1">INDEX(Photobiology!$21:$421,1+$AH405-380,AV$14)</f>
        <v>5.5267993814968e-5</v>
      </c>
      <c r="AW405" s="236">
        <f ca="1">INDEX(Photobiology!$21:$421,1+$AH405-380,AW$14)</f>
        <v>2.12963096919826e-7</v>
      </c>
      <c r="AX405" s="236">
        <f ca="1">INDEX(Photobiology!$21:$421,1+$AH405-380,AX$14)</f>
        <v>3.15178513313425e-8</v>
      </c>
      <c r="AY405" s="236">
        <f ca="1" t="shared" ref="AY405:AY421" si="139">IF(TRUE,AM405,AS405)</f>
        <v>13.3319879209511</v>
      </c>
      <c r="AZ405" s="236">
        <f ca="1" t="shared" si="133"/>
        <v>3.13338609268994e-9</v>
      </c>
      <c r="BA405" s="236">
        <f ca="1" t="shared" ref="BA405:BA421" si="140">$AY405*AO405</f>
        <v>8.90102275951003e-5</v>
      </c>
      <c r="BB405" s="236">
        <f ca="1" t="shared" ref="BB405:BB421" si="141">$AY405*AP405</f>
        <v>0.000988869339444339</v>
      </c>
      <c r="BC405" s="236">
        <f ca="1" t="shared" ref="BC405:BC421" si="142">$AY405*AQ405</f>
        <v>4.25548350554762e-6</v>
      </c>
      <c r="BD405" s="236">
        <f ca="1" t="shared" ref="BD405:BD421" si="143">$AY405*AR405</f>
        <v>6.56801160565734e-7</v>
      </c>
    </row>
    <row r="406" s="234" customFormat="1" ht="0.2" customHeight="1" spans="7:56">
      <c r="G406" s="236"/>
      <c r="H406" s="236">
        <f t="shared" ref="H406:H421" si="144">MIN(780,H405+$J$14)</f>
        <v>765</v>
      </c>
      <c r="I406" s="236">
        <f>IF($H406&gt;$H405,INDEX(Spectra!406:406,1,MATCH($I$20,Spectra!$20:$20,0)),I405)</f>
        <v>0.711749067709402</v>
      </c>
      <c r="J406" s="236">
        <f>((Physics!$C$9*Physics!$C$10)/(Physics!$C$11*Physics!$C$12*$H406))^($J$17-$J$18)</f>
        <v>3.85217748193894e+18</v>
      </c>
      <c r="K406" s="236">
        <f t="shared" ref="K406:K421" si="145">(H406&lt;&gt;H405)*1</f>
        <v>1</v>
      </c>
      <c r="L406" s="236">
        <f ca="1">INDEX(Photobiology!$21:$421,1+$H406-380,10)</f>
        <v>4.24e-5</v>
      </c>
      <c r="M406" s="236">
        <f ca="1" t="shared" ref="M406:M421" si="146">$I406*$J$15*IF($J$18,1,$J406)</f>
        <v>0.711749067709402</v>
      </c>
      <c r="N406" s="236">
        <f ca="1">INDEX(Photobiology!$21:$421,1+$H406-380,N$14)</f>
        <v>2.23896342943692e-10</v>
      </c>
      <c r="O406" s="236">
        <f ca="1">INDEX(Photobiology!$21:$421,1+$H406-380,O$14)</f>
        <v>6.27631887117564e-6</v>
      </c>
      <c r="P406" s="236">
        <f ca="1">INDEX(Photobiology!$21:$421,1+$H406-380,P$14)</f>
        <v>6.95126747704448e-5</v>
      </c>
      <c r="Q406" s="236">
        <f ca="1">INDEX(Photobiology!$21:$421,1+$H406-380,Q$14)</f>
        <v>3.01287421071713e-7</v>
      </c>
      <c r="R406" s="236">
        <f ca="1">INDEX(Photobiology!$21:$421,1+$H406-380,R$14)</f>
        <v>4.65916402528384e-8</v>
      </c>
      <c r="S406" s="236">
        <f ca="1" t="shared" ref="S406:S421" si="147">$I406*$J$15*IF($J$17,1,$J406)</f>
        <v>2.74178373142119e+18</v>
      </c>
      <c r="T406" s="236">
        <f ca="1">INDEX(Photobiology!$21:$421,1+$H406-380,T$14)</f>
        <v>1.28776981562385e-10</v>
      </c>
      <c r="U406" s="236">
        <f ca="1">INDEX(Photobiology!$21:$421,1+$H406-380,U$14)</f>
        <v>4.45521667078739e-6</v>
      </c>
      <c r="V406" s="236">
        <f ca="1">INDEX(Photobiology!$21:$421,1+$H406-380,V$14)</f>
        <v>5.17279924332768e-5</v>
      </c>
      <c r="W406" s="236">
        <f ca="1">INDEX(Photobiology!$21:$421,1+$H406-380,W$14)</f>
        <v>2.00753570024838e-7</v>
      </c>
      <c r="X406" s="236">
        <f ca="1">INDEX(Photobiology!$21:$421,1+$H406-380,X$14)</f>
        <v>2.97685393757901e-8</v>
      </c>
      <c r="Y406" s="236">
        <f ca="1" t="shared" si="134"/>
        <v>0.711749067709402</v>
      </c>
      <c r="Z406" s="236">
        <f ca="1" t="shared" ref="Z406:Z421" si="148">$Y406*N406</f>
        <v>1.59358013353717e-10</v>
      </c>
      <c r="AA406" s="236">
        <f ca="1" t="shared" si="135"/>
        <v>4.46716410520619e-6</v>
      </c>
      <c r="AB406" s="236">
        <f ca="1" t="shared" si="136"/>
        <v>4.9475581461851e-5</v>
      </c>
      <c r="AC406" s="236">
        <f ca="1" t="shared" si="137"/>
        <v>2.14441041060362e-7</v>
      </c>
      <c r="AD406" s="236">
        <f ca="1" t="shared" si="138"/>
        <v>3.31615565130096e-8</v>
      </c>
      <c r="AE406" s="236"/>
      <c r="AF406" s="236"/>
      <c r="AG406" s="236"/>
      <c r="AH406" s="236">
        <f t="shared" ref="AH406:AH421" si="149">MIN(780,AH405+$AJ$14)</f>
        <v>765</v>
      </c>
      <c r="AI406" s="236">
        <f>IF($AH406&gt;$AH405,INDEX(Spectra!406:406,1,MATCH($AI$20,Spectra!$20:$20,0)),AI405)</f>
        <v>1</v>
      </c>
      <c r="AJ406" s="236">
        <f>((Physics!$C$9*Physics!$C$10)/(Physics!$C$11*Physics!$C$12*$AH406))^($AJ$17-$AJ$18)</f>
        <v>3.85217748193894e+18</v>
      </c>
      <c r="AK406" s="236">
        <f t="shared" ref="AK406:AK421" si="150">(AH406&lt;&gt;AH405)*1</f>
        <v>1</v>
      </c>
      <c r="AL406" s="236">
        <f ca="1">INDEX(Photobiology!$21:$421,1+$AH406-380,10)</f>
        <v>4.24e-5</v>
      </c>
      <c r="AM406" s="236">
        <f ca="1" t="shared" ref="AM406:AM421" si="151">$AI406*$AJ$15*IF($AJ$18,1,$AJ406)</f>
        <v>13.3319879209511</v>
      </c>
      <c r="AN406" s="236">
        <f ca="1">INDEX(Photobiology!$21:$421,1+$AH406-380,AN$14)</f>
        <v>2.23896342943692e-10</v>
      </c>
      <c r="AO406" s="236">
        <f ca="1">INDEX(Photobiology!$21:$421,1+$AH406-380,AO$14)</f>
        <v>6.27631887117564e-6</v>
      </c>
      <c r="AP406" s="236">
        <f ca="1">INDEX(Photobiology!$21:$421,1+$AH406-380,AP$14)</f>
        <v>6.95126747704448e-5</v>
      </c>
      <c r="AQ406" s="236">
        <f ca="1">INDEX(Photobiology!$21:$421,1+$AH406-380,AQ$14)</f>
        <v>3.01287421071713e-7</v>
      </c>
      <c r="AR406" s="236">
        <f ca="1">INDEX(Photobiology!$21:$421,1+$AH406-380,AR$14)</f>
        <v>4.65916402528384e-8</v>
      </c>
      <c r="AS406" s="236">
        <f ca="1" t="shared" ref="AS406:AS421" si="152">$AI406*$AJ$15*IF($AJ$17,1,$AJ406)</f>
        <v>5.13571836585699e+19</v>
      </c>
      <c r="AT406" s="236">
        <f ca="1">INDEX(Photobiology!$21:$421,1+$AH406-380,AT$14)</f>
        <v>1.28776981562385e-10</v>
      </c>
      <c r="AU406" s="236">
        <f ca="1">INDEX(Photobiology!$21:$421,1+$AH406-380,AU$14)</f>
        <v>4.45521667078739e-6</v>
      </c>
      <c r="AV406" s="236">
        <f ca="1">INDEX(Photobiology!$21:$421,1+$AH406-380,AV$14)</f>
        <v>5.17279924332768e-5</v>
      </c>
      <c r="AW406" s="236">
        <f ca="1">INDEX(Photobiology!$21:$421,1+$AH406-380,AW$14)</f>
        <v>2.00753570024838e-7</v>
      </c>
      <c r="AX406" s="236">
        <f ca="1">INDEX(Photobiology!$21:$421,1+$AH406-380,AX$14)</f>
        <v>2.97685393757901e-8</v>
      </c>
      <c r="AY406" s="236">
        <f ca="1" t="shared" si="139"/>
        <v>13.3319879209511</v>
      </c>
      <c r="AZ406" s="236">
        <f ca="1" t="shared" ref="AZ406:AZ421" si="153">$AY406*AN406</f>
        <v>2.98498333967044e-9</v>
      </c>
      <c r="BA406" s="236">
        <f ca="1" t="shared" si="140"/>
        <v>8.36758073785513e-5</v>
      </c>
      <c r="BB406" s="236">
        <f ca="1" t="shared" si="141"/>
        <v>0.000926742140392575</v>
      </c>
      <c r="BC406" s="236">
        <f ca="1" t="shared" si="142"/>
        <v>4.0167602584626e-6</v>
      </c>
      <c r="BD406" s="236">
        <f ca="1" t="shared" si="143"/>
        <v>6.21159185068142e-7</v>
      </c>
    </row>
    <row r="407" s="234" customFormat="1" ht="0.2" customHeight="1" spans="7:56">
      <c r="G407" s="236"/>
      <c r="H407" s="236">
        <f t="shared" si="144"/>
        <v>766</v>
      </c>
      <c r="I407" s="236">
        <f>IF($H407&gt;$H406,INDEX(Spectra!407:407,1,MATCH($I$20,Spectra!$20:$20,0)),I406)</f>
        <v>0.689870582051165</v>
      </c>
      <c r="J407" s="236">
        <f>((Physics!$C$9*Physics!$C$10)/(Physics!$C$11*Physics!$C$12*$H407))^($J$17-$J$18)</f>
        <v>3.85721300805912e+18</v>
      </c>
      <c r="K407" s="236">
        <f t="shared" si="145"/>
        <v>1</v>
      </c>
      <c r="L407" s="236">
        <f ca="1">INDEX(Photobiology!$21:$421,1+$H407-380,10)</f>
        <v>3.956104e-5</v>
      </c>
      <c r="M407" s="236">
        <f ca="1" t="shared" si="146"/>
        <v>0.689870582051165</v>
      </c>
      <c r="N407" s="236">
        <f ca="1">INDEX(Photobiology!$21:$421,1+$H407-380,N$14)</f>
        <v>2.13319226375841e-10</v>
      </c>
      <c r="O407" s="236">
        <f ca="1">INDEX(Photobiology!$21:$421,1+$H407-380,O$14)</f>
        <v>5.90112752548329e-6</v>
      </c>
      <c r="P407" s="236">
        <f ca="1">INDEX(Photobiology!$21:$421,1+$H407-380,P$14)</f>
        <v>6.51559377943951e-5</v>
      </c>
      <c r="Q407" s="236">
        <f ca="1">INDEX(Photobiology!$21:$421,1+$H407-380,Q$14)</f>
        <v>2.84429082258787e-7</v>
      </c>
      <c r="R407" s="236">
        <f ca="1">INDEX(Photobiology!$21:$421,1+$H407-380,R$14)</f>
        <v>4.40697919251508e-8</v>
      </c>
      <c r="S407" s="236">
        <f ca="1" t="shared" si="147"/>
        <v>2.66097778296507e+18</v>
      </c>
      <c r="T407" s="236">
        <f ca="1">INDEX(Photobiology!$21:$421,1+$H407-380,T$14)</f>
        <v>1.22533237082729e-10</v>
      </c>
      <c r="U407" s="236">
        <f ca="1">INDEX(Photobiology!$21:$421,1+$H407-380,U$14)</f>
        <v>4.18342026137209e-6</v>
      </c>
      <c r="V407" s="236">
        <f ca="1">INDEX(Photobiology!$21:$421,1+$H407-380,V$14)</f>
        <v>4.84226205766122e-5</v>
      </c>
      <c r="W407" s="236">
        <f ca="1">INDEX(Photobiology!$21:$421,1+$H407-380,W$14)</f>
        <v>1.89273120656427e-7</v>
      </c>
      <c r="X407" s="236">
        <f ca="1">INDEX(Photobiology!$21:$421,1+$H407-380,X$14)</f>
        <v>2.81205099157461e-8</v>
      </c>
      <c r="Y407" s="236">
        <f ca="1" t="shared" si="134"/>
        <v>0.689870582051165</v>
      </c>
      <c r="Z407" s="236">
        <f ca="1" t="shared" si="148"/>
        <v>1.47162658862606e-10</v>
      </c>
      <c r="AA407" s="236">
        <f ca="1" t="shared" si="135"/>
        <v>4.07101428076331e-6</v>
      </c>
      <c r="AB407" s="236">
        <f ca="1" t="shared" si="136"/>
        <v>4.49491647303088e-5</v>
      </c>
      <c r="AC407" s="236">
        <f ca="1" t="shared" si="137"/>
        <v>1.96219256530148e-7</v>
      </c>
      <c r="AD407" s="236">
        <f ca="1" t="shared" si="138"/>
        <v>3.04024530062775e-8</v>
      </c>
      <c r="AE407" s="236"/>
      <c r="AF407" s="236"/>
      <c r="AG407" s="236"/>
      <c r="AH407" s="236">
        <f t="shared" si="149"/>
        <v>766</v>
      </c>
      <c r="AI407" s="236">
        <f>IF($AH407&gt;$AH406,INDEX(Spectra!407:407,1,MATCH($AI$20,Spectra!$20:$20,0)),AI406)</f>
        <v>1</v>
      </c>
      <c r="AJ407" s="236">
        <f>((Physics!$C$9*Physics!$C$10)/(Physics!$C$11*Physics!$C$12*$AH407))^($AJ$17-$AJ$18)</f>
        <v>3.85721300805912e+18</v>
      </c>
      <c r="AK407" s="236">
        <f t="shared" si="150"/>
        <v>1</v>
      </c>
      <c r="AL407" s="236">
        <f ca="1">INDEX(Photobiology!$21:$421,1+$AH407-380,10)</f>
        <v>3.956104e-5</v>
      </c>
      <c r="AM407" s="236">
        <f ca="1" t="shared" si="151"/>
        <v>13.3319879209511</v>
      </c>
      <c r="AN407" s="236">
        <f ca="1">INDEX(Photobiology!$21:$421,1+$AH407-380,AN$14)</f>
        <v>2.13319226375841e-10</v>
      </c>
      <c r="AO407" s="236">
        <f ca="1">INDEX(Photobiology!$21:$421,1+$AH407-380,AO$14)</f>
        <v>5.90112752548329e-6</v>
      </c>
      <c r="AP407" s="236">
        <f ca="1">INDEX(Photobiology!$21:$421,1+$AH407-380,AP$14)</f>
        <v>6.51559377943951e-5</v>
      </c>
      <c r="AQ407" s="236">
        <f ca="1">INDEX(Photobiology!$21:$421,1+$AH407-380,AQ$14)</f>
        <v>2.84429082258787e-7</v>
      </c>
      <c r="AR407" s="236">
        <f ca="1">INDEX(Photobiology!$21:$421,1+$AH407-380,AR$14)</f>
        <v>4.40697919251508e-8</v>
      </c>
      <c r="AS407" s="236">
        <f ca="1" t="shared" si="152"/>
        <v>5.14243172319798e+19</v>
      </c>
      <c r="AT407" s="236">
        <f ca="1">INDEX(Photobiology!$21:$421,1+$AH407-380,AT$14)</f>
        <v>1.22533237082729e-10</v>
      </c>
      <c r="AU407" s="236">
        <f ca="1">INDEX(Photobiology!$21:$421,1+$AH407-380,AU$14)</f>
        <v>4.18342026137209e-6</v>
      </c>
      <c r="AV407" s="236">
        <f ca="1">INDEX(Photobiology!$21:$421,1+$AH407-380,AV$14)</f>
        <v>4.84226205766122e-5</v>
      </c>
      <c r="AW407" s="236">
        <f ca="1">INDEX(Photobiology!$21:$421,1+$AH407-380,AW$14)</f>
        <v>1.89273120656427e-7</v>
      </c>
      <c r="AX407" s="236">
        <f ca="1">INDEX(Photobiology!$21:$421,1+$AH407-380,AX$14)</f>
        <v>2.81205099157461e-8</v>
      </c>
      <c r="AY407" s="236">
        <f ca="1" t="shared" si="139"/>
        <v>13.3319879209511</v>
      </c>
      <c r="AZ407" s="236">
        <f ca="1" t="shared" si="153"/>
        <v>2.84396934934935e-9</v>
      </c>
      <c r="BA407" s="236">
        <f ca="1" t="shared" si="140"/>
        <v>7.86737608897355e-5</v>
      </c>
      <c r="BB407" s="236">
        <f ca="1" t="shared" si="141"/>
        <v>0.000868658175653119</v>
      </c>
      <c r="BC407" s="236">
        <f ca="1" t="shared" si="142"/>
        <v>3.79200508904137e-6</v>
      </c>
      <c r="BD407" s="236">
        <f ca="1" t="shared" si="143"/>
        <v>5.87537933624941e-7</v>
      </c>
    </row>
    <row r="408" s="234" customFormat="1" ht="0.2" customHeight="1" spans="7:56">
      <c r="G408" s="236"/>
      <c r="H408" s="236">
        <f t="shared" si="144"/>
        <v>767</v>
      </c>
      <c r="I408" s="236">
        <f>IF($H408&gt;$H407,INDEX(Spectra!408:408,1,MATCH($I$20,Spectra!$20:$20,0)),I407)</f>
        <v>0.671282253963426</v>
      </c>
      <c r="J408" s="236">
        <f>((Physics!$C$9*Physics!$C$10)/(Physics!$C$11*Physics!$C$12*$H408))^($J$17-$J$18)</f>
        <v>3.8622485341793e+18</v>
      </c>
      <c r="K408" s="236">
        <f t="shared" si="145"/>
        <v>1</v>
      </c>
      <c r="L408" s="236">
        <f ca="1">INDEX(Photobiology!$21:$421,1+$H408-380,10)</f>
        <v>3.691512e-5</v>
      </c>
      <c r="M408" s="236">
        <f ca="1" t="shared" si="146"/>
        <v>0.671282253963426</v>
      </c>
      <c r="N408" s="236">
        <f ca="1">INDEX(Photobiology!$21:$421,1+$H408-380,N$14)</f>
        <v>2.03268929501892e-10</v>
      </c>
      <c r="O408" s="236">
        <f ca="1">INDEX(Photobiology!$21:$421,1+$H408-380,O$14)</f>
        <v>5.54925906300249e-6</v>
      </c>
      <c r="P408" s="236">
        <f ca="1">INDEX(Photobiology!$21:$421,1+$H408-380,P$14)</f>
        <v>6.10821056727232e-5</v>
      </c>
      <c r="Q408" s="236">
        <f ca="1">INDEX(Photobiology!$21:$421,1+$H408-380,Q$14)</f>
        <v>2.68554850013595e-7</v>
      </c>
      <c r="R408" s="236">
        <f ca="1">INDEX(Photobiology!$21:$421,1+$H408-380,R$14)</f>
        <v>4.16905860400813e-8</v>
      </c>
      <c r="S408" s="236">
        <f ca="1" t="shared" si="147"/>
        <v>2.59265890139082e+18</v>
      </c>
      <c r="T408" s="236">
        <f ca="1">INDEX(Photobiology!$21:$421,1+$H408-380,T$14)</f>
        <v>1.16607990848543e-10</v>
      </c>
      <c r="U408" s="236">
        <f ca="1">INDEX(Photobiology!$21:$421,1+$H408-380,U$14)</f>
        <v>3.92884505161989e-6</v>
      </c>
      <c r="V408" s="236">
        <f ca="1">INDEX(Photobiology!$21:$421,1+$H408-380,V$14)</f>
        <v>4.5335842925737e-5</v>
      </c>
      <c r="W408" s="236">
        <f ca="1">INDEX(Photobiology!$21:$421,1+$H408-380,W$14)</f>
        <v>1.78476626441329e-7</v>
      </c>
      <c r="X408" s="236">
        <f ca="1">INDEX(Photobiology!$21:$421,1+$H408-380,X$14)</f>
        <v>2.65676778952903e-8</v>
      </c>
      <c r="Y408" s="236">
        <f ca="1" t="shared" si="134"/>
        <v>0.671282253963426</v>
      </c>
      <c r="Z408" s="236">
        <f ca="1" t="shared" si="148"/>
        <v>1.36450825156763e-10</v>
      </c>
      <c r="AA408" s="236">
        <f ca="1" t="shared" si="135"/>
        <v>3.72511913163928e-6</v>
      </c>
      <c r="AB408" s="236">
        <f ca="1" t="shared" si="136"/>
        <v>4.10033335728178e-5</v>
      </c>
      <c r="AC408" s="236">
        <f ca="1" t="shared" si="137"/>
        <v>1.80276105029936e-7</v>
      </c>
      <c r="AD408" s="236">
        <f ca="1" t="shared" si="138"/>
        <v>2.79861505660419e-8</v>
      </c>
      <c r="AE408" s="236"/>
      <c r="AF408" s="236"/>
      <c r="AG408" s="236"/>
      <c r="AH408" s="236">
        <f t="shared" si="149"/>
        <v>767</v>
      </c>
      <c r="AI408" s="236">
        <f>IF($AH408&gt;$AH407,INDEX(Spectra!408:408,1,MATCH($AI$20,Spectra!$20:$20,0)),AI407)</f>
        <v>1</v>
      </c>
      <c r="AJ408" s="236">
        <f>((Physics!$C$9*Physics!$C$10)/(Physics!$C$11*Physics!$C$12*$AH408))^($AJ$17-$AJ$18)</f>
        <v>3.8622485341793e+18</v>
      </c>
      <c r="AK408" s="236">
        <f t="shared" si="150"/>
        <v>1</v>
      </c>
      <c r="AL408" s="236">
        <f ca="1">INDEX(Photobiology!$21:$421,1+$AH408-380,10)</f>
        <v>3.691512e-5</v>
      </c>
      <c r="AM408" s="236">
        <f ca="1" t="shared" si="151"/>
        <v>13.3319879209511</v>
      </c>
      <c r="AN408" s="236">
        <f ca="1">INDEX(Photobiology!$21:$421,1+$AH408-380,AN$14)</f>
        <v>2.03268929501892e-10</v>
      </c>
      <c r="AO408" s="236">
        <f ca="1">INDEX(Photobiology!$21:$421,1+$AH408-380,AO$14)</f>
        <v>5.54925906300249e-6</v>
      </c>
      <c r="AP408" s="236">
        <f ca="1">INDEX(Photobiology!$21:$421,1+$AH408-380,AP$14)</f>
        <v>6.10821056727232e-5</v>
      </c>
      <c r="AQ408" s="236">
        <f ca="1">INDEX(Photobiology!$21:$421,1+$AH408-380,AQ$14)</f>
        <v>2.68554850013595e-7</v>
      </c>
      <c r="AR408" s="236">
        <f ca="1">INDEX(Photobiology!$21:$421,1+$AH408-380,AR$14)</f>
        <v>4.16905860400813e-8</v>
      </c>
      <c r="AS408" s="236">
        <f ca="1" t="shared" si="152"/>
        <v>5.14914508053897e+19</v>
      </c>
      <c r="AT408" s="236">
        <f ca="1">INDEX(Photobiology!$21:$421,1+$AH408-380,AT$14)</f>
        <v>1.16607990848543e-10</v>
      </c>
      <c r="AU408" s="236">
        <f ca="1">INDEX(Photobiology!$21:$421,1+$AH408-380,AU$14)</f>
        <v>3.92884505161989e-6</v>
      </c>
      <c r="AV408" s="236">
        <f ca="1">INDEX(Photobiology!$21:$421,1+$AH408-380,AV$14)</f>
        <v>4.5335842925737e-5</v>
      </c>
      <c r="AW408" s="236">
        <f ca="1">INDEX(Photobiology!$21:$421,1+$AH408-380,AW$14)</f>
        <v>1.78476626441329e-7</v>
      </c>
      <c r="AX408" s="236">
        <f ca="1">INDEX(Photobiology!$21:$421,1+$AH408-380,AX$14)</f>
        <v>2.65676778952903e-8</v>
      </c>
      <c r="AY408" s="236">
        <f ca="1" t="shared" si="139"/>
        <v>13.3319879209511</v>
      </c>
      <c r="AZ408" s="236">
        <f ca="1" t="shared" si="153"/>
        <v>2.70997891282389e-9</v>
      </c>
      <c r="BA408" s="236">
        <f ca="1" t="shared" si="140"/>
        <v>7.39826547981778e-5</v>
      </c>
      <c r="BB408" s="236">
        <f ca="1" t="shared" si="141"/>
        <v>0.000814345895015007</v>
      </c>
      <c r="BC408" s="236">
        <f ca="1" t="shared" si="142"/>
        <v>3.58037001649409e-6</v>
      </c>
      <c r="BD408" s="236">
        <f ca="1" t="shared" si="143"/>
        <v>5.55818389503738e-7</v>
      </c>
    </row>
    <row r="409" s="234" customFormat="1" ht="0.2" customHeight="1" spans="7:56">
      <c r="G409" s="236"/>
      <c r="H409" s="236">
        <f t="shared" si="144"/>
        <v>768</v>
      </c>
      <c r="I409" s="236">
        <f>IF($H409&gt;$H408,INDEX(Spectra!409:409,1,MATCH($I$20,Spectra!$20:$20,0)),I408)</f>
        <v>0.645129553692124</v>
      </c>
      <c r="J409" s="236">
        <f>((Physics!$C$9*Physics!$C$10)/(Physics!$C$11*Physics!$C$12*$H409))^($J$17-$J$18)</f>
        <v>3.86728406029949e+18</v>
      </c>
      <c r="K409" s="236">
        <f t="shared" si="145"/>
        <v>1</v>
      </c>
      <c r="L409" s="236">
        <f ca="1">INDEX(Photobiology!$21:$421,1+$H409-380,10)</f>
        <v>3.444868e-5</v>
      </c>
      <c r="M409" s="236">
        <f ca="1" t="shared" si="146"/>
        <v>0.645129553692124</v>
      </c>
      <c r="N409" s="236">
        <f ca="1">INDEX(Photobiology!$21:$421,1+$H409-380,N$14)</f>
        <v>1.93715334135179e-10</v>
      </c>
      <c r="O409" s="236">
        <f ca="1">INDEX(Photobiology!$21:$421,1+$H409-380,O$14)</f>
        <v>5.21921274641591e-6</v>
      </c>
      <c r="P409" s="236">
        <f ca="1">INDEX(Photobiology!$21:$421,1+$H409-380,P$14)</f>
        <v>5.72720857957737e-5</v>
      </c>
      <c r="Q409" s="236">
        <f ca="1">INDEX(Photobiology!$21:$421,1+$H409-380,Q$14)</f>
        <v>2.53604526002616e-7</v>
      </c>
      <c r="R409" s="236">
        <f ca="1">INDEX(Photobiology!$21:$421,1+$H409-380,R$14)</f>
        <v>3.94455485536453e-8</v>
      </c>
      <c r="S409" s="236">
        <f ca="1" t="shared" si="147"/>
        <v>2.49489923982168e+18</v>
      </c>
      <c r="T409" s="236">
        <f ca="1">INDEX(Photobiology!$21:$421,1+$H409-380,T$14)</f>
        <v>1.10982743514946e-10</v>
      </c>
      <c r="U409" s="236">
        <f ca="1">INDEX(Photobiology!$21:$421,1+$H409-380,U$14)</f>
        <v>3.69036264089235e-6</v>
      </c>
      <c r="V409" s="236">
        <f ca="1">INDEX(Photobiology!$21:$421,1+$H409-380,V$14)</f>
        <v>4.24526532935713e-5</v>
      </c>
      <c r="W409" s="236">
        <f ca="1">INDEX(Photobiology!$21:$421,1+$H409-380,W$14)</f>
        <v>1.68321461063729e-7</v>
      </c>
      <c r="X409" s="236">
        <f ca="1">INDEX(Photobiology!$21:$421,1+$H409-380,X$14)</f>
        <v>2.51042783248127e-8</v>
      </c>
      <c r="Y409" s="236">
        <f ca="1" t="shared" si="134"/>
        <v>0.645129553692124</v>
      </c>
      <c r="Z409" s="236">
        <f ca="1" t="shared" si="148"/>
        <v>1.24971487053949e-10</v>
      </c>
      <c r="AA409" s="236">
        <f ca="1" t="shared" si="135"/>
        <v>3.36706838971954e-6</v>
      </c>
      <c r="AB409" s="236">
        <f ca="1" t="shared" si="136"/>
        <v>3.69479151484445e-5</v>
      </c>
      <c r="AC409" s="236">
        <f ca="1" t="shared" si="137"/>
        <v>1.6360777467437e-7</v>
      </c>
      <c r="AD409" s="236">
        <f ca="1" t="shared" si="138"/>
        <v>2.54474891335542e-8</v>
      </c>
      <c r="AE409" s="236"/>
      <c r="AF409" s="236"/>
      <c r="AG409" s="236"/>
      <c r="AH409" s="236">
        <f t="shared" si="149"/>
        <v>768</v>
      </c>
      <c r="AI409" s="236">
        <f>IF($AH409&gt;$AH408,INDEX(Spectra!409:409,1,MATCH($AI$20,Spectra!$20:$20,0)),AI408)</f>
        <v>1</v>
      </c>
      <c r="AJ409" s="236">
        <f>((Physics!$C$9*Physics!$C$10)/(Physics!$C$11*Physics!$C$12*$AH409))^($AJ$17-$AJ$18)</f>
        <v>3.86728406029949e+18</v>
      </c>
      <c r="AK409" s="236">
        <f t="shared" si="150"/>
        <v>1</v>
      </c>
      <c r="AL409" s="236">
        <f ca="1">INDEX(Photobiology!$21:$421,1+$AH409-380,10)</f>
        <v>3.444868e-5</v>
      </c>
      <c r="AM409" s="236">
        <f ca="1" t="shared" si="151"/>
        <v>13.3319879209511</v>
      </c>
      <c r="AN409" s="236">
        <f ca="1">INDEX(Photobiology!$21:$421,1+$AH409-380,AN$14)</f>
        <v>1.93715334135179e-10</v>
      </c>
      <c r="AO409" s="236">
        <f ca="1">INDEX(Photobiology!$21:$421,1+$AH409-380,AO$14)</f>
        <v>5.21921274641591e-6</v>
      </c>
      <c r="AP409" s="236">
        <f ca="1">INDEX(Photobiology!$21:$421,1+$AH409-380,AP$14)</f>
        <v>5.72720857957737e-5</v>
      </c>
      <c r="AQ409" s="236">
        <f ca="1">INDEX(Photobiology!$21:$421,1+$AH409-380,AQ$14)</f>
        <v>2.53604526002616e-7</v>
      </c>
      <c r="AR409" s="236">
        <f ca="1">INDEX(Photobiology!$21:$421,1+$AH409-380,AR$14)</f>
        <v>3.94455485536453e-8</v>
      </c>
      <c r="AS409" s="236">
        <f ca="1" t="shared" si="152"/>
        <v>5.15585843787996e+19</v>
      </c>
      <c r="AT409" s="236">
        <f ca="1">INDEX(Photobiology!$21:$421,1+$AH409-380,AT$14)</f>
        <v>1.10982743514946e-10</v>
      </c>
      <c r="AU409" s="236">
        <f ca="1">INDEX(Photobiology!$21:$421,1+$AH409-380,AU$14)</f>
        <v>3.69036264089235e-6</v>
      </c>
      <c r="AV409" s="236">
        <f ca="1">INDEX(Photobiology!$21:$421,1+$AH409-380,AV$14)</f>
        <v>4.24526532935713e-5</v>
      </c>
      <c r="AW409" s="236">
        <f ca="1">INDEX(Photobiology!$21:$421,1+$AH409-380,AW$14)</f>
        <v>1.68321461063729e-7</v>
      </c>
      <c r="AX409" s="236">
        <f ca="1">INDEX(Photobiology!$21:$421,1+$AH409-380,AX$14)</f>
        <v>2.51042783248127e-8</v>
      </c>
      <c r="AY409" s="236">
        <f ca="1" t="shared" si="139"/>
        <v>13.3319879209511</v>
      </c>
      <c r="AZ409" s="236">
        <f ca="1" t="shared" si="153"/>
        <v>2.58261049479322e-9</v>
      </c>
      <c r="BA409" s="236">
        <f ca="1" t="shared" si="140"/>
        <v>6.95824812920911e-5</v>
      </c>
      <c r="BB409" s="236">
        <f ca="1" t="shared" si="141"/>
        <v>0.000763550756036932</v>
      </c>
      <c r="BC409" s="236">
        <f ca="1" t="shared" si="142"/>
        <v>3.38105247736542e-6</v>
      </c>
      <c r="BD409" s="236">
        <f ca="1" t="shared" si="143"/>
        <v>5.25887576852491e-7</v>
      </c>
    </row>
    <row r="410" s="234" customFormat="1" ht="0.2" customHeight="1" spans="7:56">
      <c r="G410" s="236"/>
      <c r="H410" s="236">
        <f t="shared" si="144"/>
        <v>769</v>
      </c>
      <c r="I410" s="236">
        <f>IF($H410&gt;$H409,INDEX(Spectra!410:410,1,MATCH($I$20,Spectra!$20:$20,0)),I409)</f>
        <v>0.636836129548603</v>
      </c>
      <c r="J410" s="236">
        <f>((Physics!$C$9*Physics!$C$10)/(Physics!$C$11*Physics!$C$12*$H410))^($J$17-$J$18)</f>
        <v>3.87231958641967e+18</v>
      </c>
      <c r="K410" s="236">
        <f t="shared" si="145"/>
        <v>1</v>
      </c>
      <c r="L410" s="236">
        <f ca="1">INDEX(Photobiology!$21:$421,1+$H410-380,10)</f>
        <v>3.214816e-5</v>
      </c>
      <c r="M410" s="236">
        <f ca="1" t="shared" si="146"/>
        <v>0.636836129548603</v>
      </c>
      <c r="N410" s="236">
        <f ca="1">INDEX(Photobiology!$21:$421,1+$H410-380,N$14)</f>
        <v>1.84633711521404e-10</v>
      </c>
      <c r="O410" s="236">
        <f ca="1">INDEX(Photobiology!$21:$421,1+$H410-380,O$14)</f>
        <v>4.9095761438708e-6</v>
      </c>
      <c r="P410" s="236">
        <f ca="1">INDEX(Photobiology!$21:$421,1+$H410-380,P$14)</f>
        <v>5.37084971143234e-5</v>
      </c>
      <c r="Q410" s="236">
        <f ca="1">INDEX(Photobiology!$21:$421,1+$H410-380,Q$14)</f>
        <v>2.39523428794989e-7</v>
      </c>
      <c r="R410" s="236">
        <f ca="1">INDEX(Photobiology!$21:$421,1+$H410-380,R$14)</f>
        <v>3.73269925444891e-8</v>
      </c>
      <c r="S410" s="236">
        <f ca="1" t="shared" si="147"/>
        <v>2.46603301779075e+18</v>
      </c>
      <c r="T410" s="236">
        <f ca="1">INDEX(Photobiology!$21:$421,1+$H410-380,T$14)</f>
        <v>1.05642175642936e-10</v>
      </c>
      <c r="U410" s="236">
        <f ca="1">INDEX(Photobiology!$21:$421,1+$H410-380,U$14)</f>
        <v>3.46691285518067e-6</v>
      </c>
      <c r="V410" s="236">
        <f ca="1">INDEX(Photobiology!$21:$421,1+$H410-380,V$14)</f>
        <v>3.97593905846318e-5</v>
      </c>
      <c r="W410" s="236">
        <f ca="1">INDEX(Photobiology!$21:$421,1+$H410-380,W$14)</f>
        <v>1.5876887682788e-7</v>
      </c>
      <c r="X410" s="236">
        <f ca="1">INDEX(Photobiology!$21:$421,1+$H410-380,X$14)</f>
        <v>2.37250764976336e-8</v>
      </c>
      <c r="Y410" s="236">
        <f ca="1" t="shared" si="134"/>
        <v>0.636836129548603</v>
      </c>
      <c r="Z410" s="236">
        <f ca="1" t="shared" si="148"/>
        <v>1.17581418229484e-10</v>
      </c>
      <c r="AA410" s="236">
        <f ca="1" t="shared" si="135"/>
        <v>3.12659546918684e-6</v>
      </c>
      <c r="AB410" s="236">
        <f ca="1" t="shared" si="136"/>
        <v>3.4203511426158e-5</v>
      </c>
      <c r="AC410" s="236">
        <f ca="1" t="shared" si="137"/>
        <v>1.52537173330011e-7</v>
      </c>
      <c r="AD410" s="236">
        <f ca="1" t="shared" si="138"/>
        <v>2.3771177459722e-8</v>
      </c>
      <c r="AE410" s="236"/>
      <c r="AF410" s="236"/>
      <c r="AG410" s="236"/>
      <c r="AH410" s="236">
        <f t="shared" si="149"/>
        <v>769</v>
      </c>
      <c r="AI410" s="236">
        <f>IF($AH410&gt;$AH409,INDEX(Spectra!410:410,1,MATCH($AI$20,Spectra!$20:$20,0)),AI409)</f>
        <v>1</v>
      </c>
      <c r="AJ410" s="236">
        <f>((Physics!$C$9*Physics!$C$10)/(Physics!$C$11*Physics!$C$12*$AH410))^($AJ$17-$AJ$18)</f>
        <v>3.87231958641967e+18</v>
      </c>
      <c r="AK410" s="236">
        <f t="shared" si="150"/>
        <v>1</v>
      </c>
      <c r="AL410" s="236">
        <f ca="1">INDEX(Photobiology!$21:$421,1+$AH410-380,10)</f>
        <v>3.214816e-5</v>
      </c>
      <c r="AM410" s="236">
        <f ca="1" t="shared" si="151"/>
        <v>13.3319879209511</v>
      </c>
      <c r="AN410" s="236">
        <f ca="1">INDEX(Photobiology!$21:$421,1+$AH410-380,AN$14)</f>
        <v>1.84633711521404e-10</v>
      </c>
      <c r="AO410" s="236">
        <f ca="1">INDEX(Photobiology!$21:$421,1+$AH410-380,AO$14)</f>
        <v>4.9095761438708e-6</v>
      </c>
      <c r="AP410" s="236">
        <f ca="1">INDEX(Photobiology!$21:$421,1+$AH410-380,AP$14)</f>
        <v>5.37084971143234e-5</v>
      </c>
      <c r="AQ410" s="236">
        <f ca="1">INDEX(Photobiology!$21:$421,1+$AH410-380,AQ$14)</f>
        <v>2.39523428794989e-7</v>
      </c>
      <c r="AR410" s="236">
        <f ca="1">INDEX(Photobiology!$21:$421,1+$AH410-380,AR$14)</f>
        <v>3.73269925444891e-8</v>
      </c>
      <c r="AS410" s="236">
        <f ca="1" t="shared" si="152"/>
        <v>5.16257179522095e+19</v>
      </c>
      <c r="AT410" s="236">
        <f ca="1">INDEX(Photobiology!$21:$421,1+$AH410-380,AT$14)</f>
        <v>1.05642175642936e-10</v>
      </c>
      <c r="AU410" s="236">
        <f ca="1">INDEX(Photobiology!$21:$421,1+$AH410-380,AU$14)</f>
        <v>3.46691285518067e-6</v>
      </c>
      <c r="AV410" s="236">
        <f ca="1">INDEX(Photobiology!$21:$421,1+$AH410-380,AV$14)</f>
        <v>3.97593905846318e-5</v>
      </c>
      <c r="AW410" s="236">
        <f ca="1">INDEX(Photobiology!$21:$421,1+$AH410-380,AW$14)</f>
        <v>1.5876887682788e-7</v>
      </c>
      <c r="AX410" s="236">
        <f ca="1">INDEX(Photobiology!$21:$421,1+$AH410-380,AX$14)</f>
        <v>2.37250764976336e-8</v>
      </c>
      <c r="AY410" s="236">
        <f ca="1" t="shared" si="139"/>
        <v>13.3319879209511</v>
      </c>
      <c r="AZ410" s="236">
        <f ca="1" t="shared" si="153"/>
        <v>2.46153441180374e-9</v>
      </c>
      <c r="BA410" s="236">
        <f ca="1" t="shared" si="140"/>
        <v>6.54544098470754e-5</v>
      </c>
      <c r="BB410" s="236">
        <f ca="1" t="shared" si="141"/>
        <v>0.000716041034780599</v>
      </c>
      <c r="BC410" s="236">
        <f ca="1" t="shared" si="142"/>
        <v>3.19332345947959e-6</v>
      </c>
      <c r="BD410" s="236">
        <f ca="1" t="shared" si="143"/>
        <v>4.97643013728562e-7</v>
      </c>
    </row>
    <row r="411" s="234" customFormat="1" ht="0.2" customHeight="1" spans="7:56">
      <c r="G411" s="236"/>
      <c r="H411" s="236">
        <f t="shared" si="144"/>
        <v>770</v>
      </c>
      <c r="I411" s="236">
        <f>IF($H411&gt;$H410,INDEX(Spectra!411:411,1,MATCH($I$20,Spectra!$20:$20,0)),I410)</f>
        <v>0.611277286660141</v>
      </c>
      <c r="J411" s="236">
        <f>((Physics!$C$9*Physics!$C$10)/(Physics!$C$11*Physics!$C$12*$H411))^($J$17-$J$18)</f>
        <v>3.87735511253985e+18</v>
      </c>
      <c r="K411" s="236">
        <f t="shared" si="145"/>
        <v>1</v>
      </c>
      <c r="L411" s="236">
        <f ca="1">INDEX(Photobiology!$21:$421,1+$H411-380,10)</f>
        <v>3e-5</v>
      </c>
      <c r="M411" s="236">
        <f ca="1" t="shared" si="146"/>
        <v>0.611277286660141</v>
      </c>
      <c r="N411" s="236">
        <f ca="1">INDEX(Photobiology!$21:$421,1+$H411-380,N$14)</f>
        <v>1.76002566168535e-10</v>
      </c>
      <c r="O411" s="236">
        <f ca="1">INDEX(Photobiology!$21:$421,1+$H411-380,O$14)</f>
        <v>4.61904294429395e-6</v>
      </c>
      <c r="P411" s="236">
        <f ca="1">INDEX(Photobiology!$21:$421,1+$H411-380,P$14)</f>
        <v>5.03747611542452e-5</v>
      </c>
      <c r="Q411" s="236">
        <f ca="1">INDEX(Photobiology!$21:$421,1+$H411-380,Q$14)</f>
        <v>2.26257508262284e-7</v>
      </c>
      <c r="R411" s="236">
        <f ca="1">INDEX(Photobiology!$21:$421,1+$H411-380,R$14)</f>
        <v>3.53272636894992e-8</v>
      </c>
      <c r="S411" s="236">
        <f ca="1" t="shared" si="147"/>
        <v>2.37013911261119e+18</v>
      </c>
      <c r="T411" s="236">
        <f ca="1">INDEX(Photobiology!$21:$421,1+$H411-380,T$14)</f>
        <v>1.00572894953449e-10</v>
      </c>
      <c r="U411" s="236">
        <f ca="1">INDEX(Photobiology!$21:$421,1+$H411-380,U$14)</f>
        <v>3.25751586807903e-6</v>
      </c>
      <c r="V411" s="236">
        <f ca="1">INDEX(Photobiology!$21:$421,1+$H411-380,V$14)</f>
        <v>3.72430580298196e-5</v>
      </c>
      <c r="W411" s="236">
        <f ca="1">INDEX(Photobiology!$21:$421,1+$H411-380,W$14)</f>
        <v>1.49780745242162e-7</v>
      </c>
      <c r="X411" s="236">
        <f ca="1">INDEX(Photobiology!$21:$421,1+$H411-380,X$14)</f>
        <v>2.24248855929231e-8</v>
      </c>
      <c r="Y411" s="236">
        <f ca="1" t="shared" si="134"/>
        <v>0.611277286660141</v>
      </c>
      <c r="Z411" s="236">
        <f ca="1" t="shared" si="148"/>
        <v>1.07586371092724e-10</v>
      </c>
      <c r="AA411" s="236">
        <f ca="1" t="shared" si="135"/>
        <v>2.82351603795467e-6</v>
      </c>
      <c r="AB411" s="236">
        <f ca="1" t="shared" si="136"/>
        <v>3.07929473145197e-5</v>
      </c>
      <c r="AC411" s="236">
        <f ca="1" t="shared" si="137"/>
        <v>1.38306075737053e-7</v>
      </c>
      <c r="AD411" s="236">
        <f ca="1" t="shared" si="138"/>
        <v>2.15947538932444e-8</v>
      </c>
      <c r="AE411" s="236"/>
      <c r="AF411" s="236"/>
      <c r="AG411" s="236"/>
      <c r="AH411" s="236">
        <f t="shared" si="149"/>
        <v>770</v>
      </c>
      <c r="AI411" s="236">
        <f>IF($AH411&gt;$AH410,INDEX(Spectra!411:411,1,MATCH($AI$20,Spectra!$20:$20,0)),AI410)</f>
        <v>1</v>
      </c>
      <c r="AJ411" s="236">
        <f>((Physics!$C$9*Physics!$C$10)/(Physics!$C$11*Physics!$C$12*$AH411))^($AJ$17-$AJ$18)</f>
        <v>3.87735511253985e+18</v>
      </c>
      <c r="AK411" s="236">
        <f t="shared" si="150"/>
        <v>1</v>
      </c>
      <c r="AL411" s="236">
        <f ca="1">INDEX(Photobiology!$21:$421,1+$AH411-380,10)</f>
        <v>3e-5</v>
      </c>
      <c r="AM411" s="236">
        <f ca="1" t="shared" si="151"/>
        <v>13.3319879209511</v>
      </c>
      <c r="AN411" s="236">
        <f ca="1">INDEX(Photobiology!$21:$421,1+$AH411-380,AN$14)</f>
        <v>1.76002566168535e-10</v>
      </c>
      <c r="AO411" s="236">
        <f ca="1">INDEX(Photobiology!$21:$421,1+$AH411-380,AO$14)</f>
        <v>4.61904294429395e-6</v>
      </c>
      <c r="AP411" s="236">
        <f ca="1">INDEX(Photobiology!$21:$421,1+$AH411-380,AP$14)</f>
        <v>5.03747611542452e-5</v>
      </c>
      <c r="AQ411" s="236">
        <f ca="1">INDEX(Photobiology!$21:$421,1+$AH411-380,AQ$14)</f>
        <v>2.26257508262284e-7</v>
      </c>
      <c r="AR411" s="236">
        <f ca="1">INDEX(Photobiology!$21:$421,1+$AH411-380,AR$14)</f>
        <v>3.53272636894992e-8</v>
      </c>
      <c r="AS411" s="236">
        <f ca="1" t="shared" si="152"/>
        <v>5.16928515256194e+19</v>
      </c>
      <c r="AT411" s="236">
        <f ca="1">INDEX(Photobiology!$21:$421,1+$AH411-380,AT$14)</f>
        <v>1.00572894953449e-10</v>
      </c>
      <c r="AU411" s="236">
        <f ca="1">INDEX(Photobiology!$21:$421,1+$AH411-380,AU$14)</f>
        <v>3.25751586807903e-6</v>
      </c>
      <c r="AV411" s="236">
        <f ca="1">INDEX(Photobiology!$21:$421,1+$AH411-380,AV$14)</f>
        <v>3.72430580298196e-5</v>
      </c>
      <c r="AW411" s="236">
        <f ca="1">INDEX(Photobiology!$21:$421,1+$AH411-380,AW$14)</f>
        <v>1.49780745242162e-7</v>
      </c>
      <c r="AX411" s="236">
        <f ca="1">INDEX(Photobiology!$21:$421,1+$AH411-380,AX$14)</f>
        <v>2.24248855929231e-8</v>
      </c>
      <c r="AY411" s="236">
        <f ca="1" t="shared" si="139"/>
        <v>13.3319879209511</v>
      </c>
      <c r="AZ411" s="236">
        <f ca="1" t="shared" si="153"/>
        <v>2.34646408621531e-9</v>
      </c>
      <c r="BA411" s="236">
        <f ca="1" t="shared" si="140"/>
        <v>6.15810247396815e-5</v>
      </c>
      <c r="BB411" s="236">
        <f ca="1" t="shared" si="141"/>
        <v>0.000671595707229196</v>
      </c>
      <c r="BC411" s="236">
        <f ca="1" t="shared" si="142"/>
        <v>3.01646236717727e-6</v>
      </c>
      <c r="BD411" s="236">
        <f ca="1" t="shared" si="143"/>
        <v>4.70982652788659e-7</v>
      </c>
    </row>
    <row r="412" s="234" customFormat="1" ht="0.2" customHeight="1" spans="7:56">
      <c r="G412" s="236"/>
      <c r="H412" s="236">
        <f t="shared" si="144"/>
        <v>771</v>
      </c>
      <c r="I412" s="236">
        <f>IF($H412&gt;$H411,INDEX(Spectra!412:412,1,MATCH($I$20,Spectra!$20:$20,0)),I411)</f>
        <v>0.597030770474026</v>
      </c>
      <c r="J412" s="236">
        <f>((Physics!$C$9*Physics!$C$10)/(Physics!$C$11*Physics!$C$12*$H412))^($J$17-$J$18)</f>
        <v>3.88239063866003e+18</v>
      </c>
      <c r="K412" s="236">
        <f t="shared" si="145"/>
        <v>1</v>
      </c>
      <c r="L412" s="236">
        <f ca="1">INDEX(Photobiology!$21:$421,1+$H412-380,10)</f>
        <v>2.799125e-5</v>
      </c>
      <c r="M412" s="236">
        <f ca="1" t="shared" si="146"/>
        <v>0.597030770474026</v>
      </c>
      <c r="N412" s="236">
        <f ca="1">INDEX(Photobiology!$21:$421,1+$H412-380,N$14)</f>
        <v>1.67790357742668e-10</v>
      </c>
      <c r="O412" s="236">
        <f ca="1">INDEX(Photobiology!$21:$421,1+$H412-380,O$14)</f>
        <v>4.3462929959964e-6</v>
      </c>
      <c r="P412" s="236">
        <f ca="1">INDEX(Photobiology!$21:$421,1+$H412-380,P$14)</f>
        <v>4.72543724500226e-5</v>
      </c>
      <c r="Q412" s="236">
        <f ca="1">INDEX(Photobiology!$21:$421,1+$H412-380,Q$14)</f>
        <v>2.13753876720849e-7</v>
      </c>
      <c r="R412" s="236">
        <f ca="1">INDEX(Photobiology!$21:$421,1+$H412-380,R$14)</f>
        <v>3.34387473536946e-8</v>
      </c>
      <c r="S412" s="236">
        <f ca="1" t="shared" si="147"/>
        <v>2.31790667428034e+18</v>
      </c>
      <c r="T412" s="236">
        <f ca="1">INDEX(Photobiology!$21:$421,1+$H412-380,T$14)</f>
        <v>9.57558461825862e-11</v>
      </c>
      <c r="U412" s="236">
        <f ca="1">INDEX(Photobiology!$21:$421,1+$H412-380,U$14)</f>
        <v>3.06118718834517e-6</v>
      </c>
      <c r="V412" s="236">
        <f ca="1">INDEX(Photobiology!$21:$421,1+$H412-380,V$14)</f>
        <v>3.48907801948528e-5</v>
      </c>
      <c r="W412" s="236">
        <f ca="1">INDEX(Photobiology!$21:$421,1+$H412-380,W$14)</f>
        <v>1.4131990415963e-7</v>
      </c>
      <c r="X412" s="236">
        <f ca="1">INDEX(Photobiology!$21:$421,1+$H412-380,X$14)</f>
        <v>2.11985708598101e-8</v>
      </c>
      <c r="Y412" s="236">
        <f ca="1" t="shared" si="134"/>
        <v>0.597030770474026</v>
      </c>
      <c r="Z412" s="236">
        <f ca="1" t="shared" si="148"/>
        <v>1.00176006561218e-10</v>
      </c>
      <c r="AA412" s="236">
        <f ca="1" t="shared" si="135"/>
        <v>2.59487065610559e-6</v>
      </c>
      <c r="AB412" s="236">
        <f ca="1" t="shared" si="136"/>
        <v>2.82123143921036e-5</v>
      </c>
      <c r="AC412" s="236">
        <f ca="1" t="shared" si="137"/>
        <v>1.27617641710458e-7</v>
      </c>
      <c r="AD412" s="236">
        <f ca="1" t="shared" si="138"/>
        <v>1.99639610962626e-8</v>
      </c>
      <c r="AE412" s="236"/>
      <c r="AF412" s="236"/>
      <c r="AG412" s="236"/>
      <c r="AH412" s="236">
        <f t="shared" si="149"/>
        <v>771</v>
      </c>
      <c r="AI412" s="236">
        <f>IF($AH412&gt;$AH411,INDEX(Spectra!412:412,1,MATCH($AI$20,Spectra!$20:$20,0)),AI411)</f>
        <v>1</v>
      </c>
      <c r="AJ412" s="236">
        <f>((Physics!$C$9*Physics!$C$10)/(Physics!$C$11*Physics!$C$12*$AH412))^($AJ$17-$AJ$18)</f>
        <v>3.88239063866003e+18</v>
      </c>
      <c r="AK412" s="236">
        <f t="shared" si="150"/>
        <v>1</v>
      </c>
      <c r="AL412" s="236">
        <f ca="1">INDEX(Photobiology!$21:$421,1+$AH412-380,10)</f>
        <v>2.799125e-5</v>
      </c>
      <c r="AM412" s="236">
        <f ca="1" t="shared" si="151"/>
        <v>13.3319879209511</v>
      </c>
      <c r="AN412" s="236">
        <f ca="1">INDEX(Photobiology!$21:$421,1+$AH412-380,AN$14)</f>
        <v>1.67790357742668e-10</v>
      </c>
      <c r="AO412" s="236">
        <f ca="1">INDEX(Photobiology!$21:$421,1+$AH412-380,AO$14)</f>
        <v>4.3462929959964e-6</v>
      </c>
      <c r="AP412" s="236">
        <f ca="1">INDEX(Photobiology!$21:$421,1+$AH412-380,AP$14)</f>
        <v>4.72543724500226e-5</v>
      </c>
      <c r="AQ412" s="236">
        <f ca="1">INDEX(Photobiology!$21:$421,1+$AH412-380,AQ$14)</f>
        <v>2.13753876720849e-7</v>
      </c>
      <c r="AR412" s="236">
        <f ca="1">INDEX(Photobiology!$21:$421,1+$AH412-380,AR$14)</f>
        <v>3.34387473536946e-8</v>
      </c>
      <c r="AS412" s="236">
        <f ca="1" t="shared" si="152"/>
        <v>5.17599850990293e+19</v>
      </c>
      <c r="AT412" s="236">
        <f ca="1">INDEX(Photobiology!$21:$421,1+$AH412-380,AT$14)</f>
        <v>9.57558461825862e-11</v>
      </c>
      <c r="AU412" s="236">
        <f ca="1">INDEX(Photobiology!$21:$421,1+$AH412-380,AU$14)</f>
        <v>3.06118718834517e-6</v>
      </c>
      <c r="AV412" s="236">
        <f ca="1">INDEX(Photobiology!$21:$421,1+$AH412-380,AV$14)</f>
        <v>3.48907801948528e-5</v>
      </c>
      <c r="AW412" s="236">
        <f ca="1">INDEX(Photobiology!$21:$421,1+$AH412-380,AW$14)</f>
        <v>1.4131990415963e-7</v>
      </c>
      <c r="AX412" s="236">
        <f ca="1">INDEX(Photobiology!$21:$421,1+$AH412-380,AX$14)</f>
        <v>2.11985708598101e-8</v>
      </c>
      <c r="AY412" s="236">
        <f ca="1" t="shared" si="139"/>
        <v>13.3319879209511</v>
      </c>
      <c r="AZ412" s="236">
        <f ca="1" t="shared" si="153"/>
        <v>2.23697902267732e-9</v>
      </c>
      <c r="BA412" s="236">
        <f ca="1" t="shared" si="140"/>
        <v>5.79447257235385e-5</v>
      </c>
      <c r="BB412" s="236">
        <f ca="1" t="shared" si="141"/>
        <v>0.000629994722715828</v>
      </c>
      <c r="BC412" s="236">
        <f ca="1" t="shared" si="142"/>
        <v>2.84976410249884e-6</v>
      </c>
      <c r="BD412" s="236">
        <f ca="1" t="shared" si="143"/>
        <v>4.45804975811193e-7</v>
      </c>
    </row>
    <row r="413" s="234" customFormat="1" ht="0.2" customHeight="1" spans="7:56">
      <c r="G413" s="236"/>
      <c r="H413" s="236">
        <f t="shared" si="144"/>
        <v>772</v>
      </c>
      <c r="I413" s="236">
        <f>IF($H413&gt;$H412,INDEX(Spectra!413:413,1,MATCH($I$20,Spectra!$20:$20,0)),I412)</f>
        <v>0.582818052932191</v>
      </c>
      <c r="J413" s="236">
        <f>((Physics!$C$9*Physics!$C$10)/(Physics!$C$11*Physics!$C$12*$H413))^($J$17-$J$18)</f>
        <v>3.88742616478021e+18</v>
      </c>
      <c r="K413" s="236">
        <f t="shared" si="145"/>
        <v>1</v>
      </c>
      <c r="L413" s="236">
        <f ca="1">INDEX(Photobiology!$21:$421,1+$H413-380,10)</f>
        <v>2.611356e-5</v>
      </c>
      <c r="M413" s="236">
        <f ca="1" t="shared" si="146"/>
        <v>0.582818052932191</v>
      </c>
      <c r="N413" s="236">
        <f ca="1">INDEX(Photobiology!$21:$421,1+$H413-380,N$14)</f>
        <v>1.59981586768653e-10</v>
      </c>
      <c r="O413" s="236">
        <f ca="1">INDEX(Photobiology!$21:$421,1+$H413-380,O$14)</f>
        <v>4.09029847254549e-6</v>
      </c>
      <c r="P413" s="236">
        <f ca="1">INDEX(Photobiology!$21:$421,1+$H413-380,P$14)</f>
        <v>4.43343147282917e-5</v>
      </c>
      <c r="Q413" s="236">
        <f ca="1">INDEX(Photobiology!$21:$421,1+$H413-380,Q$14)</f>
        <v>2.01970992669408e-7</v>
      </c>
      <c r="R413" s="236">
        <f ca="1">INDEX(Photobiology!$21:$421,1+$H413-380,R$14)</f>
        <v>3.16557057230758e-8</v>
      </c>
      <c r="S413" s="236">
        <f ca="1" t="shared" si="147"/>
        <v>2.26566214827486e+18</v>
      </c>
      <c r="T413" s="236">
        <f ca="1">INDEX(Photobiology!$21:$421,1+$H413-380,T$14)</f>
        <v>9.11812152567452e-11</v>
      </c>
      <c r="U413" s="236">
        <f ca="1">INDEX(Photobiology!$21:$421,1+$H413-380,U$14)</f>
        <v>2.87715304996476e-6</v>
      </c>
      <c r="V413" s="236">
        <f ca="1">INDEX(Photobiology!$21:$421,1+$H413-380,V$14)</f>
        <v>3.26923213033906e-5</v>
      </c>
      <c r="W413" s="236">
        <f ca="1">INDEX(Photobiology!$21:$421,1+$H413-380,W$14)</f>
        <v>1.33356875610766e-7</v>
      </c>
      <c r="X413" s="236">
        <f ca="1">INDEX(Photobiology!$21:$421,1+$H413-380,X$14)</f>
        <v>2.00422124261213e-8</v>
      </c>
      <c r="Y413" s="236">
        <f ca="1" t="shared" si="134"/>
        <v>0.582818052932191</v>
      </c>
      <c r="Z413" s="236">
        <f ca="1" t="shared" si="148"/>
        <v>9.32401569055087e-11</v>
      </c>
      <c r="AA413" s="236">
        <f ca="1" t="shared" si="135"/>
        <v>2.38389979168048e-6</v>
      </c>
      <c r="AB413" s="236">
        <f ca="1" t="shared" si="136"/>
        <v>2.58388389880259e-5</v>
      </c>
      <c r="AC413" s="236">
        <f ca="1" t="shared" si="137"/>
        <v>1.17712340696366e-7</v>
      </c>
      <c r="AD413" s="236">
        <f ca="1" t="shared" si="138"/>
        <v>1.84495167737175e-8</v>
      </c>
      <c r="AE413" s="236"/>
      <c r="AF413" s="236"/>
      <c r="AG413" s="236"/>
      <c r="AH413" s="236">
        <f t="shared" si="149"/>
        <v>772</v>
      </c>
      <c r="AI413" s="236">
        <f>IF($AH413&gt;$AH412,INDEX(Spectra!413:413,1,MATCH($AI$20,Spectra!$20:$20,0)),AI412)</f>
        <v>1</v>
      </c>
      <c r="AJ413" s="236">
        <f>((Physics!$C$9*Physics!$C$10)/(Physics!$C$11*Physics!$C$12*$AH413))^($AJ$17-$AJ$18)</f>
        <v>3.88742616478021e+18</v>
      </c>
      <c r="AK413" s="236">
        <f t="shared" si="150"/>
        <v>1</v>
      </c>
      <c r="AL413" s="236">
        <f ca="1">INDEX(Photobiology!$21:$421,1+$AH413-380,10)</f>
        <v>2.611356e-5</v>
      </c>
      <c r="AM413" s="236">
        <f ca="1" t="shared" si="151"/>
        <v>13.3319879209511</v>
      </c>
      <c r="AN413" s="236">
        <f ca="1">INDEX(Photobiology!$21:$421,1+$AH413-380,AN$14)</f>
        <v>1.59981586768653e-10</v>
      </c>
      <c r="AO413" s="236">
        <f ca="1">INDEX(Photobiology!$21:$421,1+$AH413-380,AO$14)</f>
        <v>4.09029847254549e-6</v>
      </c>
      <c r="AP413" s="236">
        <f ca="1">INDEX(Photobiology!$21:$421,1+$AH413-380,AP$14)</f>
        <v>4.43343147282917e-5</v>
      </c>
      <c r="AQ413" s="236">
        <f ca="1">INDEX(Photobiology!$21:$421,1+$AH413-380,AQ$14)</f>
        <v>2.01970992669408e-7</v>
      </c>
      <c r="AR413" s="236">
        <f ca="1">INDEX(Photobiology!$21:$421,1+$AH413-380,AR$14)</f>
        <v>3.16557057230758e-8</v>
      </c>
      <c r="AS413" s="236">
        <f ca="1" t="shared" si="152"/>
        <v>5.18271186724392e+19</v>
      </c>
      <c r="AT413" s="236">
        <f ca="1">INDEX(Photobiology!$21:$421,1+$AH413-380,AT$14)</f>
        <v>9.11812152567452e-11</v>
      </c>
      <c r="AU413" s="236">
        <f ca="1">INDEX(Photobiology!$21:$421,1+$AH413-380,AU$14)</f>
        <v>2.87715304996476e-6</v>
      </c>
      <c r="AV413" s="236">
        <f ca="1">INDEX(Photobiology!$21:$421,1+$AH413-380,AV$14)</f>
        <v>3.26923213033906e-5</v>
      </c>
      <c r="AW413" s="236">
        <f ca="1">INDEX(Photobiology!$21:$421,1+$AH413-380,AW$14)</f>
        <v>1.33356875610766e-7</v>
      </c>
      <c r="AX413" s="236">
        <f ca="1">INDEX(Photobiology!$21:$421,1+$AH413-380,AX$14)</f>
        <v>2.00422124261213e-8</v>
      </c>
      <c r="AY413" s="236">
        <f ca="1" t="shared" si="139"/>
        <v>13.3319879209511</v>
      </c>
      <c r="AZ413" s="236">
        <f ca="1" t="shared" si="153"/>
        <v>2.13287258237428e-9</v>
      </c>
      <c r="BA413" s="236">
        <f ca="1" t="shared" si="140"/>
        <v>5.45318098290614e-5</v>
      </c>
      <c r="BB413" s="236">
        <f ca="1" t="shared" si="141"/>
        <v>0.000591064548441231</v>
      </c>
      <c r="BC413" s="236">
        <f ca="1" t="shared" si="142"/>
        <v>2.69267483465106e-6</v>
      </c>
      <c r="BD413" s="236">
        <f ca="1" t="shared" si="143"/>
        <v>4.22033486329231e-7</v>
      </c>
    </row>
    <row r="414" s="234" customFormat="1" ht="0.2" customHeight="1" spans="7:56">
      <c r="G414" s="236"/>
      <c r="H414" s="236">
        <f t="shared" si="144"/>
        <v>773</v>
      </c>
      <c r="I414" s="236">
        <f>IF($H414&gt;$H413,INDEX(Spectra!414:414,1,MATCH($I$20,Spectra!$20:$20,0)),I413)</f>
        <v>0.561312651147182</v>
      </c>
      <c r="J414" s="236">
        <f>((Physics!$C$9*Physics!$C$10)/(Physics!$C$11*Physics!$C$12*$H414))^($J$17-$J$18)</f>
        <v>3.89246169090039e+18</v>
      </c>
      <c r="K414" s="236">
        <f t="shared" si="145"/>
        <v>1</v>
      </c>
      <c r="L414" s="236">
        <f ca="1">INDEX(Photobiology!$21:$421,1+$H414-380,10)</f>
        <v>2.436024e-5</v>
      </c>
      <c r="M414" s="236">
        <f ca="1" t="shared" si="146"/>
        <v>0.561312651147182</v>
      </c>
      <c r="N414" s="236">
        <f ca="1">INDEX(Photobiology!$21:$421,1+$H414-380,N$14)</f>
        <v>1.52556599611109e-10</v>
      </c>
      <c r="O414" s="236">
        <f ca="1">INDEX(Photobiology!$21:$421,1+$H414-380,O$14)</f>
        <v>3.84998466801963e-6</v>
      </c>
      <c r="P414" s="236">
        <f ca="1">INDEX(Photobiology!$21:$421,1+$H414-380,P$14)</f>
        <v>4.1601405166907e-5</v>
      </c>
      <c r="Q414" s="236">
        <f ca="1">INDEX(Photobiology!$21:$421,1+$H414-380,Q$14)</f>
        <v>1.90866188081184e-7</v>
      </c>
      <c r="R414" s="236">
        <f ca="1">INDEX(Photobiology!$21:$421,1+$H414-380,R$14)</f>
        <v>2.99721570792851e-8</v>
      </c>
      <c r="S414" s="236">
        <f ca="1" t="shared" si="147"/>
        <v>2.18488799120814e+18</v>
      </c>
      <c r="T414" s="236">
        <f ca="1">INDEX(Photobiology!$21:$421,1+$H414-380,T$14)</f>
        <v>8.68368742935161e-11</v>
      </c>
      <c r="U414" s="236">
        <f ca="1">INDEX(Photobiology!$21:$421,1+$H414-380,U$14)</f>
        <v>2.70461075808862e-6</v>
      </c>
      <c r="V414" s="236">
        <f ca="1">INDEX(Photobiology!$21:$421,1+$H414-380,V$14)</f>
        <v>3.06373758906589e-5</v>
      </c>
      <c r="W414" s="236">
        <f ca="1">INDEX(Photobiology!$21:$421,1+$H414-380,W$14)</f>
        <v>1.25861591307014e-7</v>
      </c>
      <c r="X414" s="236">
        <f ca="1">INDEX(Photobiology!$21:$421,1+$H414-380,X$14)</f>
        <v>1.89517564799589e-8</v>
      </c>
      <c r="Y414" s="236">
        <f ca="1" t="shared" si="134"/>
        <v>0.561312651147182</v>
      </c>
      <c r="Z414" s="236">
        <f ca="1" t="shared" si="148"/>
        <v>8.56319493777108e-11</v>
      </c>
      <c r="AA414" s="236">
        <f ca="1" t="shared" si="135"/>
        <v>2.1610451008821e-6</v>
      </c>
      <c r="AB414" s="236">
        <f ca="1" t="shared" si="136"/>
        <v>2.33513950256846e-5</v>
      </c>
      <c r="AC414" s="236">
        <f ca="1" t="shared" si="137"/>
        <v>1.07135606046206e-7</v>
      </c>
      <c r="AD414" s="236">
        <f ca="1" t="shared" si="138"/>
        <v>1.68237509507733e-8</v>
      </c>
      <c r="AE414" s="236"/>
      <c r="AF414" s="236"/>
      <c r="AG414" s="236"/>
      <c r="AH414" s="236">
        <f t="shared" si="149"/>
        <v>773</v>
      </c>
      <c r="AI414" s="236">
        <f>IF($AH414&gt;$AH413,INDEX(Spectra!414:414,1,MATCH($AI$20,Spectra!$20:$20,0)),AI413)</f>
        <v>1</v>
      </c>
      <c r="AJ414" s="236">
        <f>((Physics!$C$9*Physics!$C$10)/(Physics!$C$11*Physics!$C$12*$AH414))^($AJ$17-$AJ$18)</f>
        <v>3.89246169090039e+18</v>
      </c>
      <c r="AK414" s="236">
        <f t="shared" si="150"/>
        <v>1</v>
      </c>
      <c r="AL414" s="236">
        <f ca="1">INDEX(Photobiology!$21:$421,1+$AH414-380,10)</f>
        <v>2.436024e-5</v>
      </c>
      <c r="AM414" s="236">
        <f ca="1" t="shared" si="151"/>
        <v>13.3319879209511</v>
      </c>
      <c r="AN414" s="236">
        <f ca="1">INDEX(Photobiology!$21:$421,1+$AH414-380,AN$14)</f>
        <v>1.52556599611109e-10</v>
      </c>
      <c r="AO414" s="236">
        <f ca="1">INDEX(Photobiology!$21:$421,1+$AH414-380,AO$14)</f>
        <v>3.84998466801963e-6</v>
      </c>
      <c r="AP414" s="236">
        <f ca="1">INDEX(Photobiology!$21:$421,1+$AH414-380,AP$14)</f>
        <v>4.1601405166907e-5</v>
      </c>
      <c r="AQ414" s="236">
        <f ca="1">INDEX(Photobiology!$21:$421,1+$AH414-380,AQ$14)</f>
        <v>1.90866188081184e-7</v>
      </c>
      <c r="AR414" s="236">
        <f ca="1">INDEX(Photobiology!$21:$421,1+$AH414-380,AR$14)</f>
        <v>2.99721570792851e-8</v>
      </c>
      <c r="AS414" s="236">
        <f ca="1" t="shared" si="152"/>
        <v>5.18942522458491e+19</v>
      </c>
      <c r="AT414" s="236">
        <f ca="1">INDEX(Photobiology!$21:$421,1+$AH414-380,AT$14)</f>
        <v>8.68368742935161e-11</v>
      </c>
      <c r="AU414" s="236">
        <f ca="1">INDEX(Photobiology!$21:$421,1+$AH414-380,AU$14)</f>
        <v>2.70461075808862e-6</v>
      </c>
      <c r="AV414" s="236">
        <f ca="1">INDEX(Photobiology!$21:$421,1+$AH414-380,AV$14)</f>
        <v>3.06373758906589e-5</v>
      </c>
      <c r="AW414" s="236">
        <f ca="1">INDEX(Photobiology!$21:$421,1+$AH414-380,AW$14)</f>
        <v>1.25861591307014e-7</v>
      </c>
      <c r="AX414" s="236">
        <f ca="1">INDEX(Photobiology!$21:$421,1+$AH414-380,AX$14)</f>
        <v>1.89517564799589e-8</v>
      </c>
      <c r="AY414" s="236">
        <f ca="1" t="shared" si="139"/>
        <v>13.3319879209511</v>
      </c>
      <c r="AZ414" s="236">
        <f ca="1" t="shared" si="153"/>
        <v>2.03388274327668e-9</v>
      </c>
      <c r="BA414" s="236">
        <f ca="1" t="shared" si="140"/>
        <v>5.13279490898848e-5</v>
      </c>
      <c r="BB414" s="236">
        <f ca="1" t="shared" si="141"/>
        <v>0.000554629431179799</v>
      </c>
      <c r="BC414" s="236">
        <f ca="1" t="shared" si="142"/>
        <v>2.54462571401633e-6</v>
      </c>
      <c r="BD414" s="236">
        <f ca="1" t="shared" si="143"/>
        <v>3.99588436145879e-7</v>
      </c>
    </row>
    <row r="415" s="234" customFormat="1" ht="0.2" customHeight="1" spans="7:56">
      <c r="G415" s="236"/>
      <c r="H415" s="236">
        <f t="shared" si="144"/>
        <v>774</v>
      </c>
      <c r="I415" s="236">
        <f>IF($H415&gt;$H414,INDEX(Spectra!415:415,1,MATCH($I$20,Spectra!$20:$20,0)),I414)</f>
        <v>0.543589435453955</v>
      </c>
      <c r="J415" s="236">
        <f>((Physics!$C$9*Physics!$C$10)/(Physics!$C$11*Physics!$C$12*$H415))^($J$17-$J$18)</f>
        <v>3.89749721702058e+18</v>
      </c>
      <c r="K415" s="236">
        <f t="shared" si="145"/>
        <v>1</v>
      </c>
      <c r="L415" s="236">
        <f ca="1">INDEX(Photobiology!$21:$421,1+$H415-380,10)</f>
        <v>2.272461e-5</v>
      </c>
      <c r="M415" s="236">
        <f ca="1" t="shared" si="146"/>
        <v>0.543589435453955</v>
      </c>
      <c r="N415" s="236">
        <f ca="1">INDEX(Photobiology!$21:$421,1+$H415-380,N$14)</f>
        <v>1.45493971891847e-10</v>
      </c>
      <c r="O415" s="236">
        <f ca="1">INDEX(Photobiology!$21:$421,1+$H415-380,O$14)</f>
        <v>3.62435725688511e-6</v>
      </c>
      <c r="P415" s="236">
        <f ca="1">INDEX(Photobiology!$21:$421,1+$H415-380,P$14)</f>
        <v>3.90431635504696e-5</v>
      </c>
      <c r="Q415" s="236">
        <f ca="1">INDEX(Photobiology!$21:$421,1+$H415-380,Q$14)</f>
        <v>1.80398532360455e-7</v>
      </c>
      <c r="R415" s="236">
        <f ca="1">INDEX(Photobiology!$21:$421,1+$H415-380,R$14)</f>
        <v>2.83821309842877e-8</v>
      </c>
      <c r="S415" s="236">
        <f ca="1" t="shared" si="147"/>
        <v>2.11863831188358e+18</v>
      </c>
      <c r="T415" s="236">
        <f ca="1">INDEX(Photobiology!$21:$421,1+$H415-380,T$14)</f>
        <v>8.27097514630655e-11</v>
      </c>
      <c r="U415" s="236">
        <f ca="1">INDEX(Photobiology!$21:$421,1+$H415-380,U$14)</f>
        <v>2.54281816035641e-6</v>
      </c>
      <c r="V415" s="236">
        <f ca="1">INDEX(Photobiology!$21:$421,1+$H415-380,V$14)</f>
        <v>2.8716208516673e-5</v>
      </c>
      <c r="W415" s="236">
        <f ca="1">INDEX(Photobiology!$21:$421,1+$H415-380,W$14)</f>
        <v>1.1880528257359e-7</v>
      </c>
      <c r="X415" s="236">
        <f ca="1">INDEX(Photobiology!$21:$421,1+$H415-380,X$14)</f>
        <v>1.79231772828268e-8</v>
      </c>
      <c r="Y415" s="236">
        <f ca="1" t="shared" si="134"/>
        <v>0.543589435453955</v>
      </c>
      <c r="Z415" s="236">
        <f ca="1" t="shared" si="148"/>
        <v>7.90889860426427e-11</v>
      </c>
      <c r="AA415" s="236">
        <f ca="1" t="shared" si="135"/>
        <v>1.97016231515362e-6</v>
      </c>
      <c r="AB415" s="236">
        <f ca="1" t="shared" si="136"/>
        <v>2.12234512327362e-5</v>
      </c>
      <c r="AC415" s="236">
        <f ca="1" t="shared" si="137"/>
        <v>9.80627363625418e-8</v>
      </c>
      <c r="AD415" s="236">
        <f ca="1" t="shared" si="138"/>
        <v>1.54282265587292e-8</v>
      </c>
      <c r="AE415" s="236"/>
      <c r="AF415" s="236"/>
      <c r="AG415" s="236"/>
      <c r="AH415" s="236">
        <f t="shared" si="149"/>
        <v>774</v>
      </c>
      <c r="AI415" s="236">
        <f>IF($AH415&gt;$AH414,INDEX(Spectra!415:415,1,MATCH($AI$20,Spectra!$20:$20,0)),AI414)</f>
        <v>1</v>
      </c>
      <c r="AJ415" s="236">
        <f>((Physics!$C$9*Physics!$C$10)/(Physics!$C$11*Physics!$C$12*$AH415))^($AJ$17-$AJ$18)</f>
        <v>3.89749721702058e+18</v>
      </c>
      <c r="AK415" s="236">
        <f t="shared" si="150"/>
        <v>1</v>
      </c>
      <c r="AL415" s="236">
        <f ca="1">INDEX(Photobiology!$21:$421,1+$AH415-380,10)</f>
        <v>2.272461e-5</v>
      </c>
      <c r="AM415" s="236">
        <f ca="1" t="shared" si="151"/>
        <v>13.3319879209511</v>
      </c>
      <c r="AN415" s="236">
        <f ca="1">INDEX(Photobiology!$21:$421,1+$AH415-380,AN$14)</f>
        <v>1.45493971891847e-10</v>
      </c>
      <c r="AO415" s="236">
        <f ca="1">INDEX(Photobiology!$21:$421,1+$AH415-380,AO$14)</f>
        <v>3.62435725688511e-6</v>
      </c>
      <c r="AP415" s="236">
        <f ca="1">INDEX(Photobiology!$21:$421,1+$AH415-380,AP$14)</f>
        <v>3.90431635504696e-5</v>
      </c>
      <c r="AQ415" s="236">
        <f ca="1">INDEX(Photobiology!$21:$421,1+$AH415-380,AQ$14)</f>
        <v>1.80398532360455e-7</v>
      </c>
      <c r="AR415" s="236">
        <f ca="1">INDEX(Photobiology!$21:$421,1+$AH415-380,AR$14)</f>
        <v>2.83821309842877e-8</v>
      </c>
      <c r="AS415" s="236">
        <f ca="1" t="shared" si="152"/>
        <v>5.1961385819259e+19</v>
      </c>
      <c r="AT415" s="236">
        <f ca="1">INDEX(Photobiology!$21:$421,1+$AH415-380,AT$14)</f>
        <v>8.27097514630655e-11</v>
      </c>
      <c r="AU415" s="236">
        <f ca="1">INDEX(Photobiology!$21:$421,1+$AH415-380,AU$14)</f>
        <v>2.54281816035641e-6</v>
      </c>
      <c r="AV415" s="236">
        <f ca="1">INDEX(Photobiology!$21:$421,1+$AH415-380,AV$14)</f>
        <v>2.8716208516673e-5</v>
      </c>
      <c r="AW415" s="236">
        <f ca="1">INDEX(Photobiology!$21:$421,1+$AH415-380,AW$14)</f>
        <v>1.1880528257359e-7</v>
      </c>
      <c r="AX415" s="236">
        <f ca="1">INDEX(Photobiology!$21:$421,1+$AH415-380,AX$14)</f>
        <v>1.79231772828268e-8</v>
      </c>
      <c r="AY415" s="236">
        <f ca="1" t="shared" si="139"/>
        <v>13.3319879209511</v>
      </c>
      <c r="AZ415" s="236">
        <f ca="1" t="shared" si="153"/>
        <v>1.93972387583331e-9</v>
      </c>
      <c r="BA415" s="236">
        <f ca="1" t="shared" si="140"/>
        <v>4.83198871700039e-5</v>
      </c>
      <c r="BB415" s="236">
        <f ca="1" t="shared" si="141"/>
        <v>0.000520522984850581</v>
      </c>
      <c r="BC415" s="236">
        <f ca="1" t="shared" si="142"/>
        <v>2.4050710543869e-6</v>
      </c>
      <c r="BD415" s="236">
        <f ca="1" t="shared" si="143"/>
        <v>3.78390227453377e-7</v>
      </c>
    </row>
    <row r="416" s="234" customFormat="1" ht="0.2" customHeight="1" spans="7:56">
      <c r="G416" s="236"/>
      <c r="H416" s="236">
        <f t="shared" si="144"/>
        <v>775</v>
      </c>
      <c r="I416" s="236">
        <f>IF($H416&gt;$H415,INDEX(Spectra!416:416,1,MATCH($I$20,Spectra!$20:$20,0)),I415)</f>
        <v>0.529682204496789</v>
      </c>
      <c r="J416" s="236">
        <f>((Physics!$C$9*Physics!$C$10)/(Physics!$C$11*Physics!$C$12*$H416))^($J$17-$J$18)</f>
        <v>3.90253274314076e+18</v>
      </c>
      <c r="K416" s="236">
        <f t="shared" si="145"/>
        <v>1</v>
      </c>
      <c r="L416" s="236">
        <f ca="1">INDEX(Photobiology!$21:$421,1+$H416-380,10)</f>
        <v>2.12e-5</v>
      </c>
      <c r="M416" s="236">
        <f ca="1" t="shared" si="146"/>
        <v>0.529682204496789</v>
      </c>
      <c r="N416" s="236">
        <f ca="1">INDEX(Photobiology!$21:$421,1+$H416-380,N$14)</f>
        <v>1.38775563670657e-10</v>
      </c>
      <c r="O416" s="236">
        <f ca="1">INDEX(Photobiology!$21:$421,1+$H416-380,O$14)</f>
        <v>3.41249481362311e-6</v>
      </c>
      <c r="P416" s="236">
        <f ca="1">INDEX(Photobiology!$21:$421,1+$H416-380,P$14)</f>
        <v>3.66480608613104e-5</v>
      </c>
      <c r="Q416" s="236">
        <f ca="1">INDEX(Photobiology!$21:$421,1+$H416-380,Q$14)</f>
        <v>1.70529688990959e-7</v>
      </c>
      <c r="R416" s="236">
        <f ca="1">INDEX(Photobiology!$21:$421,1+$H416-380,R$14)</f>
        <v>2.68802931055237e-8</v>
      </c>
      <c r="S416" s="236">
        <f ca="1" t="shared" si="147"/>
        <v>2.0671021465077e+18</v>
      </c>
      <c r="T416" s="236">
        <f ca="1">INDEX(Photobiology!$21:$421,1+$H416-380,T$14)</f>
        <v>7.8788707116244e-11</v>
      </c>
      <c r="U416" s="236">
        <f ca="1">INDEX(Photobiology!$21:$421,1+$H416-380,U$14)</f>
        <v>2.39108801490581e-6</v>
      </c>
      <c r="V416" s="236">
        <f ca="1">INDEX(Photobiology!$21:$421,1+$H416-380,V$14)</f>
        <v>2.69198326911617e-5</v>
      </c>
      <c r="W416" s="236">
        <f ca="1">INDEX(Photobiology!$21:$421,1+$H416-380,W$14)</f>
        <v>1.12161035400913e-7</v>
      </c>
      <c r="X416" s="236">
        <f ca="1">INDEX(Photobiology!$21:$421,1+$H416-380,X$14)</f>
        <v>1.69528710534192e-8</v>
      </c>
      <c r="Y416" s="236">
        <f ca="1" t="shared" si="134"/>
        <v>0.529682204496789</v>
      </c>
      <c r="Z416" s="236">
        <f ca="1" t="shared" si="148"/>
        <v>7.35069464953581e-11</v>
      </c>
      <c r="AA416" s="236">
        <f ca="1" t="shared" si="135"/>
        <v>1.80753777571375e-6</v>
      </c>
      <c r="AB416" s="236">
        <f ca="1" t="shared" si="136"/>
        <v>1.94118256675514e-5</v>
      </c>
      <c r="AC416" s="236">
        <f ca="1" t="shared" si="137"/>
        <v>9.0326541596883e-8</v>
      </c>
      <c r="AD416" s="236">
        <f ca="1" t="shared" si="138"/>
        <v>1.42380129096536e-8</v>
      </c>
      <c r="AE416" s="236"/>
      <c r="AF416" s="236"/>
      <c r="AG416" s="236"/>
      <c r="AH416" s="236">
        <f t="shared" si="149"/>
        <v>775</v>
      </c>
      <c r="AI416" s="236">
        <f>IF($AH416&gt;$AH415,INDEX(Spectra!416:416,1,MATCH($AI$20,Spectra!$20:$20,0)),AI415)</f>
        <v>1</v>
      </c>
      <c r="AJ416" s="236">
        <f>((Physics!$C$9*Physics!$C$10)/(Physics!$C$11*Physics!$C$12*$AH416))^($AJ$17-$AJ$18)</f>
        <v>3.90253274314076e+18</v>
      </c>
      <c r="AK416" s="236">
        <f t="shared" si="150"/>
        <v>1</v>
      </c>
      <c r="AL416" s="236">
        <f ca="1">INDEX(Photobiology!$21:$421,1+$AH416-380,10)</f>
        <v>2.12e-5</v>
      </c>
      <c r="AM416" s="236">
        <f ca="1" t="shared" si="151"/>
        <v>13.3319879209511</v>
      </c>
      <c r="AN416" s="236">
        <f ca="1">INDEX(Photobiology!$21:$421,1+$AH416-380,AN$14)</f>
        <v>1.38775563670657e-10</v>
      </c>
      <c r="AO416" s="236">
        <f ca="1">INDEX(Photobiology!$21:$421,1+$AH416-380,AO$14)</f>
        <v>3.41249481362311e-6</v>
      </c>
      <c r="AP416" s="236">
        <f ca="1">INDEX(Photobiology!$21:$421,1+$AH416-380,AP$14)</f>
        <v>3.66480608613104e-5</v>
      </c>
      <c r="AQ416" s="236">
        <f ca="1">INDEX(Photobiology!$21:$421,1+$AH416-380,AQ$14)</f>
        <v>1.70529688990959e-7</v>
      </c>
      <c r="AR416" s="236">
        <f ca="1">INDEX(Photobiology!$21:$421,1+$AH416-380,AR$14)</f>
        <v>2.68802931055237e-8</v>
      </c>
      <c r="AS416" s="236">
        <f ca="1" t="shared" si="152"/>
        <v>5.20285193926689e+19</v>
      </c>
      <c r="AT416" s="236">
        <f ca="1">INDEX(Photobiology!$21:$421,1+$AH416-380,AT$14)</f>
        <v>7.8788707116244e-11</v>
      </c>
      <c r="AU416" s="236">
        <f ca="1">INDEX(Photobiology!$21:$421,1+$AH416-380,AU$14)</f>
        <v>2.39108801490581e-6</v>
      </c>
      <c r="AV416" s="236">
        <f ca="1">INDEX(Photobiology!$21:$421,1+$AH416-380,AV$14)</f>
        <v>2.69198326911617e-5</v>
      </c>
      <c r="AW416" s="236">
        <f ca="1">INDEX(Photobiology!$21:$421,1+$AH416-380,AW$14)</f>
        <v>1.12161035400913e-7</v>
      </c>
      <c r="AX416" s="236">
        <f ca="1">INDEX(Photobiology!$21:$421,1+$AH416-380,AX$14)</f>
        <v>1.69528710534192e-8</v>
      </c>
      <c r="AY416" s="236">
        <f ca="1" t="shared" si="139"/>
        <v>13.3319879209511</v>
      </c>
      <c r="AZ416" s="236">
        <f ca="1" t="shared" si="153"/>
        <v>1.85015413858038e-9</v>
      </c>
      <c r="BA416" s="236">
        <f ca="1" t="shared" si="140"/>
        <v>4.54953396355317e-5</v>
      </c>
      <c r="BB416" s="236">
        <f ca="1" t="shared" si="141"/>
        <v>0.000488591504729273</v>
      </c>
      <c r="BC416" s="236">
        <f ca="1" t="shared" si="142"/>
        <v>2.27349975379102e-6</v>
      </c>
      <c r="BD416" s="236">
        <f ca="1" t="shared" si="143"/>
        <v>3.58367742994468e-7</v>
      </c>
    </row>
    <row r="417" s="234" customFormat="1" ht="0.2" customHeight="1" spans="7:56">
      <c r="G417" s="236"/>
      <c r="H417" s="236">
        <f t="shared" si="144"/>
        <v>776</v>
      </c>
      <c r="I417" s="236">
        <f>IF($H417&gt;$H416,INDEX(Spectra!417:417,1,MATCH($I$20,Spectra!$20:$20,0)),I416)</f>
        <v>0.5133832940792</v>
      </c>
      <c r="J417" s="236">
        <f>((Physics!$C$9*Physics!$C$10)/(Physics!$C$11*Physics!$C$12*$H417))^($J$17-$J$18)</f>
        <v>3.90756826926094e+18</v>
      </c>
      <c r="K417" s="236">
        <f t="shared" si="145"/>
        <v>1</v>
      </c>
      <c r="L417" s="236">
        <f ca="1">INDEX(Photobiology!$21:$421,1+$H417-380,10)</f>
        <v>1.977855e-5</v>
      </c>
      <c r="M417" s="236">
        <f ca="1" t="shared" si="146"/>
        <v>0.5133832940792</v>
      </c>
      <c r="N417" s="236">
        <f ca="1">INDEX(Photobiology!$21:$421,1+$H417-380,N$14)</f>
        <v>1.3238171406821e-10</v>
      </c>
      <c r="O417" s="236">
        <f ca="1">INDEX(Photobiology!$21:$421,1+$H417-380,O$14)</f>
        <v>3.21351254751096e-6</v>
      </c>
      <c r="P417" s="236">
        <f ca="1">INDEX(Photobiology!$21:$421,1+$H417-380,P$14)</f>
        <v>3.44053515676588e-5</v>
      </c>
      <c r="Q417" s="236">
        <f ca="1">INDEX(Photobiology!$21:$421,1+$H417-380,Q$14)</f>
        <v>1.61224856848642e-7</v>
      </c>
      <c r="R417" s="236">
        <f ca="1">INDEX(Photobiology!$21:$421,1+$H417-380,R$14)</f>
        <v>2.54615594812796e-8</v>
      </c>
      <c r="S417" s="236">
        <f ca="1" t="shared" si="147"/>
        <v>2.00608026991254e+18</v>
      </c>
      <c r="T417" s="236">
        <f ca="1">INDEX(Photobiology!$21:$421,1+$H417-380,T$14)</f>
        <v>7.50617966366139e-11</v>
      </c>
      <c r="U417" s="236">
        <f ca="1">INDEX(Photobiology!$21:$421,1+$H417-380,U$14)</f>
        <v>2.2487622587751e-6</v>
      </c>
      <c r="V417" s="236">
        <f ca="1">INDEX(Photobiology!$21:$421,1+$H417-380,V$14)</f>
        <v>2.52398830138908e-5</v>
      </c>
      <c r="W417" s="236">
        <f ca="1">INDEX(Photobiology!$21:$421,1+$H417-380,W$14)</f>
        <v>1.05904396818198e-7</v>
      </c>
      <c r="X417" s="236">
        <f ca="1">INDEX(Photobiology!$21:$421,1+$H417-380,X$14)</f>
        <v>1.6037410287096e-8</v>
      </c>
      <c r="Y417" s="236">
        <f ca="1" t="shared" si="134"/>
        <v>0.5133832940792</v>
      </c>
      <c r="Z417" s="236">
        <f ca="1" t="shared" si="148"/>
        <v>6.79625604441884e-11</v>
      </c>
      <c r="AA417" s="236">
        <f ca="1" t="shared" si="135"/>
        <v>1.64976365720602e-6</v>
      </c>
      <c r="AB417" s="236">
        <f ca="1" t="shared" si="136"/>
        <v>1.76631327217576e-5</v>
      </c>
      <c r="AC417" s="236">
        <f ca="1" t="shared" si="137"/>
        <v>8.27701480964033e-8</v>
      </c>
      <c r="AD417" s="236">
        <f ca="1" t="shared" si="138"/>
        <v>1.30715392788928e-8</v>
      </c>
      <c r="AE417" s="236"/>
      <c r="AF417" s="236"/>
      <c r="AG417" s="236"/>
      <c r="AH417" s="236">
        <f t="shared" si="149"/>
        <v>776</v>
      </c>
      <c r="AI417" s="236">
        <f>IF($AH417&gt;$AH416,INDEX(Spectra!417:417,1,MATCH($AI$20,Spectra!$20:$20,0)),AI416)</f>
        <v>1</v>
      </c>
      <c r="AJ417" s="236">
        <f>((Physics!$C$9*Physics!$C$10)/(Physics!$C$11*Physics!$C$12*$AH417))^($AJ$17-$AJ$18)</f>
        <v>3.90756826926094e+18</v>
      </c>
      <c r="AK417" s="236">
        <f t="shared" si="150"/>
        <v>1</v>
      </c>
      <c r="AL417" s="236">
        <f ca="1">INDEX(Photobiology!$21:$421,1+$AH417-380,10)</f>
        <v>1.977855e-5</v>
      </c>
      <c r="AM417" s="236">
        <f ca="1" t="shared" si="151"/>
        <v>13.3319879209511</v>
      </c>
      <c r="AN417" s="236">
        <f ca="1">INDEX(Photobiology!$21:$421,1+$AH417-380,AN$14)</f>
        <v>1.3238171406821e-10</v>
      </c>
      <c r="AO417" s="236">
        <f ca="1">INDEX(Photobiology!$21:$421,1+$AH417-380,AO$14)</f>
        <v>3.21351254751096e-6</v>
      </c>
      <c r="AP417" s="236">
        <f ca="1">INDEX(Photobiology!$21:$421,1+$AH417-380,AP$14)</f>
        <v>3.44053515676588e-5</v>
      </c>
      <c r="AQ417" s="236">
        <f ca="1">INDEX(Photobiology!$21:$421,1+$AH417-380,AQ$14)</f>
        <v>1.61224856848642e-7</v>
      </c>
      <c r="AR417" s="236">
        <f ca="1">INDEX(Photobiology!$21:$421,1+$AH417-380,AR$14)</f>
        <v>2.54615594812796e-8</v>
      </c>
      <c r="AS417" s="236">
        <f ca="1" t="shared" si="152"/>
        <v>5.20956529660788e+19</v>
      </c>
      <c r="AT417" s="236">
        <f ca="1">INDEX(Photobiology!$21:$421,1+$AH417-380,AT$14)</f>
        <v>7.50617966366139e-11</v>
      </c>
      <c r="AU417" s="236">
        <f ca="1">INDEX(Photobiology!$21:$421,1+$AH417-380,AU$14)</f>
        <v>2.2487622587751e-6</v>
      </c>
      <c r="AV417" s="236">
        <f ca="1">INDEX(Photobiology!$21:$421,1+$AH417-380,AV$14)</f>
        <v>2.52398830138908e-5</v>
      </c>
      <c r="AW417" s="236">
        <f ca="1">INDEX(Photobiology!$21:$421,1+$AH417-380,AW$14)</f>
        <v>1.05904396818198e-7</v>
      </c>
      <c r="AX417" s="236">
        <f ca="1">INDEX(Photobiology!$21:$421,1+$AH417-380,AX$14)</f>
        <v>1.6037410287096e-8</v>
      </c>
      <c r="AY417" s="236">
        <f ca="1" t="shared" si="139"/>
        <v>13.3319879209511</v>
      </c>
      <c r="AZ417" s="236">
        <f ca="1" t="shared" si="153"/>
        <v>1.76491141291218e-9</v>
      </c>
      <c r="BA417" s="236">
        <f ca="1" t="shared" si="140"/>
        <v>4.2842510467241e-5</v>
      </c>
      <c r="BB417" s="236">
        <f ca="1" t="shared" si="141"/>
        <v>0.000458691731516105</v>
      </c>
      <c r="BC417" s="236">
        <f ca="1" t="shared" si="142"/>
        <v>2.14944784406317e-6</v>
      </c>
      <c r="BD417" s="236">
        <f ca="1" t="shared" si="143"/>
        <v>3.39453203452999e-7</v>
      </c>
    </row>
    <row r="418" s="234" customFormat="1" ht="0.2" customHeight="1" spans="7:56">
      <c r="G418" s="236"/>
      <c r="H418" s="236">
        <f t="shared" si="144"/>
        <v>777</v>
      </c>
      <c r="I418" s="236">
        <f>IF($H418&gt;$H417,INDEX(Spectra!418:418,1,MATCH($I$20,Spectra!$20:$20,0)),I417)</f>
        <v>0.500714259389775</v>
      </c>
      <c r="J418" s="236">
        <f>((Physics!$C$9*Physics!$C$10)/(Physics!$C$11*Physics!$C$12*$H418))^($J$17-$J$18)</f>
        <v>3.91260379538112e+18</v>
      </c>
      <c r="K418" s="236">
        <f t="shared" si="145"/>
        <v>1</v>
      </c>
      <c r="L418" s="236">
        <f ca="1">INDEX(Photobiology!$21:$421,1+$H418-380,10)</f>
        <v>1.845285e-5</v>
      </c>
      <c r="M418" s="236">
        <f ca="1" t="shared" si="146"/>
        <v>0.500714259389775</v>
      </c>
      <c r="N418" s="236">
        <f ca="1">INDEX(Photobiology!$21:$421,1+$H418-380,N$14)</f>
        <v>1.26300770504569e-10</v>
      </c>
      <c r="O418" s="236">
        <f ca="1">INDEX(Photobiology!$21:$421,1+$H418-380,O$14)</f>
        <v>3.02660677570317e-6</v>
      </c>
      <c r="P418" s="236">
        <f ca="1">INDEX(Photobiology!$21:$421,1+$H418-380,P$14)</f>
        <v>3.23049445552313e-5</v>
      </c>
      <c r="Q418" s="236">
        <f ca="1">INDEX(Photobiology!$21:$421,1+$H418-380,Q$14)</f>
        <v>1.52449849513409e-7</v>
      </c>
      <c r="R418" s="236">
        <f ca="1">INDEX(Photobiology!$21:$421,1+$H418-380,R$14)</f>
        <v>2.41210939377362e-8</v>
      </c>
      <c r="S418" s="236">
        <f ca="1" t="shared" si="147"/>
        <v>1.95909651168988e+18</v>
      </c>
      <c r="T418" s="236">
        <f ca="1">INDEX(Photobiology!$21:$421,1+$H418-380,T$14)</f>
        <v>7.15216718429992e-11</v>
      </c>
      <c r="U418" s="236">
        <f ca="1">INDEX(Photobiology!$21:$421,1+$H418-380,U$14)</f>
        <v>2.11524290160054e-6</v>
      </c>
      <c r="V418" s="236">
        <f ca="1">INDEX(Photobiology!$21:$421,1+$H418-380,V$14)</f>
        <v>2.3668516614778e-5</v>
      </c>
      <c r="W418" s="236">
        <f ca="1">INDEX(Photobiology!$21:$421,1+$H418-380,W$14)</f>
        <v>1.0001144300198e-7</v>
      </c>
      <c r="X418" s="236">
        <f ca="1">INDEX(Photobiology!$21:$421,1+$H418-380,X$14)</f>
        <v>1.51735409967179e-8</v>
      </c>
      <c r="Y418" s="236">
        <f ca="1" t="shared" si="134"/>
        <v>0.500714259389775</v>
      </c>
      <c r="Z418" s="236">
        <f ca="1" t="shared" si="148"/>
        <v>6.32405967635532e-11</v>
      </c>
      <c r="AA418" s="236">
        <f ca="1" t="shared" si="135"/>
        <v>1.51546517016029e-6</v>
      </c>
      <c r="AB418" s="236">
        <f ca="1" t="shared" si="136"/>
        <v>1.61755463876004e-5</v>
      </c>
      <c r="AC418" s="236">
        <f ca="1" t="shared" si="137"/>
        <v>7.63338134931892e-8</v>
      </c>
      <c r="AD418" s="236">
        <f ca="1" t="shared" si="138"/>
        <v>1.20777756867048e-8</v>
      </c>
      <c r="AE418" s="236"/>
      <c r="AF418" s="236"/>
      <c r="AG418" s="236"/>
      <c r="AH418" s="236">
        <f t="shared" si="149"/>
        <v>777</v>
      </c>
      <c r="AI418" s="236">
        <f>IF($AH418&gt;$AH417,INDEX(Spectra!418:418,1,MATCH($AI$20,Spectra!$20:$20,0)),AI417)</f>
        <v>1</v>
      </c>
      <c r="AJ418" s="236">
        <f>((Physics!$C$9*Physics!$C$10)/(Physics!$C$11*Physics!$C$12*$AH418))^($AJ$17-$AJ$18)</f>
        <v>3.91260379538112e+18</v>
      </c>
      <c r="AK418" s="236">
        <f t="shared" si="150"/>
        <v>1</v>
      </c>
      <c r="AL418" s="236">
        <f ca="1">INDEX(Photobiology!$21:$421,1+$AH418-380,10)</f>
        <v>1.845285e-5</v>
      </c>
      <c r="AM418" s="236">
        <f ca="1" t="shared" si="151"/>
        <v>13.3319879209511</v>
      </c>
      <c r="AN418" s="236">
        <f ca="1">INDEX(Photobiology!$21:$421,1+$AH418-380,AN$14)</f>
        <v>1.26300770504569e-10</v>
      </c>
      <c r="AO418" s="236">
        <f ca="1">INDEX(Photobiology!$21:$421,1+$AH418-380,AO$14)</f>
        <v>3.02660677570317e-6</v>
      </c>
      <c r="AP418" s="236">
        <f ca="1">INDEX(Photobiology!$21:$421,1+$AH418-380,AP$14)</f>
        <v>3.23049445552313e-5</v>
      </c>
      <c r="AQ418" s="236">
        <f ca="1">INDEX(Photobiology!$21:$421,1+$AH418-380,AQ$14)</f>
        <v>1.52449849513409e-7</v>
      </c>
      <c r="AR418" s="236">
        <f ca="1">INDEX(Photobiology!$21:$421,1+$AH418-380,AR$14)</f>
        <v>2.41210939377362e-8</v>
      </c>
      <c r="AS418" s="236">
        <f ca="1" t="shared" si="152"/>
        <v>5.21627865394887e+19</v>
      </c>
      <c r="AT418" s="236">
        <f ca="1">INDEX(Photobiology!$21:$421,1+$AH418-380,AT$14)</f>
        <v>7.15216718429992e-11</v>
      </c>
      <c r="AU418" s="236">
        <f ca="1">INDEX(Photobiology!$21:$421,1+$AH418-380,AU$14)</f>
        <v>2.11524290160054e-6</v>
      </c>
      <c r="AV418" s="236">
        <f ca="1">INDEX(Photobiology!$21:$421,1+$AH418-380,AV$14)</f>
        <v>2.3668516614778e-5</v>
      </c>
      <c r="AW418" s="236">
        <f ca="1">INDEX(Photobiology!$21:$421,1+$AH418-380,AW$14)</f>
        <v>1.0001144300198e-7</v>
      </c>
      <c r="AX418" s="236">
        <f ca="1">INDEX(Photobiology!$21:$421,1+$AH418-380,AX$14)</f>
        <v>1.51735409967179e-8</v>
      </c>
      <c r="AY418" s="236">
        <f ca="1" t="shared" si="139"/>
        <v>13.3319879209511</v>
      </c>
      <c r="AZ418" s="236">
        <f ca="1" t="shared" si="153"/>
        <v>1.68384034677374e-9</v>
      </c>
      <c r="BA418" s="236">
        <f ca="1" t="shared" si="140"/>
        <v>4.03506849751435e-5</v>
      </c>
      <c r="BB418" s="236">
        <f ca="1" t="shared" si="141"/>
        <v>0.00043068913059734</v>
      </c>
      <c r="BC418" s="236">
        <f ca="1" t="shared" si="142"/>
        <v>2.03245955226359e-6</v>
      </c>
      <c r="BD418" s="236">
        <f ca="1" t="shared" si="143"/>
        <v>3.21582133018027e-7</v>
      </c>
    </row>
    <row r="419" s="234" customFormat="1" ht="0.2" customHeight="1" spans="7:56">
      <c r="G419" s="236"/>
      <c r="H419" s="236">
        <f t="shared" si="144"/>
        <v>778</v>
      </c>
      <c r="I419" s="236">
        <f>IF($H419&gt;$H418,INDEX(Spectra!419:419,1,MATCH($I$20,Spectra!$20:$20,0)),I418)</f>
        <v>0.48741756867323</v>
      </c>
      <c r="J419" s="236">
        <f>((Physics!$C$9*Physics!$C$10)/(Physics!$C$11*Physics!$C$12*$H419))^($J$17-$J$18)</f>
        <v>3.9176393215013e+18</v>
      </c>
      <c r="K419" s="236">
        <f t="shared" si="145"/>
        <v>1</v>
      </c>
      <c r="L419" s="236">
        <f ca="1">INDEX(Photobiology!$21:$421,1+$H419-380,10)</f>
        <v>1.721687e-5</v>
      </c>
      <c r="M419" s="236">
        <f ca="1" t="shared" si="146"/>
        <v>0.48741756867323</v>
      </c>
      <c r="N419" s="236">
        <f ca="1">INDEX(Photobiology!$21:$421,1+$H419-380,N$14)</f>
        <v>1.2051247339724e-10</v>
      </c>
      <c r="O419" s="236">
        <f ca="1">INDEX(Photobiology!$21:$421,1+$H419-380,O$14)</f>
        <v>2.85100513810981e-6</v>
      </c>
      <c r="P419" s="236">
        <f ca="1">INDEX(Photobiology!$21:$421,1+$H419-380,P$14)</f>
        <v>3.03376544253301e-5</v>
      </c>
      <c r="Q419" s="236">
        <f ca="1">INDEX(Photobiology!$21:$421,1+$H419-380,Q$14)</f>
        <v>1.44173685356646e-7</v>
      </c>
      <c r="R419" s="236">
        <f ca="1">INDEX(Photobiology!$21:$421,1+$H419-380,R$14)</f>
        <v>2.28544618768467e-8</v>
      </c>
      <c r="S419" s="236">
        <f ca="1" t="shared" si="147"/>
        <v>1.90952623302481e+18</v>
      </c>
      <c r="T419" s="236">
        <f ca="1">INDEX(Photobiology!$21:$421,1+$H419-380,T$14)</f>
        <v>6.8156154620547e-11</v>
      </c>
      <c r="U419" s="236">
        <f ca="1">INDEX(Photobiology!$21:$421,1+$H419-380,U$14)</f>
        <v>1.98995689031127e-6</v>
      </c>
      <c r="V419" s="236">
        <f ca="1">INDEX(Photobiology!$21:$421,1+$H419-380,V$14)</f>
        <v>2.21985936749552e-5</v>
      </c>
      <c r="W419" s="236">
        <f ca="1">INDEX(Photobiology!$21:$421,1+$H419-380,W$14)</f>
        <v>9.44604728625868e-8</v>
      </c>
      <c r="X419" s="236">
        <f ca="1">INDEX(Photobiology!$21:$421,1+$H419-380,X$14)</f>
        <v>1.43582782144773e-8</v>
      </c>
      <c r="Y419" s="236">
        <f ca="1" t="shared" si="134"/>
        <v>0.48741756867323</v>
      </c>
      <c r="Z419" s="236">
        <f ca="1" t="shared" si="148"/>
        <v>5.873989677808e-11</v>
      </c>
      <c r="AA419" s="236">
        <f ca="1" t="shared" si="135"/>
        <v>1.38962999269237e-6</v>
      </c>
      <c r="AB419" s="236">
        <f ca="1" t="shared" si="136"/>
        <v>1.47871057592431e-5</v>
      </c>
      <c r="AC419" s="236">
        <f ca="1" t="shared" si="137"/>
        <v>7.02727871831957e-8</v>
      </c>
      <c r="AD419" s="236">
        <f ca="1" t="shared" si="138"/>
        <v>1.11396662413476e-8</v>
      </c>
      <c r="AE419" s="236"/>
      <c r="AF419" s="236"/>
      <c r="AG419" s="236"/>
      <c r="AH419" s="236">
        <f t="shared" si="149"/>
        <v>778</v>
      </c>
      <c r="AI419" s="236">
        <f>IF($AH419&gt;$AH418,INDEX(Spectra!419:419,1,MATCH($AI$20,Spectra!$20:$20,0)),AI418)</f>
        <v>1</v>
      </c>
      <c r="AJ419" s="236">
        <f>((Physics!$C$9*Physics!$C$10)/(Physics!$C$11*Physics!$C$12*$AH419))^($AJ$17-$AJ$18)</f>
        <v>3.9176393215013e+18</v>
      </c>
      <c r="AK419" s="236">
        <f t="shared" si="150"/>
        <v>1</v>
      </c>
      <c r="AL419" s="236">
        <f ca="1">INDEX(Photobiology!$21:$421,1+$AH419-380,10)</f>
        <v>1.721687e-5</v>
      </c>
      <c r="AM419" s="236">
        <f ca="1" t="shared" si="151"/>
        <v>13.3319879209511</v>
      </c>
      <c r="AN419" s="236">
        <f ca="1">INDEX(Photobiology!$21:$421,1+$AH419-380,AN$14)</f>
        <v>1.2051247339724e-10</v>
      </c>
      <c r="AO419" s="236">
        <f ca="1">INDEX(Photobiology!$21:$421,1+$AH419-380,AO$14)</f>
        <v>2.85100513810981e-6</v>
      </c>
      <c r="AP419" s="236">
        <f ca="1">INDEX(Photobiology!$21:$421,1+$AH419-380,AP$14)</f>
        <v>3.03376544253301e-5</v>
      </c>
      <c r="AQ419" s="236">
        <f ca="1">INDEX(Photobiology!$21:$421,1+$AH419-380,AQ$14)</f>
        <v>1.44173685356646e-7</v>
      </c>
      <c r="AR419" s="236">
        <f ca="1">INDEX(Photobiology!$21:$421,1+$AH419-380,AR$14)</f>
        <v>2.28544618768467e-8</v>
      </c>
      <c r="AS419" s="236">
        <f ca="1" t="shared" si="152"/>
        <v>5.22299201128986e+19</v>
      </c>
      <c r="AT419" s="236">
        <f ca="1">INDEX(Photobiology!$21:$421,1+$AH419-380,AT$14)</f>
        <v>6.8156154620547e-11</v>
      </c>
      <c r="AU419" s="236">
        <f ca="1">INDEX(Photobiology!$21:$421,1+$AH419-380,AU$14)</f>
        <v>1.98995689031127e-6</v>
      </c>
      <c r="AV419" s="236">
        <f ca="1">INDEX(Photobiology!$21:$421,1+$AH419-380,AV$14)</f>
        <v>2.21985936749552e-5</v>
      </c>
      <c r="AW419" s="236">
        <f ca="1">INDEX(Photobiology!$21:$421,1+$AH419-380,AW$14)</f>
        <v>9.44604728625868e-8</v>
      </c>
      <c r="AX419" s="236">
        <f ca="1">INDEX(Photobiology!$21:$421,1+$AH419-380,AX$14)</f>
        <v>1.43582782144773e-8</v>
      </c>
      <c r="AY419" s="236">
        <f ca="1" t="shared" si="139"/>
        <v>13.3319879209511</v>
      </c>
      <c r="AZ419" s="236">
        <f ca="1" t="shared" si="153"/>
        <v>1.60667083965595e-9</v>
      </c>
      <c r="BA419" s="236">
        <f ca="1" t="shared" si="140"/>
        <v>3.80095660638496e-5</v>
      </c>
      <c r="BB419" s="236">
        <f ca="1" t="shared" si="141"/>
        <v>0.000404461242348491</v>
      </c>
      <c r="BC419" s="236">
        <f ca="1" t="shared" si="142"/>
        <v>1.92212183169381e-6</v>
      </c>
      <c r="BD419" s="236">
        <f ca="1" t="shared" si="143"/>
        <v>3.04695409681959e-7</v>
      </c>
    </row>
    <row r="420" s="234" customFormat="1" ht="0.2" customHeight="1" spans="7:56">
      <c r="G420" s="236"/>
      <c r="H420" s="236">
        <f t="shared" si="144"/>
        <v>779</v>
      </c>
      <c r="I420" s="236">
        <f>IF($H420&gt;$H419,INDEX(Spectra!420:420,1,MATCH($I$20,Spectra!$20:$20,0)),I419)</f>
        <v>0.47459579069147</v>
      </c>
      <c r="J420" s="236">
        <f>((Physics!$C$9*Physics!$C$10)/(Physics!$C$11*Physics!$C$12*$H420))^($J$17-$J$18)</f>
        <v>3.92267484762148e+18</v>
      </c>
      <c r="K420" s="236">
        <f t="shared" si="145"/>
        <v>1</v>
      </c>
      <c r="L420" s="236">
        <f ca="1">INDEX(Photobiology!$21:$421,1+$H420-380,10)</f>
        <v>1.606459e-5</v>
      </c>
      <c r="M420" s="236">
        <f ca="1" t="shared" si="146"/>
        <v>0.47459579069147</v>
      </c>
      <c r="N420" s="236">
        <f ca="1">INDEX(Photobiology!$21:$421,1+$H420-380,N$14)</f>
        <v>1.15003219886434e-10</v>
      </c>
      <c r="O420" s="236">
        <f ca="1">INDEX(Photobiology!$21:$421,1+$H420-380,O$14)</f>
        <v>2.68601231797977e-6</v>
      </c>
      <c r="P420" s="236">
        <f ca="1">INDEX(Photobiology!$21:$421,1+$H420-380,P$14)</f>
        <v>2.84945629404093e-5</v>
      </c>
      <c r="Q420" s="236">
        <f ca="1">INDEX(Photobiology!$21:$421,1+$H420-380,Q$14)</f>
        <v>1.36366282091771e-7</v>
      </c>
      <c r="R420" s="236">
        <f ca="1">INDEX(Photobiology!$21:$421,1+$H420-380,R$14)</f>
        <v>2.16573342849408e-8</v>
      </c>
      <c r="S420" s="236">
        <f ca="1" t="shared" si="147"/>
        <v>1.86168497093246e+18</v>
      </c>
      <c r="T420" s="236">
        <f ca="1">INDEX(Photobiology!$21:$421,1+$H420-380,T$14)</f>
        <v>6.49568892811694e-11</v>
      </c>
      <c r="U420" s="236">
        <f ca="1">INDEX(Photobiology!$21:$421,1+$H420-380,U$14)</f>
        <v>1.87238782035442e-6</v>
      </c>
      <c r="V420" s="236">
        <f ca="1">INDEX(Photobiology!$21:$421,1+$H420-380,V$14)</f>
        <v>2.08232062725656e-5</v>
      </c>
      <c r="W420" s="236">
        <f ca="1">INDEX(Photobiology!$21:$421,1+$H420-380,W$14)</f>
        <v>8.92304852200805e-8</v>
      </c>
      <c r="X420" s="236">
        <f ca="1">INDEX(Photobiology!$21:$421,1+$H420-380,X$14)</f>
        <v>1.35887185478037e-8</v>
      </c>
      <c r="Y420" s="236">
        <f ca="1" t="shared" si="134"/>
        <v>0.47459579069147</v>
      </c>
      <c r="Z420" s="236">
        <f ca="1" t="shared" si="148"/>
        <v>5.45800440740671e-11</v>
      </c>
      <c r="AA420" s="236">
        <f ca="1" t="shared" si="135"/>
        <v>1.27477013985864e-6</v>
      </c>
      <c r="AB420" s="236">
        <f ca="1" t="shared" si="136"/>
        <v>1.35233996291114e-5</v>
      </c>
      <c r="AC420" s="236">
        <f ca="1" t="shared" si="137"/>
        <v>6.47188634730001e-8</v>
      </c>
      <c r="AD420" s="236">
        <f ca="1" t="shared" si="138"/>
        <v>1.0278479689231e-8</v>
      </c>
      <c r="AE420" s="236"/>
      <c r="AF420" s="236"/>
      <c r="AG420" s="236"/>
      <c r="AH420" s="236">
        <f t="shared" si="149"/>
        <v>779</v>
      </c>
      <c r="AI420" s="236">
        <f>IF($AH420&gt;$AH419,INDEX(Spectra!420:420,1,MATCH($AI$20,Spectra!$20:$20,0)),AI419)</f>
        <v>1</v>
      </c>
      <c r="AJ420" s="236">
        <f>((Physics!$C$9*Physics!$C$10)/(Physics!$C$11*Physics!$C$12*$AH420))^($AJ$17-$AJ$18)</f>
        <v>3.92267484762148e+18</v>
      </c>
      <c r="AK420" s="236">
        <f t="shared" si="150"/>
        <v>1</v>
      </c>
      <c r="AL420" s="236">
        <f ca="1">INDEX(Photobiology!$21:$421,1+$AH420-380,10)</f>
        <v>1.606459e-5</v>
      </c>
      <c r="AM420" s="236">
        <f ca="1" t="shared" si="151"/>
        <v>13.3319879209511</v>
      </c>
      <c r="AN420" s="236">
        <f ca="1">INDEX(Photobiology!$21:$421,1+$AH420-380,AN$14)</f>
        <v>1.15003219886434e-10</v>
      </c>
      <c r="AO420" s="236">
        <f ca="1">INDEX(Photobiology!$21:$421,1+$AH420-380,AO$14)</f>
        <v>2.68601231797977e-6</v>
      </c>
      <c r="AP420" s="236">
        <f ca="1">INDEX(Photobiology!$21:$421,1+$AH420-380,AP$14)</f>
        <v>2.84945629404093e-5</v>
      </c>
      <c r="AQ420" s="236">
        <f ca="1">INDEX(Photobiology!$21:$421,1+$AH420-380,AQ$14)</f>
        <v>1.36366282091771e-7</v>
      </c>
      <c r="AR420" s="236">
        <f ca="1">INDEX(Photobiology!$21:$421,1+$AH420-380,AR$14)</f>
        <v>2.16573342849408e-8</v>
      </c>
      <c r="AS420" s="236">
        <f ca="1" t="shared" si="152"/>
        <v>5.22970536863085e+19</v>
      </c>
      <c r="AT420" s="236">
        <f ca="1">INDEX(Photobiology!$21:$421,1+$AH420-380,AT$14)</f>
        <v>6.49568892811694e-11</v>
      </c>
      <c r="AU420" s="236">
        <f ca="1">INDEX(Photobiology!$21:$421,1+$AH420-380,AU$14)</f>
        <v>1.87238782035442e-6</v>
      </c>
      <c r="AV420" s="236">
        <f ca="1">INDEX(Photobiology!$21:$421,1+$AH420-380,AV$14)</f>
        <v>2.08232062725656e-5</v>
      </c>
      <c r="AW420" s="236">
        <f ca="1">INDEX(Photobiology!$21:$421,1+$AH420-380,AW$14)</f>
        <v>8.92304852200805e-8</v>
      </c>
      <c r="AX420" s="236">
        <f ca="1">INDEX(Photobiology!$21:$421,1+$AH420-380,AX$14)</f>
        <v>1.35887185478037e-8</v>
      </c>
      <c r="AY420" s="236">
        <f ca="1" t="shared" si="139"/>
        <v>13.3319879209511</v>
      </c>
      <c r="AZ420" s="236">
        <f ca="1" t="shared" si="153"/>
        <v>1.53322153839643e-9</v>
      </c>
      <c r="BA420" s="236">
        <f ca="1" t="shared" si="140"/>
        <v>3.58098837788323e-5</v>
      </c>
      <c r="BB420" s="236">
        <f ca="1" t="shared" si="141"/>
        <v>0.000379889168934319</v>
      </c>
      <c r="BC420" s="236">
        <f ca="1" t="shared" si="142"/>
        <v>1.81803362567251e-6</v>
      </c>
      <c r="BD420" s="236">
        <f ca="1" t="shared" si="143"/>
        <v>2.88735319086832e-7</v>
      </c>
    </row>
    <row r="421" s="234" customFormat="1" ht="0.2" customHeight="1" spans="7:56">
      <c r="G421" s="236"/>
      <c r="H421" s="236">
        <f t="shared" si="144"/>
        <v>780</v>
      </c>
      <c r="I421" s="236">
        <f>IF($H421&gt;$H420,INDEX(Spectra!421:421,1,MATCH($I$20,Spectra!$20:$20,0)),I420)</f>
        <v>0.463096922052508</v>
      </c>
      <c r="J421" s="236">
        <f>((Physics!$C$9*Physics!$C$10)/(Physics!$C$11*Physics!$C$12*$H421))^($J$17-$J$18)</f>
        <v>3.92771037374167e+18</v>
      </c>
      <c r="K421" s="236">
        <f t="shared" si="145"/>
        <v>1</v>
      </c>
      <c r="L421" s="236">
        <f ca="1">INDEX(Photobiology!$21:$421,1+$H421-380,10)</f>
        <v>1.499e-5</v>
      </c>
      <c r="M421" s="236">
        <f ca="1" t="shared" si="146"/>
        <v>0.463096922052508</v>
      </c>
      <c r="N421" s="236">
        <f ca="1">INDEX(Photobiology!$21:$421,1+$H421-380,N$14)</f>
        <v>1.09761491541203e-10</v>
      </c>
      <c r="O421" s="236">
        <f ca="1">INDEX(Photobiology!$21:$421,1+$H421-380,O$14)</f>
        <v>2.53095835948295e-6</v>
      </c>
      <c r="P421" s="236">
        <f ca="1">INDEX(Photobiology!$21:$421,1+$H421-380,P$14)</f>
        <v>2.67676965315619e-5</v>
      </c>
      <c r="Q421" s="236">
        <f ca="1">INDEX(Photobiology!$21:$421,1+$H421-380,Q$14)</f>
        <v>1.29000680119568e-7</v>
      </c>
      <c r="R421" s="236">
        <f ca="1">INDEX(Photobiology!$21:$421,1+$H421-380,R$14)</f>
        <v>2.05257956095253e-8</v>
      </c>
      <c r="S421" s="236">
        <f ca="1" t="shared" si="147"/>
        <v>1.81891058479347e+18</v>
      </c>
      <c r="T421" s="236">
        <f ca="1">INDEX(Photobiology!$21:$421,1+$H421-380,T$14)</f>
        <v>6.19167388181145e-11</v>
      </c>
      <c r="U421" s="236">
        <f ca="1">INDEX(Photobiology!$21:$421,1+$H421-380,U$14)</f>
        <v>1.76203959154232e-6</v>
      </c>
      <c r="V421" s="236">
        <f ca="1">INDEX(Photobiology!$21:$421,1+$H421-380,V$14)</f>
        <v>1.95361713692132e-5</v>
      </c>
      <c r="W421" s="236">
        <f ca="1">INDEX(Photobiology!$21:$421,1+$H421-380,W$14)</f>
        <v>8.4302627285606e-8</v>
      </c>
      <c r="X421" s="236">
        <f ca="1">INDEX(Photobiology!$21:$421,1+$H421-380,X$14)</f>
        <v>1.28622325835843e-8</v>
      </c>
      <c r="Y421" s="236">
        <f ca="1" t="shared" si="134"/>
        <v>0.463096922052508</v>
      </c>
      <c r="Z421" s="236">
        <f ca="1" t="shared" si="148"/>
        <v>5.08302088926235e-11</v>
      </c>
      <c r="AA421" s="236">
        <f ca="1" t="shared" si="135"/>
        <v>1.17207902611962e-6</v>
      </c>
      <c r="AB421" s="236">
        <f ca="1" t="shared" si="136"/>
        <v>1.23960378742019e-5</v>
      </c>
      <c r="AC421" s="236">
        <f ca="1" t="shared" si="137"/>
        <v>5.97398179060521e-8</v>
      </c>
      <c r="AD421" s="236">
        <f ca="1" t="shared" si="138"/>
        <v>9.50543276945005e-9</v>
      </c>
      <c r="AE421" s="236"/>
      <c r="AF421" s="236"/>
      <c r="AG421" s="236"/>
      <c r="AH421" s="236">
        <f t="shared" si="149"/>
        <v>780</v>
      </c>
      <c r="AI421" s="236">
        <f>IF($AH421&gt;$AH420,INDEX(Spectra!421:421,1,MATCH($AI$20,Spectra!$20:$20,0)),AI420)</f>
        <v>1</v>
      </c>
      <c r="AJ421" s="236">
        <f>((Physics!$C$9*Physics!$C$10)/(Physics!$C$11*Physics!$C$12*$AH421))^($AJ$17-$AJ$18)</f>
        <v>3.92771037374167e+18</v>
      </c>
      <c r="AK421" s="236">
        <f t="shared" si="150"/>
        <v>1</v>
      </c>
      <c r="AL421" s="236">
        <f ca="1">INDEX(Photobiology!$21:$421,1+$AH421-380,10)</f>
        <v>1.499e-5</v>
      </c>
      <c r="AM421" s="236">
        <f ca="1" t="shared" si="151"/>
        <v>13.3319879209511</v>
      </c>
      <c r="AN421" s="236">
        <f ca="1">INDEX(Photobiology!$21:$421,1+$AH421-380,AN$14)</f>
        <v>1.09761491541203e-10</v>
      </c>
      <c r="AO421" s="236">
        <f ca="1">INDEX(Photobiology!$21:$421,1+$AH421-380,AO$14)</f>
        <v>2.53095835948295e-6</v>
      </c>
      <c r="AP421" s="236">
        <f ca="1">INDEX(Photobiology!$21:$421,1+$AH421-380,AP$14)</f>
        <v>2.67676965315619e-5</v>
      </c>
      <c r="AQ421" s="236">
        <f ca="1">INDEX(Photobiology!$21:$421,1+$AH421-380,AQ$14)</f>
        <v>1.29000680119568e-7</v>
      </c>
      <c r="AR421" s="236">
        <f ca="1">INDEX(Photobiology!$21:$421,1+$AH421-380,AR$14)</f>
        <v>2.05257956095253e-8</v>
      </c>
      <c r="AS421" s="236">
        <f ca="1" t="shared" si="152"/>
        <v>5.23641872597184e+19</v>
      </c>
      <c r="AT421" s="236">
        <f ca="1">INDEX(Photobiology!$21:$421,1+$AH421-380,AT$14)</f>
        <v>6.19167388181145e-11</v>
      </c>
      <c r="AU421" s="236">
        <f ca="1">INDEX(Photobiology!$21:$421,1+$AH421-380,AU$14)</f>
        <v>1.76203959154232e-6</v>
      </c>
      <c r="AV421" s="236">
        <f ca="1">INDEX(Photobiology!$21:$421,1+$AH421-380,AV$14)</f>
        <v>1.95361713692132e-5</v>
      </c>
      <c r="AW421" s="236">
        <f ca="1">INDEX(Photobiology!$21:$421,1+$AH421-380,AW$14)</f>
        <v>8.4302627285606e-8</v>
      </c>
      <c r="AX421" s="236">
        <f ca="1">INDEX(Photobiology!$21:$421,1+$AH421-380,AX$14)</f>
        <v>1.28622325835843e-8</v>
      </c>
      <c r="AY421" s="236">
        <f ca="1" t="shared" si="139"/>
        <v>13.3319879209511</v>
      </c>
      <c r="AZ421" s="236">
        <f ca="1" t="shared" si="153"/>
        <v>1.4633388794129e-9</v>
      </c>
      <c r="BA421" s="236">
        <f ca="1" t="shared" si="140"/>
        <v>3.3742706277057e-5</v>
      </c>
      <c r="BB421" s="236">
        <f ca="1" t="shared" si="141"/>
        <v>0.000356866606830469</v>
      </c>
      <c r="BC421" s="236">
        <f ca="1" t="shared" si="142"/>
        <v>1.71983550914856e-6</v>
      </c>
      <c r="BD421" s="236">
        <f ca="1" t="shared" si="143"/>
        <v>2.73649659134103e-7</v>
      </c>
    </row>
    <row r="422" ht="15" hidden="1" customHeight="1" spans="1:1">
      <c r="A422" s="235" t="s">
        <v>369</v>
      </c>
    </row>
    <row r="423" ht="15" hidden="1" customHeight="1"/>
    <row r="424" ht="15" hidden="1" customHeight="1"/>
    <row r="425" ht="15" hidden="1" customHeight="1"/>
    <row r="426" ht="15" hidden="1" customHeight="1"/>
    <row r="427" ht="15" hidden="1" customHeight="1"/>
  </sheetData>
  <sheetProtection password="CAB0" sheet="1" objects="1" scenarios="1"/>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pageSetUpPr fitToPage="1"/>
  </sheetPr>
  <dimension ref="B1:J59"/>
  <sheetViews>
    <sheetView workbookViewId="0">
      <selection activeCell="M37" sqref="M37"/>
    </sheetView>
  </sheetViews>
  <sheetFormatPr defaultColWidth="0" defaultRowHeight="14.4" zeroHeight="1"/>
  <cols>
    <col min="1" max="1" width="5.71296296296296" style="6" customWidth="1"/>
    <col min="2" max="8" width="15.712962962963" style="6" customWidth="1"/>
    <col min="9" max="15" width="15.8518518518519" style="6" customWidth="1"/>
    <col min="16" max="19" width="15.8518518518519" style="6" hidden="1" customWidth="1"/>
    <col min="20" max="21" width="9.13888888888889" style="6" hidden="1" customWidth="1"/>
    <col min="22" max="22" width="5.85185185185185" style="6" hidden="1" customWidth="1"/>
    <col min="23" max="16384" width="9.13888888888889" style="6" hidden="1"/>
  </cols>
  <sheetData>
    <row r="1" ht="24.95" customHeight="1" spans="2:2">
      <c r="B1" s="5" t="str">
        <f>LEFT(Disclaimer!B1,Maintenance!I3)</f>
        <v>CIE S 026 α-opic Toolbox - v1.049a - 2020/11</v>
      </c>
    </row>
    <row r="2" s="85" customFormat="1" ht="15" customHeight="1" spans="2:2">
      <c r="B2" s="218"/>
    </row>
    <row r="3" s="85" customFormat="1" ht="15" customHeight="1" spans="2:3">
      <c r="B3" s="219" t="s">
        <v>363</v>
      </c>
      <c r="C3" s="11" t="str">
        <f>Outputs!C3</f>
        <v>Please note the α-opic Toolbox is not part of CIE S 026. See Disclaimer sheet.</v>
      </c>
    </row>
    <row r="4"/>
    <row r="5"/>
    <row r="6" spans="10:10">
      <c r="J6" s="30"/>
    </row>
    <row r="7"/>
    <row r="8"/>
    <row r="9"/>
    <row r="10"/>
    <row r="11"/>
    <row r="12"/>
    <row r="13"/>
    <row r="14"/>
    <row r="15"/>
    <row r="16"/>
    <row r="17"/>
    <row r="18"/>
    <row r="19"/>
    <row r="20"/>
    <row r="21"/>
    <row r="22"/>
    <row r="23"/>
    <row r="24"/>
    <row r="25"/>
    <row r="26"/>
    <row r="27"/>
    <row r="28"/>
    <row r="29"/>
    <row r="30"/>
    <row r="31"/>
    <row r="32"/>
    <row r="33"/>
    <row r="34"/>
    <row r="35"/>
    <row r="36" spans="2:2">
      <c r="B36" s="85" t="s">
        <v>370</v>
      </c>
    </row>
    <row r="37" spans="2:2">
      <c r="B37" s="85" t="s">
        <v>371</v>
      </c>
    </row>
    <row r="38"/>
    <row r="39"/>
    <row r="40"/>
    <row r="41"/>
    <row r="42"/>
    <row r="43"/>
    <row r="44"/>
    <row r="45"/>
    <row r="46"/>
    <row r="47"/>
    <row r="48"/>
    <row r="49"/>
    <row r="50"/>
    <row r="51"/>
    <row r="52"/>
    <row r="53"/>
    <row r="54"/>
    <row r="55"/>
    <row r="56"/>
    <row r="57"/>
    <row r="58"/>
    <row r="59"/>
  </sheetData>
  <sheetProtection password="CAB0" sheet="1" objects="1" scenarios="1"/>
  <pageMargins left="0.7" right="0.7" top="0.75" bottom="0.75" header="0.3" footer="0.3"/>
  <pageSetup paperSize="9" scale="57" fitToHeight="0" orientation="landscape"/>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pageSetUpPr fitToPage="1"/>
  </sheetPr>
  <dimension ref="B1:T426"/>
  <sheetViews>
    <sheetView workbookViewId="0">
      <selection activeCell="J5" sqref="J5"/>
    </sheetView>
  </sheetViews>
  <sheetFormatPr defaultColWidth="0" defaultRowHeight="14.4" customHeight="1" zeroHeight="1"/>
  <cols>
    <col min="1" max="1" width="5.71296296296296" style="7" customWidth="1"/>
    <col min="2" max="7" width="15.712962962963" style="7" customWidth="1"/>
    <col min="8" max="9" width="5.71296296296296" style="7" customWidth="1"/>
    <col min="10" max="15" width="15.712962962963" style="7" customWidth="1"/>
    <col min="16" max="16" width="5.71296296296296" style="7" customWidth="1"/>
    <col min="17" max="20" width="15.712962962963" style="7" hidden="1" customWidth="1"/>
    <col min="21" max="16384" width="8.71296296296296" style="7" hidden="1"/>
  </cols>
  <sheetData>
    <row r="1" ht="24.95" customHeight="1" spans="2:20">
      <c r="B1" s="23" t="str">
        <f>LEFT(Disclaimer!B1,Maintenance!I3)</f>
        <v>CIE S 026 α-opic Toolbox - v1.049a - 2020/11</v>
      </c>
      <c r="C1" s="221"/>
      <c r="E1" s="221"/>
      <c r="F1" s="221"/>
      <c r="G1" s="221"/>
      <c r="H1" s="221"/>
      <c r="I1" s="221"/>
      <c r="J1" s="221"/>
      <c r="N1" s="221"/>
      <c r="O1" s="221"/>
      <c r="P1" s="221"/>
      <c r="Q1" s="221"/>
      <c r="R1" s="221"/>
      <c r="S1" s="221"/>
      <c r="T1" s="221"/>
    </row>
    <row r="2" spans="2:20">
      <c r="B2" s="221"/>
      <c r="C2" s="221"/>
      <c r="E2" s="221"/>
      <c r="F2" s="221"/>
      <c r="G2" s="221"/>
      <c r="H2" s="221"/>
      <c r="I2" s="221"/>
      <c r="J2" s="221"/>
      <c r="N2" s="221"/>
      <c r="O2" s="221"/>
      <c r="P2" s="221"/>
      <c r="Q2" s="221"/>
      <c r="R2" s="221"/>
      <c r="S2" s="221"/>
      <c r="T2" s="221"/>
    </row>
    <row r="3" spans="2:20">
      <c r="B3" s="222" t="s">
        <v>372</v>
      </c>
      <c r="C3" s="11" t="str">
        <f>Outputs!C3</f>
        <v>Please note the α-opic Toolbox is not part of CIE S 026. See Disclaimer sheet.</v>
      </c>
      <c r="F3" s="221"/>
      <c r="G3" s="221"/>
      <c r="H3" s="221"/>
      <c r="I3" s="221"/>
      <c r="J3" s="15"/>
      <c r="N3" s="221"/>
      <c r="O3" s="15"/>
      <c r="P3" s="221"/>
      <c r="R3" s="221"/>
      <c r="S3" s="221"/>
      <c r="T3" s="15"/>
    </row>
    <row r="4" ht="15" customHeight="1" spans="2:20">
      <c r="B4" s="221"/>
      <c r="C4" s="15"/>
      <c r="F4" s="221"/>
      <c r="G4" s="221"/>
      <c r="H4" s="221"/>
      <c r="I4" s="221"/>
      <c r="J4" s="15"/>
      <c r="N4" s="221"/>
      <c r="O4" s="15"/>
      <c r="P4" s="221"/>
      <c r="R4" s="221"/>
      <c r="S4" s="221"/>
      <c r="T4" s="15"/>
    </row>
    <row r="5" ht="15" customHeight="1" spans="2:20">
      <c r="B5" s="221" t="s">
        <v>373</v>
      </c>
      <c r="D5" s="221"/>
      <c r="E5" s="221"/>
      <c r="F5" s="221"/>
      <c r="G5" s="221"/>
      <c r="H5" s="221"/>
      <c r="I5" s="221"/>
      <c r="J5" s="221"/>
      <c r="K5" s="221"/>
      <c r="N5" s="221"/>
      <c r="O5" s="221"/>
      <c r="P5" s="221"/>
      <c r="Q5" s="221"/>
      <c r="R5" s="221"/>
      <c r="S5" s="221"/>
      <c r="T5" s="221"/>
    </row>
    <row r="6" ht="15" customHeight="1" spans="8:16">
      <c r="H6" s="221"/>
      <c r="I6" s="221"/>
      <c r="P6" s="221"/>
    </row>
    <row r="7" ht="15" customHeight="1" spans="2:20">
      <c r="B7" s="7" t="s">
        <v>374</v>
      </c>
      <c r="M7" s="221"/>
      <c r="N7" s="221"/>
      <c r="O7" s="221"/>
      <c r="Q7" s="221"/>
      <c r="R7" s="221"/>
      <c r="S7" s="221"/>
      <c r="T7" s="221"/>
    </row>
    <row r="8" ht="15" customHeight="1" spans="2:19">
      <c r="B8" s="221"/>
      <c r="E8" s="221"/>
      <c r="F8" s="221"/>
      <c r="G8" s="221"/>
      <c r="M8" s="221"/>
      <c r="N8" s="221"/>
      <c r="Q8" s="221"/>
      <c r="R8" s="221"/>
      <c r="S8" s="221"/>
    </row>
    <row r="9" ht="15" customHeight="1" spans="2:19">
      <c r="B9" s="221"/>
      <c r="C9" s="7" t="s">
        <v>321</v>
      </c>
      <c r="E9" s="221"/>
      <c r="F9" s="221"/>
      <c r="G9" s="221"/>
      <c r="H9" s="221"/>
      <c r="M9" s="221"/>
      <c r="N9" s="221"/>
      <c r="P9" s="221"/>
      <c r="Q9" s="221"/>
      <c r="R9" s="221"/>
      <c r="S9" s="221"/>
    </row>
    <row r="10" ht="15" customHeight="1" spans="3:20">
      <c r="C10" s="223" t="s">
        <v>323</v>
      </c>
      <c r="D10" s="224">
        <v>0.817289644883213</v>
      </c>
      <c r="E10" s="225" t="s">
        <v>324</v>
      </c>
      <c r="P10" s="221"/>
      <c r="Q10" s="221"/>
      <c r="R10" s="221"/>
      <c r="S10" s="221"/>
      <c r="T10" s="221"/>
    </row>
    <row r="11" ht="15" customHeight="1" spans="3:20">
      <c r="C11" s="226" t="s">
        <v>325</v>
      </c>
      <c r="D11" s="224">
        <v>1.45582633881653</v>
      </c>
      <c r="E11" s="225" t="s">
        <v>324</v>
      </c>
      <c r="Q11" s="221"/>
      <c r="R11" s="221"/>
      <c r="S11" s="221"/>
      <c r="T11" s="221"/>
    </row>
    <row r="12" ht="15" customHeight="1" spans="3:20">
      <c r="C12" s="227" t="s">
        <v>330</v>
      </c>
      <c r="D12" s="224">
        <v>1.62890776589039</v>
      </c>
      <c r="E12" s="225" t="s">
        <v>324</v>
      </c>
      <c r="F12" s="221"/>
      <c r="G12" s="221"/>
      <c r="H12" s="221"/>
      <c r="N12" s="221"/>
      <c r="O12" s="221"/>
      <c r="P12" s="221"/>
      <c r="Q12" s="221"/>
      <c r="R12" s="221"/>
      <c r="S12" s="221"/>
      <c r="T12" s="221"/>
    </row>
    <row r="13" ht="15" customHeight="1" spans="2:20">
      <c r="B13" s="221"/>
      <c r="C13" s="228" t="s">
        <v>132</v>
      </c>
      <c r="D13" s="224">
        <v>1.4497035760559</v>
      </c>
      <c r="E13" s="225" t="s">
        <v>324</v>
      </c>
      <c r="F13" s="221"/>
      <c r="G13" s="221"/>
      <c r="H13" s="221"/>
      <c r="L13" s="221"/>
      <c r="N13" s="221"/>
      <c r="O13" s="221"/>
      <c r="P13" s="221"/>
      <c r="Q13" s="221"/>
      <c r="R13" s="221"/>
      <c r="S13" s="221"/>
      <c r="T13" s="221"/>
    </row>
    <row r="14" ht="15" customHeight="1" spans="3:20">
      <c r="C14" s="229" t="s">
        <v>133</v>
      </c>
      <c r="D14" s="224">
        <v>1.32621318911359</v>
      </c>
      <c r="E14" s="225" t="s">
        <v>324</v>
      </c>
      <c r="P14" s="221"/>
      <c r="Q14" s="221"/>
      <c r="R14" s="221"/>
      <c r="S14" s="221"/>
      <c r="T14" s="221"/>
    </row>
    <row r="15" ht="15" customHeight="1" spans="2:20">
      <c r="B15" s="221"/>
      <c r="P15" s="221"/>
      <c r="Q15" s="221"/>
      <c r="R15" s="221"/>
      <c r="S15" s="221"/>
      <c r="T15" s="221"/>
    </row>
    <row r="16" ht="15" customHeight="1" spans="3:20">
      <c r="C16" s="221" t="s">
        <v>375</v>
      </c>
      <c r="D16" s="221"/>
      <c r="E16" s="221"/>
      <c r="F16" s="221"/>
      <c r="G16" s="221" t="s">
        <v>326</v>
      </c>
      <c r="H16" s="221"/>
      <c r="J16" s="221"/>
      <c r="K16" s="7" t="s">
        <v>376</v>
      </c>
      <c r="L16" s="221"/>
      <c r="M16" s="221"/>
      <c r="N16" s="221"/>
      <c r="O16" s="221" t="s">
        <v>329</v>
      </c>
      <c r="P16" s="221"/>
      <c r="Q16" s="221"/>
      <c r="R16" s="221"/>
      <c r="S16" s="221"/>
      <c r="T16" s="221"/>
    </row>
    <row r="17" ht="15" customHeight="1" spans="2:20">
      <c r="B17" s="221"/>
      <c r="C17" s="12" t="s">
        <v>377</v>
      </c>
      <c r="D17" s="12" t="s">
        <v>378</v>
      </c>
      <c r="E17" s="12" t="s">
        <v>379</v>
      </c>
      <c r="F17" s="12" t="s">
        <v>380</v>
      </c>
      <c r="G17" s="12" t="s">
        <v>381</v>
      </c>
      <c r="H17" s="12"/>
      <c r="K17" s="12" t="s">
        <v>382</v>
      </c>
      <c r="L17" s="12" t="s">
        <v>383</v>
      </c>
      <c r="M17" s="12" t="s">
        <v>384</v>
      </c>
      <c r="N17" s="12" t="s">
        <v>385</v>
      </c>
      <c r="O17" s="12" t="s">
        <v>386</v>
      </c>
      <c r="P17" s="221"/>
      <c r="Q17" s="221"/>
      <c r="R17" s="221"/>
      <c r="S17" s="221"/>
      <c r="T17" s="221"/>
    </row>
    <row r="18" ht="15" customHeight="1" spans="2:20">
      <c r="B18" s="221"/>
      <c r="C18" s="13"/>
      <c r="D18" s="13"/>
      <c r="E18" s="13"/>
      <c r="F18" s="13"/>
      <c r="G18" s="13"/>
      <c r="H18" s="221"/>
      <c r="J18" s="221"/>
      <c r="K18" s="13"/>
      <c r="L18" s="13"/>
      <c r="M18" s="13"/>
      <c r="N18" s="13"/>
      <c r="O18" s="13"/>
      <c r="P18" s="221"/>
      <c r="Q18" s="221"/>
      <c r="R18" s="221"/>
      <c r="S18" s="221"/>
      <c r="T18" s="221"/>
    </row>
    <row r="19" ht="15" customHeight="1" spans="3:20">
      <c r="C19" s="57" t="s">
        <v>323</v>
      </c>
      <c r="D19" s="58" t="s">
        <v>325</v>
      </c>
      <c r="E19" s="59" t="s">
        <v>330</v>
      </c>
      <c r="F19" s="100" t="s">
        <v>132</v>
      </c>
      <c r="G19" s="101" t="s">
        <v>133</v>
      </c>
      <c r="K19" s="57" t="s">
        <v>323</v>
      </c>
      <c r="L19" s="58" t="s">
        <v>325</v>
      </c>
      <c r="M19" s="59" t="s">
        <v>330</v>
      </c>
      <c r="N19" s="100" t="s">
        <v>132</v>
      </c>
      <c r="O19" s="101" t="s">
        <v>133</v>
      </c>
      <c r="P19" s="221"/>
      <c r="Q19" s="221"/>
      <c r="R19" s="221"/>
      <c r="S19" s="221"/>
      <c r="T19" s="221"/>
    </row>
    <row r="20" ht="15" customHeight="1" spans="2:20">
      <c r="B20" s="12" t="s">
        <v>111</v>
      </c>
      <c r="C20" s="12" t="s">
        <v>332</v>
      </c>
      <c r="D20" s="12" t="s">
        <v>333</v>
      </c>
      <c r="E20" s="12" t="s">
        <v>334</v>
      </c>
      <c r="F20" s="12" t="s">
        <v>335</v>
      </c>
      <c r="G20" s="12" t="s">
        <v>336</v>
      </c>
      <c r="J20" s="12" t="s">
        <v>111</v>
      </c>
      <c r="K20" s="12" t="s">
        <v>332</v>
      </c>
      <c r="L20" s="12" t="s">
        <v>333</v>
      </c>
      <c r="M20" s="12" t="s">
        <v>334</v>
      </c>
      <c r="N20" s="12" t="s">
        <v>335</v>
      </c>
      <c r="O20" s="12" t="s">
        <v>336</v>
      </c>
      <c r="P20" s="12"/>
      <c r="Q20" s="221"/>
      <c r="R20" s="221"/>
      <c r="S20" s="221"/>
      <c r="T20" s="221"/>
    </row>
    <row r="21" ht="15" customHeight="1" spans="2:20">
      <c r="B21" s="12">
        <v>380</v>
      </c>
      <c r="C21" s="230"/>
      <c r="D21" s="230"/>
      <c r="E21" s="230"/>
      <c r="F21" s="231">
        <v>0.000589</v>
      </c>
      <c r="G21" s="230">
        <v>0.000918165</v>
      </c>
      <c r="H21" s="12"/>
      <c r="J21" s="12">
        <v>380</v>
      </c>
      <c r="K21" s="231" t="s">
        <v>387</v>
      </c>
      <c r="L21" s="231" t="s">
        <v>387</v>
      </c>
      <c r="M21" s="231" t="s">
        <v>387</v>
      </c>
      <c r="N21" s="231">
        <v>0.000783550651955868</v>
      </c>
      <c r="O21" s="231">
        <v>0.00118147064742441</v>
      </c>
      <c r="P21" s="12"/>
      <c r="Q21" s="230"/>
      <c r="R21" s="231"/>
      <c r="S21" s="230"/>
      <c r="T21" s="230"/>
    </row>
    <row r="22" ht="15" customHeight="1" spans="2:20">
      <c r="B22" s="12">
        <v>381</v>
      </c>
      <c r="C22" s="230"/>
      <c r="D22" s="230"/>
      <c r="E22" s="230"/>
      <c r="F22" s="231">
        <v>0.000665</v>
      </c>
      <c r="G22" s="230">
        <v>0.00104557</v>
      </c>
      <c r="H22" s="12"/>
      <c r="J22" s="12">
        <v>381</v>
      </c>
      <c r="K22" s="231" t="s">
        <v>387</v>
      </c>
      <c r="L22" s="231" t="s">
        <v>387</v>
      </c>
      <c r="M22" s="231" t="s">
        <v>387</v>
      </c>
      <c r="N22" s="231">
        <v>0.000882332035476508</v>
      </c>
      <c r="O22" s="231">
        <v>0.00134188079557365</v>
      </c>
      <c r="P22" s="12"/>
      <c r="Q22" s="230"/>
      <c r="R22" s="231"/>
      <c r="S22" s="230"/>
      <c r="T22" s="230"/>
    </row>
    <row r="23" ht="15" customHeight="1" spans="2:20">
      <c r="B23" s="12">
        <v>382</v>
      </c>
      <c r="C23" s="230"/>
      <c r="D23" s="230"/>
      <c r="E23" s="230"/>
      <c r="F23" s="231">
        <v>0.000752</v>
      </c>
      <c r="G23" s="230">
        <v>0.00117858</v>
      </c>
      <c r="H23" s="12"/>
      <c r="J23" s="12">
        <v>382</v>
      </c>
      <c r="K23" s="231" t="s">
        <v>387</v>
      </c>
      <c r="L23" s="231" t="s">
        <v>387</v>
      </c>
      <c r="M23" s="231" t="s">
        <v>387</v>
      </c>
      <c r="N23" s="231">
        <v>0.000995152998261801</v>
      </c>
      <c r="O23" s="231">
        <v>0.00150862570596649</v>
      </c>
      <c r="P23" s="12"/>
      <c r="Q23" s="230"/>
      <c r="R23" s="231"/>
      <c r="S23" s="230"/>
      <c r="T23" s="230"/>
    </row>
    <row r="24" ht="15" customHeight="1" spans="2:20">
      <c r="B24" s="12">
        <v>383</v>
      </c>
      <c r="C24" s="230"/>
      <c r="D24" s="230"/>
      <c r="E24" s="230"/>
      <c r="F24" s="231">
        <v>0.000854</v>
      </c>
      <c r="G24" s="230">
        <v>0.00132279</v>
      </c>
      <c r="H24" s="12"/>
      <c r="J24" s="12">
        <v>383</v>
      </c>
      <c r="K24" s="231" t="s">
        <v>387</v>
      </c>
      <c r="L24" s="231" t="s">
        <v>387</v>
      </c>
      <c r="M24" s="231" t="s">
        <v>387</v>
      </c>
      <c r="N24" s="231">
        <v>0.00112718311592742</v>
      </c>
      <c r="O24" s="231">
        <v>0.00168879886540778</v>
      </c>
      <c r="P24" s="12"/>
      <c r="Q24" s="230"/>
      <c r="R24" s="231"/>
      <c r="S24" s="230"/>
      <c r="T24" s="230"/>
    </row>
    <row r="25" ht="15" customHeight="1" spans="2:20">
      <c r="B25" s="12">
        <v>384</v>
      </c>
      <c r="C25" s="230"/>
      <c r="D25" s="230"/>
      <c r="E25" s="230"/>
      <c r="F25" s="231">
        <v>0.000972</v>
      </c>
      <c r="G25" s="230">
        <v>0.00148381</v>
      </c>
      <c r="H25" s="12"/>
      <c r="J25" s="12">
        <v>384</v>
      </c>
      <c r="K25" s="231" t="s">
        <v>387</v>
      </c>
      <c r="L25" s="231" t="s">
        <v>387</v>
      </c>
      <c r="M25" s="231" t="s">
        <v>387</v>
      </c>
      <c r="N25" s="231">
        <v>0.0012795887662989</v>
      </c>
      <c r="O25" s="231">
        <v>0.00188943897076309</v>
      </c>
      <c r="P25" s="12"/>
      <c r="Q25" s="230"/>
      <c r="R25" s="231"/>
      <c r="S25" s="230"/>
      <c r="T25" s="230"/>
    </row>
    <row r="26" ht="15" customHeight="1" spans="2:20">
      <c r="B26" s="12">
        <v>385</v>
      </c>
      <c r="C26" s="230"/>
      <c r="D26" s="230"/>
      <c r="E26" s="230"/>
      <c r="F26" s="232">
        <v>0.001108</v>
      </c>
      <c r="G26" s="230">
        <v>0.00166724</v>
      </c>
      <c r="H26" s="12"/>
      <c r="J26" s="12">
        <v>385</v>
      </c>
      <c r="K26" s="231" t="s">
        <v>387</v>
      </c>
      <c r="L26" s="231" t="s">
        <v>387</v>
      </c>
      <c r="M26" s="231" t="s">
        <v>387</v>
      </c>
      <c r="N26" s="231">
        <v>0.0014548372389897</v>
      </c>
      <c r="O26" s="231">
        <v>0.00211749888895563</v>
      </c>
      <c r="P26" s="12"/>
      <c r="Q26" s="230"/>
      <c r="R26" s="232"/>
      <c r="S26" s="230"/>
      <c r="T26" s="230"/>
    </row>
    <row r="27" ht="15" customHeight="1" spans="2:20">
      <c r="B27" s="12">
        <v>386</v>
      </c>
      <c r="C27" s="230"/>
      <c r="D27" s="230"/>
      <c r="E27" s="230"/>
      <c r="F27" s="232">
        <v>0.001268</v>
      </c>
      <c r="G27" s="230">
        <v>0.00188102</v>
      </c>
      <c r="H27" s="12"/>
      <c r="J27" s="12">
        <v>386</v>
      </c>
      <c r="K27" s="231" t="s">
        <v>387</v>
      </c>
      <c r="L27" s="231" t="s">
        <v>387</v>
      </c>
      <c r="M27" s="231" t="s">
        <v>387</v>
      </c>
      <c r="N27" s="231">
        <v>0.00166060876931312</v>
      </c>
      <c r="O27" s="231">
        <v>0.00238282368322257</v>
      </c>
      <c r="P27" s="12"/>
      <c r="Q27" s="230"/>
      <c r="R27" s="232"/>
      <c r="S27" s="230"/>
      <c r="T27" s="230"/>
    </row>
    <row r="28" ht="15" customHeight="1" spans="2:20">
      <c r="B28" s="12">
        <v>387</v>
      </c>
      <c r="C28" s="230"/>
      <c r="D28" s="230"/>
      <c r="E28" s="230"/>
      <c r="F28" s="232">
        <v>0.001453</v>
      </c>
      <c r="G28" s="230">
        <v>0.00212989</v>
      </c>
      <c r="H28" s="12"/>
      <c r="J28" s="12">
        <v>387</v>
      </c>
      <c r="K28" s="231" t="s">
        <v>387</v>
      </c>
      <c r="L28" s="231" t="s">
        <v>387</v>
      </c>
      <c r="M28" s="231" t="s">
        <v>387</v>
      </c>
      <c r="N28" s="231">
        <v>0.00189797298873364</v>
      </c>
      <c r="O28" s="231">
        <v>0.00269111346287593</v>
      </c>
      <c r="P28" s="12"/>
      <c r="Q28" s="230"/>
      <c r="R28" s="232"/>
      <c r="S28" s="230"/>
      <c r="T28" s="230"/>
    </row>
    <row r="29" ht="15" customHeight="1" spans="2:20">
      <c r="B29" s="12">
        <v>388</v>
      </c>
      <c r="C29" s="230"/>
      <c r="D29" s="230"/>
      <c r="E29" s="230"/>
      <c r="F29" s="232">
        <v>0.001668</v>
      </c>
      <c r="G29" s="230">
        <v>0.00241457</v>
      </c>
      <c r="H29" s="12"/>
      <c r="J29" s="12">
        <v>388</v>
      </c>
      <c r="K29" s="231" t="s">
        <v>387</v>
      </c>
      <c r="L29" s="231" t="s">
        <v>387</v>
      </c>
      <c r="M29" s="231" t="s">
        <v>387</v>
      </c>
      <c r="N29" s="231">
        <v>0.00217320001240836</v>
      </c>
      <c r="O29" s="231">
        <v>0.00304294339892075</v>
      </c>
      <c r="P29" s="12"/>
      <c r="Q29" s="230"/>
      <c r="R29" s="232"/>
      <c r="S29" s="230"/>
      <c r="T29" s="230"/>
    </row>
    <row r="30" ht="15" customHeight="1" spans="2:20">
      <c r="B30" s="12">
        <v>389</v>
      </c>
      <c r="C30" s="230"/>
      <c r="D30" s="230"/>
      <c r="E30" s="230"/>
      <c r="F30" s="232">
        <v>0.001918</v>
      </c>
      <c r="G30" s="230">
        <v>0.00273583</v>
      </c>
      <c r="H30" s="12"/>
      <c r="J30" s="12">
        <v>389</v>
      </c>
      <c r="K30" s="231" t="s">
        <v>387</v>
      </c>
      <c r="L30" s="231" t="s">
        <v>387</v>
      </c>
      <c r="M30" s="231" t="s">
        <v>387</v>
      </c>
      <c r="N30" s="231">
        <v>0.00249249548130252</v>
      </c>
      <c r="O30" s="231">
        <v>0.00343894559814049</v>
      </c>
      <c r="P30" s="12"/>
      <c r="Q30" s="230"/>
      <c r="R30" s="232"/>
      <c r="S30" s="230"/>
      <c r="T30" s="230"/>
    </row>
    <row r="31" ht="15" customHeight="1" spans="2:20">
      <c r="B31" s="12">
        <v>390</v>
      </c>
      <c r="C31" s="230">
        <v>0.00614265</v>
      </c>
      <c r="D31" s="230">
        <v>0.000358227</v>
      </c>
      <c r="E31" s="230">
        <v>0.000407619</v>
      </c>
      <c r="F31" s="232">
        <v>0.002209</v>
      </c>
      <c r="G31" s="230">
        <v>0.00309442</v>
      </c>
      <c r="H31" s="12"/>
      <c r="J31" s="12">
        <v>390</v>
      </c>
      <c r="K31" s="231">
        <v>0.00704720133075711</v>
      </c>
      <c r="L31" s="231">
        <v>0.000496537413880053</v>
      </c>
      <c r="M31" s="231">
        <v>0.000592314343169176</v>
      </c>
      <c r="N31" s="231">
        <v>0.00286329758506288</v>
      </c>
      <c r="O31" s="231">
        <v>0.0038797206085805</v>
      </c>
      <c r="P31" s="12"/>
      <c r="Q31" s="230"/>
      <c r="R31" s="232"/>
      <c r="S31" s="230"/>
      <c r="T31" s="230"/>
    </row>
    <row r="32" ht="15" customHeight="1" spans="2:20">
      <c r="B32" s="12">
        <v>391</v>
      </c>
      <c r="C32" s="230">
        <v>0.0074428</v>
      </c>
      <c r="D32" s="230">
        <v>0.00043866</v>
      </c>
      <c r="E32" s="230">
        <v>0.000497068</v>
      </c>
      <c r="F32" s="232">
        <v>0.002547</v>
      </c>
      <c r="G32" s="230">
        <v>0.00350706</v>
      </c>
      <c r="H32" s="12"/>
      <c r="J32" s="12">
        <v>391</v>
      </c>
      <c r="K32" s="231">
        <v>0.00851696979553154</v>
      </c>
      <c r="L32" s="231">
        <v>0.000606470311648062</v>
      </c>
      <c r="M32" s="231">
        <v>0.000720446083988014</v>
      </c>
      <c r="N32" s="231">
        <v>0.00329296841932447</v>
      </c>
      <c r="O32" s="231">
        <v>0.00438583448510763</v>
      </c>
      <c r="P32" s="12"/>
      <c r="Q32" s="230"/>
      <c r="R32" s="232"/>
      <c r="S32" s="230"/>
      <c r="T32" s="230"/>
    </row>
    <row r="33" ht="15" customHeight="1" spans="2:20">
      <c r="B33" s="12">
        <v>392</v>
      </c>
      <c r="C33" s="230">
        <v>0.00901661</v>
      </c>
      <c r="D33" s="230">
        <v>0.00053623</v>
      </c>
      <c r="E33" s="230">
        <v>0.000604713</v>
      </c>
      <c r="F33" s="232">
        <v>0.002939</v>
      </c>
      <c r="G33" s="230">
        <v>0.00399078</v>
      </c>
      <c r="H33" s="12"/>
      <c r="J33" s="12">
        <v>392</v>
      </c>
      <c r="K33" s="231">
        <v>0.010291596102185</v>
      </c>
      <c r="L33" s="231">
        <v>0.000739474682108643</v>
      </c>
      <c r="M33" s="231">
        <v>0.000874229938951696</v>
      </c>
      <c r="N33" s="231">
        <v>0.00379008453933228</v>
      </c>
      <c r="O33" s="231">
        <v>0.00497803011353719</v>
      </c>
      <c r="P33" s="12"/>
      <c r="Q33" s="230"/>
      <c r="R33" s="232"/>
      <c r="S33" s="230"/>
      <c r="T33" s="230"/>
    </row>
    <row r="34" ht="15" customHeight="1" spans="2:20">
      <c r="B34" s="12">
        <v>393</v>
      </c>
      <c r="C34" s="230">
        <v>0.010917</v>
      </c>
      <c r="D34" s="230">
        <v>0.000654061</v>
      </c>
      <c r="E34" s="230">
        <v>0.00073364</v>
      </c>
      <c r="F34" s="232">
        <v>0.003394</v>
      </c>
      <c r="G34" s="230">
        <v>0.00454679</v>
      </c>
      <c r="H34" s="12"/>
      <c r="J34" s="12">
        <v>393</v>
      </c>
      <c r="K34" s="231">
        <v>0.0124290025019336</v>
      </c>
      <c r="L34" s="231">
        <v>0.000899671519847083</v>
      </c>
      <c r="M34" s="231">
        <v>0.00105792014980054</v>
      </c>
      <c r="N34" s="231">
        <v>0.00436570781045426</v>
      </c>
      <c r="O34" s="231">
        <v>0.00565715587383911</v>
      </c>
      <c r="P34" s="12"/>
      <c r="Q34" s="230"/>
      <c r="R34" s="232"/>
      <c r="S34" s="230"/>
      <c r="T34" s="230"/>
    </row>
    <row r="35" ht="15" customHeight="1" spans="2:20">
      <c r="B35" s="12">
        <v>394</v>
      </c>
      <c r="C35" s="230">
        <v>0.0132053</v>
      </c>
      <c r="D35" s="230">
        <v>0.000795649</v>
      </c>
      <c r="E35" s="230">
        <v>0.000887247</v>
      </c>
      <c r="F35" s="232">
        <v>0.003921</v>
      </c>
      <c r="G35" s="230">
        <v>0.00517625</v>
      </c>
      <c r="H35" s="12"/>
      <c r="J35" s="12">
        <v>394</v>
      </c>
      <c r="K35" s="231">
        <v>0.0149960736848137</v>
      </c>
      <c r="L35" s="231">
        <v>0.00109165037526639</v>
      </c>
      <c r="M35" s="231">
        <v>0.00127617653489568</v>
      </c>
      <c r="N35" s="231">
        <v>0.00503078779485665</v>
      </c>
      <c r="O35" s="231">
        <v>0.00642398948044606</v>
      </c>
      <c r="P35" s="12"/>
      <c r="Q35" s="230"/>
      <c r="R35" s="232"/>
      <c r="S35" s="230"/>
      <c r="T35" s="230"/>
    </row>
    <row r="36" ht="15" customHeight="1" spans="2:20">
      <c r="B36" s="12">
        <v>395</v>
      </c>
      <c r="C36" s="230">
        <v>0.0159515</v>
      </c>
      <c r="D36" s="230">
        <v>0.000964828</v>
      </c>
      <c r="E36" s="230">
        <v>0.00106921</v>
      </c>
      <c r="F36" s="231">
        <v>0.00453</v>
      </c>
      <c r="G36" s="230">
        <v>0.00588035</v>
      </c>
      <c r="H36" s="12"/>
      <c r="J36" s="12">
        <v>395</v>
      </c>
      <c r="K36" s="231">
        <v>0.0180688265149048</v>
      </c>
      <c r="L36" s="231">
        <v>0.00132041689274695</v>
      </c>
      <c r="M36" s="231">
        <v>0.00153401057506118</v>
      </c>
      <c r="N36" s="231">
        <v>0.00579744296179678</v>
      </c>
      <c r="O36" s="231">
        <v>0.0072793379094701</v>
      </c>
      <c r="P36" s="12"/>
      <c r="Q36" s="230"/>
      <c r="R36" s="231"/>
      <c r="S36" s="230"/>
      <c r="T36" s="230"/>
    </row>
    <row r="37" ht="15" customHeight="1" spans="2:20">
      <c r="B37" s="12">
        <v>396</v>
      </c>
      <c r="C37" s="230">
        <v>0.0192347</v>
      </c>
      <c r="D37" s="230">
        <v>0.00116572</v>
      </c>
      <c r="E37" s="230">
        <v>0.0012834</v>
      </c>
      <c r="F37" s="231">
        <v>0.00524</v>
      </c>
      <c r="G37" s="230">
        <v>0.00669334</v>
      </c>
      <c r="H37" s="12"/>
      <c r="J37" s="12">
        <v>396</v>
      </c>
      <c r="K37" s="231">
        <v>0.0217328031687696</v>
      </c>
      <c r="L37" s="231">
        <v>0.00159131930215218</v>
      </c>
      <c r="M37" s="231">
        <v>0.00183666219284823</v>
      </c>
      <c r="N37" s="231">
        <v>0.00668915838424364</v>
      </c>
      <c r="O37" s="231">
        <v>0.00826482190908127</v>
      </c>
      <c r="P37" s="12"/>
      <c r="Q37" s="230"/>
      <c r="R37" s="231"/>
      <c r="S37" s="230"/>
      <c r="T37" s="230"/>
    </row>
    <row r="38" ht="15" customHeight="1" spans="2:20">
      <c r="B38" s="12">
        <v>397</v>
      </c>
      <c r="C38" s="230">
        <v>0.0231436</v>
      </c>
      <c r="D38" s="230">
        <v>0.00140263</v>
      </c>
      <c r="E38" s="230">
        <v>0.00153382</v>
      </c>
      <c r="F38" s="231">
        <v>0.00605</v>
      </c>
      <c r="G38" s="230">
        <v>0.00765102</v>
      </c>
      <c r="H38" s="12"/>
      <c r="J38" s="12">
        <v>397</v>
      </c>
      <c r="K38" s="231">
        <v>0.0260835034134071</v>
      </c>
      <c r="L38" s="231">
        <v>0.00190990113015196</v>
      </c>
      <c r="M38" s="231">
        <v>0.00218950694380216</v>
      </c>
      <c r="N38" s="231">
        <v>0.00770371568104818</v>
      </c>
      <c r="O38" s="231">
        <v>0.00942355196740824</v>
      </c>
      <c r="P38" s="12"/>
      <c r="Q38" s="230"/>
      <c r="R38" s="231"/>
      <c r="S38" s="230"/>
      <c r="T38" s="230"/>
    </row>
    <row r="39" ht="15" customHeight="1" spans="2:20">
      <c r="B39" s="12">
        <v>398</v>
      </c>
      <c r="C39" s="230">
        <v>0.027775</v>
      </c>
      <c r="D39" s="230">
        <v>0.00167992</v>
      </c>
      <c r="E39" s="230">
        <v>0.00182443</v>
      </c>
      <c r="F39" s="231">
        <v>0.00698</v>
      </c>
      <c r="G39" s="230">
        <v>0.00875694</v>
      </c>
      <c r="H39" s="12"/>
      <c r="J39" s="12">
        <v>398</v>
      </c>
      <c r="K39" s="231">
        <v>0.0312245732153125</v>
      </c>
      <c r="L39" s="231">
        <v>0.0022817276090251</v>
      </c>
      <c r="M39" s="231">
        <v>0.00259780513010206</v>
      </c>
      <c r="N39" s="231">
        <v>0.00886559175012475</v>
      </c>
      <c r="O39" s="231">
        <v>0.0107585836614677</v>
      </c>
      <c r="P39" s="12"/>
      <c r="Q39" s="230"/>
      <c r="R39" s="231"/>
      <c r="S39" s="230"/>
      <c r="T39" s="230"/>
    </row>
    <row r="40" ht="15" customHeight="1" spans="2:20">
      <c r="B40" s="12">
        <v>399</v>
      </c>
      <c r="C40" s="230">
        <v>0.0332339</v>
      </c>
      <c r="D40" s="230">
        <v>0.0020018</v>
      </c>
      <c r="E40" s="230">
        <v>0.00215896</v>
      </c>
      <c r="F40" s="231">
        <v>0.00806</v>
      </c>
      <c r="G40" s="230">
        <v>0.0100146</v>
      </c>
      <c r="H40" s="12"/>
      <c r="J40" s="12">
        <v>399</v>
      </c>
      <c r="K40" s="231">
        <v>0.0372678147957282</v>
      </c>
      <c r="L40" s="231">
        <v>0.00271210224481851</v>
      </c>
      <c r="M40" s="231">
        <v>0.00306643764295646</v>
      </c>
      <c r="N40" s="231">
        <v>0.0102116876946629</v>
      </c>
      <c r="O40" s="231">
        <v>0.0122728806609834</v>
      </c>
      <c r="P40" s="12"/>
      <c r="Q40" s="230"/>
      <c r="R40" s="231"/>
      <c r="S40" s="230"/>
      <c r="T40" s="230"/>
    </row>
    <row r="41" ht="15" customHeight="1" spans="2:20">
      <c r="B41" s="12">
        <v>400</v>
      </c>
      <c r="C41" s="230">
        <v>0.0396308</v>
      </c>
      <c r="D41" s="230">
        <v>0.00237208</v>
      </c>
      <c r="E41" s="230">
        <v>0.00254073</v>
      </c>
      <c r="F41" s="231">
        <v>0.00929</v>
      </c>
      <c r="G41" s="230">
        <v>0.0114277</v>
      </c>
      <c r="H41" s="12"/>
      <c r="J41" s="12">
        <v>400</v>
      </c>
      <c r="K41" s="231">
        <v>0.0443300645220702</v>
      </c>
      <c r="L41" s="231">
        <v>0.00320573493064085</v>
      </c>
      <c r="M41" s="231">
        <v>0.00359965568482385</v>
      </c>
      <c r="N41" s="231">
        <v>0.0117406218655968</v>
      </c>
      <c r="O41" s="231">
        <v>0.0139696214860001</v>
      </c>
      <c r="P41" s="12"/>
      <c r="Q41" s="230"/>
      <c r="R41" s="231"/>
      <c r="S41" s="230"/>
      <c r="T41" s="230"/>
    </row>
    <row r="42" ht="15" customHeight="1" spans="2:20">
      <c r="B42" s="12">
        <v>401</v>
      </c>
      <c r="C42" s="230">
        <v>0.0470801</v>
      </c>
      <c r="D42" s="230">
        <v>0.00279433</v>
      </c>
      <c r="E42" s="230">
        <v>0.00297282</v>
      </c>
      <c r="F42" s="232">
        <v>0.0107</v>
      </c>
      <c r="G42" s="230">
        <v>0.0130767</v>
      </c>
      <c r="H42" s="12"/>
      <c r="J42" s="12">
        <v>401</v>
      </c>
      <c r="K42" s="231">
        <v>0.0525313448794598</v>
      </c>
      <c r="L42" s="231">
        <v>0.00376696504024148</v>
      </c>
      <c r="M42" s="231">
        <v>0.00420132887287908</v>
      </c>
      <c r="N42" s="231">
        <v>0.0134888455891365</v>
      </c>
      <c r="O42" s="231">
        <v>0.0159455530678958</v>
      </c>
      <c r="P42" s="12"/>
      <c r="Q42" s="230"/>
      <c r="R42" s="232"/>
      <c r="S42" s="230"/>
      <c r="T42" s="230"/>
    </row>
    <row r="43" ht="15" customHeight="1" spans="2:20">
      <c r="B43" s="12">
        <v>402</v>
      </c>
      <c r="C43" s="230">
        <v>0.0557012</v>
      </c>
      <c r="D43" s="230">
        <v>0.00327374</v>
      </c>
      <c r="E43" s="230">
        <v>0.00345993</v>
      </c>
      <c r="F43" s="232">
        <v>0.01231</v>
      </c>
      <c r="G43" s="230">
        <v>0.0150397</v>
      </c>
      <c r="H43" s="12"/>
      <c r="J43" s="12">
        <v>402</v>
      </c>
      <c r="K43" s="231">
        <v>0.0619960491545105</v>
      </c>
      <c r="L43" s="231">
        <v>0.00440226721768556</v>
      </c>
      <c r="M43" s="231">
        <v>0.00487757208556901</v>
      </c>
      <c r="N43" s="231">
        <v>0.0154798724531804</v>
      </c>
      <c r="O43" s="231">
        <v>0.0182935890881701</v>
      </c>
      <c r="P43" s="12"/>
      <c r="Q43" s="230"/>
      <c r="R43" s="232"/>
      <c r="S43" s="230"/>
      <c r="T43" s="230"/>
    </row>
    <row r="44" ht="15" customHeight="1" spans="2:20">
      <c r="B44" s="12">
        <v>403</v>
      </c>
      <c r="C44" s="230">
        <v>0.0656137</v>
      </c>
      <c r="D44" s="230">
        <v>0.0038166</v>
      </c>
      <c r="E44" s="230">
        <v>0.00400793</v>
      </c>
      <c r="F44" s="232">
        <v>0.01413</v>
      </c>
      <c r="G44" s="230">
        <v>0.0173166</v>
      </c>
      <c r="H44" s="12"/>
      <c r="J44" s="12">
        <v>403</v>
      </c>
      <c r="K44" s="231">
        <v>0.0728475580108561</v>
      </c>
      <c r="L44" s="231">
        <v>0.00511952736532425</v>
      </c>
      <c r="M44" s="231">
        <v>0.00563608480076873</v>
      </c>
      <c r="N44" s="231">
        <v>0.0177244388251603</v>
      </c>
      <c r="O44" s="231">
        <v>0.0210108382050892</v>
      </c>
      <c r="P44" s="12"/>
      <c r="Q44" s="230"/>
      <c r="R44" s="232"/>
      <c r="S44" s="230"/>
      <c r="T44" s="230"/>
    </row>
    <row r="45" ht="15" customHeight="1" spans="2:20">
      <c r="B45" s="12">
        <v>404</v>
      </c>
      <c r="C45" s="230">
        <v>0.0769323</v>
      </c>
      <c r="D45" s="230">
        <v>0.00443021</v>
      </c>
      <c r="E45" s="230">
        <v>0.0046237</v>
      </c>
      <c r="F45" s="232">
        <v>0.01619</v>
      </c>
      <c r="G45" s="230">
        <v>0.0199071</v>
      </c>
      <c r="H45" s="12"/>
      <c r="J45" s="12">
        <v>404</v>
      </c>
      <c r="K45" s="231">
        <v>0.0852026037662092</v>
      </c>
      <c r="L45" s="231">
        <v>0.00592790475196203</v>
      </c>
      <c r="M45" s="231">
        <v>0.00648590704399178</v>
      </c>
      <c r="N45" s="231">
        <v>0.0202582003436051</v>
      </c>
      <c r="O45" s="231">
        <v>0.0240941956377103</v>
      </c>
      <c r="P45" s="12"/>
      <c r="Q45" s="230"/>
      <c r="R45" s="232"/>
      <c r="S45" s="230"/>
      <c r="T45" s="230"/>
    </row>
    <row r="46" ht="15" customHeight="1" spans="2:20">
      <c r="B46" s="12">
        <v>405</v>
      </c>
      <c r="C46" s="230">
        <v>0.0897612</v>
      </c>
      <c r="D46" s="230">
        <v>0.00512316</v>
      </c>
      <c r="E46" s="230">
        <v>0.00531546</v>
      </c>
      <c r="F46" s="232">
        <v>0.01852</v>
      </c>
      <c r="G46" s="230">
        <v>0.0228112</v>
      </c>
      <c r="H46" s="12"/>
      <c r="J46" s="12">
        <v>405</v>
      </c>
      <c r="K46" s="231">
        <v>0.0991651657783677</v>
      </c>
      <c r="L46" s="231">
        <v>0.00683819002513687</v>
      </c>
      <c r="M46" s="231">
        <v>0.00743786460378284</v>
      </c>
      <c r="N46" s="231">
        <v>0.0231164604925889</v>
      </c>
      <c r="O46" s="231">
        <v>0.027540949472584</v>
      </c>
      <c r="P46" s="12"/>
      <c r="Q46" s="230"/>
      <c r="R46" s="232"/>
      <c r="S46" s="230"/>
      <c r="T46" s="230"/>
    </row>
    <row r="47" ht="15" customHeight="1" spans="2:20">
      <c r="B47" s="12">
        <v>406</v>
      </c>
      <c r="C47" s="230">
        <v>0.104188</v>
      </c>
      <c r="D47" s="230">
        <v>0.00590458</v>
      </c>
      <c r="E47" s="230">
        <v>0.00609138</v>
      </c>
      <c r="F47" s="232">
        <v>0.02113</v>
      </c>
      <c r="G47" s="230">
        <v>0.0263194</v>
      </c>
      <c r="H47" s="12"/>
      <c r="J47" s="12">
        <v>406</v>
      </c>
      <c r="K47" s="231">
        <v>0.114819905024496</v>
      </c>
      <c r="L47" s="231">
        <v>0.00786178651579524</v>
      </c>
      <c r="M47" s="231">
        <v>0.00850260681854859</v>
      </c>
      <c r="N47" s="231">
        <v>0.0263092726455228</v>
      </c>
      <c r="O47" s="231">
        <v>0.0316982838681649</v>
      </c>
      <c r="P47" s="12"/>
      <c r="Q47" s="230"/>
      <c r="R47" s="232"/>
      <c r="S47" s="230"/>
      <c r="T47" s="230"/>
    </row>
    <row r="48" ht="15" customHeight="1" spans="2:20">
      <c r="B48" s="12">
        <v>407</v>
      </c>
      <c r="C48" s="230">
        <v>0.120273</v>
      </c>
      <c r="D48" s="230">
        <v>0.00678005</v>
      </c>
      <c r="E48" s="230">
        <v>0.00695291</v>
      </c>
      <c r="F48" s="232">
        <v>0.02405</v>
      </c>
      <c r="G48" s="230">
        <v>0.0305964</v>
      </c>
      <c r="H48" s="12"/>
      <c r="J48" s="12">
        <v>407</v>
      </c>
      <c r="K48" s="231">
        <v>0.132220638514693</v>
      </c>
      <c r="L48" s="231">
        <v>0.00900527036866784</v>
      </c>
      <c r="M48" s="231">
        <v>0.00968132135042371</v>
      </c>
      <c r="N48" s="231">
        <v>0.0298714324792559</v>
      </c>
      <c r="O48" s="231">
        <v>0.0367588334241908</v>
      </c>
      <c r="P48" s="12"/>
      <c r="Q48" s="230"/>
      <c r="R48" s="232"/>
      <c r="S48" s="230"/>
      <c r="T48" s="230"/>
    </row>
    <row r="49" ht="15" customHeight="1" spans="2:20">
      <c r="B49" s="12">
        <v>408</v>
      </c>
      <c r="C49" s="230">
        <v>0.138044</v>
      </c>
      <c r="D49" s="230">
        <v>0.0077526</v>
      </c>
      <c r="E49" s="230">
        <v>0.00789634</v>
      </c>
      <c r="F49" s="232">
        <v>0.0273</v>
      </c>
      <c r="G49" s="230">
        <v>0.0354538</v>
      </c>
      <c r="H49" s="12"/>
      <c r="J49" s="12">
        <v>408</v>
      </c>
      <c r="K49" s="231">
        <v>0.151385014737118</v>
      </c>
      <c r="L49" s="231">
        <v>0.0102717746447423</v>
      </c>
      <c r="M49" s="231">
        <v>0.0109680169773277</v>
      </c>
      <c r="N49" s="231">
        <v>0.0338250044250398</v>
      </c>
      <c r="O49" s="231">
        <v>0.0424901659006702</v>
      </c>
      <c r="P49" s="12"/>
      <c r="Q49" s="230"/>
      <c r="R49" s="232"/>
      <c r="S49" s="230"/>
      <c r="T49" s="230"/>
    </row>
    <row r="50" ht="15" customHeight="1" spans="2:20">
      <c r="B50" s="12">
        <v>409</v>
      </c>
      <c r="C50" s="230">
        <v>0.157485</v>
      </c>
      <c r="D50" s="230">
        <v>0.00882286</v>
      </c>
      <c r="E50" s="230">
        <v>0.008913</v>
      </c>
      <c r="F50" s="232">
        <v>0.03089</v>
      </c>
      <c r="G50" s="230">
        <v>0.0407028</v>
      </c>
      <c r="H50" s="12"/>
      <c r="J50" s="12">
        <v>409</v>
      </c>
      <c r="K50" s="231">
        <v>0.172282594046182</v>
      </c>
      <c r="L50" s="231">
        <v>0.0116612296686968</v>
      </c>
      <c r="M50" s="231">
        <v>0.0123498884751862</v>
      </c>
      <c r="N50" s="231">
        <v>0.0381794773072273</v>
      </c>
      <c r="O50" s="231">
        <v>0.0486616440193364</v>
      </c>
      <c r="P50" s="12"/>
      <c r="Q50" s="230"/>
      <c r="R50" s="232"/>
      <c r="S50" s="230"/>
      <c r="T50" s="230"/>
    </row>
    <row r="51" ht="15" customHeight="1" spans="2:20">
      <c r="B51" s="12">
        <v>410</v>
      </c>
      <c r="C51" s="230">
        <v>0.17853</v>
      </c>
      <c r="D51" s="230">
        <v>0.00998841</v>
      </c>
      <c r="E51" s="230">
        <v>0.00998835</v>
      </c>
      <c r="F51" s="232">
        <v>0.03484</v>
      </c>
      <c r="G51" s="230">
        <v>0.046155</v>
      </c>
      <c r="H51" s="12"/>
      <c r="J51" s="12">
        <v>410</v>
      </c>
      <c r="K51" s="231">
        <v>0.194828669082096</v>
      </c>
      <c r="L51" s="231">
        <v>0.0131695450729513</v>
      </c>
      <c r="M51" s="231">
        <v>0.0138061418912388</v>
      </c>
      <c r="N51" s="231">
        <v>0.0429565770482178</v>
      </c>
      <c r="O51" s="231">
        <v>0.0550453576695509</v>
      </c>
      <c r="P51" s="12"/>
      <c r="Q51" s="230"/>
      <c r="R51" s="232"/>
      <c r="S51" s="230"/>
      <c r="T51" s="230"/>
    </row>
    <row r="52" ht="15" customHeight="1" spans="2:20">
      <c r="B52" s="12">
        <v>411</v>
      </c>
      <c r="C52" s="230">
        <v>0.201077</v>
      </c>
      <c r="D52" s="230">
        <v>0.0112452</v>
      </c>
      <c r="E52" s="230">
        <v>0.0111054</v>
      </c>
      <c r="F52" s="232">
        <v>0.03916</v>
      </c>
      <c r="G52" s="230">
        <v>0.0517822</v>
      </c>
      <c r="H52" s="12"/>
      <c r="J52" s="12">
        <v>411</v>
      </c>
      <c r="K52" s="231">
        <v>0.218900165901203</v>
      </c>
      <c r="L52" s="231">
        <v>0.01479052640119</v>
      </c>
      <c r="M52" s="231">
        <v>0.0153128074365212</v>
      </c>
      <c r="N52" s="231">
        <v>0.0481655184531697</v>
      </c>
      <c r="O52" s="231">
        <v>0.0616062076434847</v>
      </c>
      <c r="P52" s="12"/>
      <c r="Q52" s="230"/>
      <c r="R52" s="232"/>
      <c r="S52" s="230"/>
      <c r="T52" s="230"/>
    </row>
    <row r="53" ht="15" customHeight="1" spans="2:20">
      <c r="B53" s="12">
        <v>412</v>
      </c>
      <c r="C53" s="230">
        <v>0.225091</v>
      </c>
      <c r="D53" s="230">
        <v>0.0125949</v>
      </c>
      <c r="E53" s="230">
        <v>0.0122607</v>
      </c>
      <c r="F53" s="231">
        <v>0.0439</v>
      </c>
      <c r="G53" s="230">
        <v>0.0577804</v>
      </c>
      <c r="H53" s="12"/>
      <c r="J53" s="12">
        <v>412</v>
      </c>
      <c r="K53" s="231">
        <v>0.244447967196871</v>
      </c>
      <c r="L53" s="231">
        <v>0.0165255444477914</v>
      </c>
      <c r="M53" s="231">
        <v>0.0168647725068695</v>
      </c>
      <c r="N53" s="231">
        <v>0.0538645061397786</v>
      </c>
      <c r="O53" s="231">
        <v>0.0685755228298265</v>
      </c>
      <c r="P53" s="12"/>
      <c r="Q53" s="230"/>
      <c r="R53" s="231"/>
      <c r="S53" s="230"/>
      <c r="T53" s="230"/>
    </row>
    <row r="54" ht="15" customHeight="1" spans="2:20">
      <c r="B54" s="12">
        <v>413</v>
      </c>
      <c r="C54" s="230">
        <v>0.250566</v>
      </c>
      <c r="D54" s="230">
        <v>0.0140425</v>
      </c>
      <c r="E54" s="230">
        <v>0.0134578</v>
      </c>
      <c r="F54" s="231">
        <v>0.049</v>
      </c>
      <c r="G54" s="230">
        <v>0.0642972</v>
      </c>
      <c r="H54" s="12"/>
      <c r="J54" s="12">
        <v>413</v>
      </c>
      <c r="K54" s="231">
        <v>0.271454849007845</v>
      </c>
      <c r="L54" s="231">
        <v>0.0183803022961813</v>
      </c>
      <c r="M54" s="231">
        <v>0.0184665793036307</v>
      </c>
      <c r="N54" s="231">
        <v>0.0599765397888581</v>
      </c>
      <c r="O54" s="231">
        <v>0.0761250881489583</v>
      </c>
      <c r="P54" s="12"/>
      <c r="Q54" s="230"/>
      <c r="R54" s="231"/>
      <c r="S54" s="230"/>
      <c r="T54" s="230"/>
    </row>
    <row r="55" ht="15" customHeight="1" spans="2:20">
      <c r="B55" s="12">
        <v>414</v>
      </c>
      <c r="C55" s="230">
        <v>0.277507</v>
      </c>
      <c r="D55" s="230">
        <v>0.0155944</v>
      </c>
      <c r="E55" s="230">
        <v>0.0147044</v>
      </c>
      <c r="F55" s="231">
        <v>0.0545</v>
      </c>
      <c r="G55" s="230">
        <v>0.0714801</v>
      </c>
      <c r="H55" s="12"/>
      <c r="J55" s="12">
        <v>414</v>
      </c>
      <c r="K55" s="231">
        <v>0.299915642036044</v>
      </c>
      <c r="L55" s="231">
        <v>0.0203622890260993</v>
      </c>
      <c r="M55" s="231">
        <v>0.020128406951216</v>
      </c>
      <c r="N55" s="231">
        <v>0.0665474684924338</v>
      </c>
      <c r="O55" s="231">
        <v>0.0844249106539066</v>
      </c>
      <c r="P55" s="12"/>
      <c r="Q55" s="230"/>
      <c r="R55" s="231"/>
      <c r="S55" s="230"/>
      <c r="T55" s="230"/>
    </row>
    <row r="56" ht="15" customHeight="1" spans="2:20">
      <c r="B56" s="12">
        <v>415</v>
      </c>
      <c r="C56" s="230">
        <v>0.305941</v>
      </c>
      <c r="D56" s="230">
        <v>0.0172596</v>
      </c>
      <c r="E56" s="230">
        <v>0.016013</v>
      </c>
      <c r="F56" s="231">
        <v>0.0604</v>
      </c>
      <c r="G56" s="230">
        <v>0.0794766</v>
      </c>
      <c r="H56" s="12"/>
      <c r="J56" s="12">
        <v>415</v>
      </c>
      <c r="K56" s="231">
        <v>0.329848946011364</v>
      </c>
      <c r="L56" s="231">
        <v>0.0224823082863533</v>
      </c>
      <c r="M56" s="231">
        <v>0.0218668912036274</v>
      </c>
      <c r="N56" s="231">
        <v>0.0735739749368588</v>
      </c>
      <c r="O56" s="231">
        <v>0.0936433587755001</v>
      </c>
      <c r="P56" s="12"/>
      <c r="Q56" s="230"/>
      <c r="R56" s="231"/>
      <c r="S56" s="230"/>
      <c r="T56" s="230"/>
    </row>
    <row r="57" ht="15" customHeight="1" spans="2:20">
      <c r="B57" s="12">
        <v>416</v>
      </c>
      <c r="C57" s="230">
        <v>0.335858</v>
      </c>
      <c r="D57" s="230">
        <v>0.0190467</v>
      </c>
      <c r="E57" s="230">
        <v>0.0173958</v>
      </c>
      <c r="F57" s="231">
        <v>0.0668</v>
      </c>
      <c r="G57" s="230">
        <v>0.0891807</v>
      </c>
      <c r="H57" s="12"/>
      <c r="J57" s="12">
        <v>416</v>
      </c>
      <c r="K57" s="231">
        <v>0.361233386325337</v>
      </c>
      <c r="L57" s="231">
        <v>0.0247505400580913</v>
      </c>
      <c r="M57" s="231">
        <v>0.0236980991691284</v>
      </c>
      <c r="N57" s="231">
        <v>0.0811742921070905</v>
      </c>
      <c r="O57" s="231">
        <v>0.104824631820432</v>
      </c>
      <c r="P57" s="12"/>
      <c r="Q57" s="230"/>
      <c r="R57" s="231"/>
      <c r="S57" s="230"/>
      <c r="T57" s="230"/>
    </row>
    <row r="58" ht="15" customHeight="1" spans="2:20">
      <c r="B58" s="12">
        <v>417</v>
      </c>
      <c r="C58" s="230">
        <v>0.366981</v>
      </c>
      <c r="D58" s="230">
        <v>0.0209545</v>
      </c>
      <c r="E58" s="230">
        <v>0.0188452</v>
      </c>
      <c r="F58" s="231">
        <v>0.0736</v>
      </c>
      <c r="G58" s="230">
        <v>0.100756</v>
      </c>
      <c r="H58" s="12"/>
      <c r="J58" s="12">
        <v>417</v>
      </c>
      <c r="K58" s="231">
        <v>0.393761309170789</v>
      </c>
      <c r="L58" s="231">
        <v>0.0271643624444603</v>
      </c>
      <c r="M58" s="231">
        <v>0.0256110352059423</v>
      </c>
      <c r="N58" s="231">
        <v>0.0892230648780875</v>
      </c>
      <c r="O58" s="231">
        <v>0.118146446041858</v>
      </c>
      <c r="P58" s="12"/>
      <c r="Q58" s="230"/>
      <c r="R58" s="231"/>
      <c r="S58" s="230"/>
      <c r="T58" s="230"/>
    </row>
    <row r="59" ht="15" customHeight="1" spans="2:20">
      <c r="B59" s="12">
        <v>418</v>
      </c>
      <c r="C59" s="230">
        <v>0.398876</v>
      </c>
      <c r="D59" s="230">
        <v>0.0229763</v>
      </c>
      <c r="E59" s="230">
        <v>0.020344</v>
      </c>
      <c r="F59" s="231">
        <v>0.0808</v>
      </c>
      <c r="G59" s="230">
        <v>0.113256</v>
      </c>
      <c r="H59" s="12"/>
      <c r="J59" s="12">
        <v>418</v>
      </c>
      <c r="K59" s="231">
        <v>0.426959950783659</v>
      </c>
      <c r="L59" s="231">
        <v>0.0297140657717167</v>
      </c>
      <c r="M59" s="231">
        <v>0.027581793497678</v>
      </c>
      <c r="N59" s="231">
        <v>0.097717074668983</v>
      </c>
      <c r="O59" s="231">
        <v>0.13248622835636</v>
      </c>
      <c r="P59" s="12"/>
      <c r="Q59" s="230"/>
      <c r="R59" s="231"/>
      <c r="S59" s="230"/>
      <c r="T59" s="230"/>
    </row>
    <row r="60" ht="15" customHeight="1" spans="2:20">
      <c r="B60" s="12">
        <v>419</v>
      </c>
      <c r="C60" s="230">
        <v>0.430998</v>
      </c>
      <c r="D60" s="230">
        <v>0.0251017</v>
      </c>
      <c r="E60" s="230">
        <v>0.02187</v>
      </c>
      <c r="F60" s="231">
        <v>0.0885</v>
      </c>
      <c r="G60" s="230">
        <v>0.125732</v>
      </c>
      <c r="H60" s="12"/>
      <c r="J60" s="12">
        <v>419</v>
      </c>
      <c r="K60" s="231">
        <v>0.460242528969193</v>
      </c>
      <c r="L60" s="231">
        <v>0.0323852594605017</v>
      </c>
      <c r="M60" s="231">
        <v>0.0295799337722889</v>
      </c>
      <c r="N60" s="231">
        <v>0.106773781966424</v>
      </c>
      <c r="O60" s="231">
        <v>0.146729554963224</v>
      </c>
      <c r="P60" s="12"/>
      <c r="Q60" s="230"/>
      <c r="R60" s="231"/>
      <c r="S60" s="230"/>
      <c r="T60" s="230"/>
    </row>
    <row r="61" ht="15" customHeight="1" spans="2:20">
      <c r="B61" s="12">
        <v>420</v>
      </c>
      <c r="C61" s="230">
        <v>0.462692</v>
      </c>
      <c r="D61" s="230">
        <v>0.0273163</v>
      </c>
      <c r="E61" s="230">
        <v>0.0233957</v>
      </c>
      <c r="F61" s="231">
        <v>0.0966</v>
      </c>
      <c r="G61" s="230">
        <v>0.137237</v>
      </c>
      <c r="H61" s="12"/>
      <c r="J61" s="12">
        <v>420</v>
      </c>
      <c r="K61" s="231">
        <v>0.492910665774761</v>
      </c>
      <c r="L61" s="231">
        <v>0.035158541623853</v>
      </c>
      <c r="M61" s="231">
        <v>0.0315681542988989</v>
      </c>
      <c r="N61" s="231">
        <v>0.116268806419258</v>
      </c>
      <c r="O61" s="231">
        <v>0.15977459480237</v>
      </c>
      <c r="P61" s="12"/>
      <c r="Q61" s="230"/>
      <c r="R61" s="231"/>
      <c r="S61" s="230"/>
      <c r="T61" s="230"/>
    </row>
    <row r="62" ht="15" customHeight="1" spans="2:20">
      <c r="B62" s="12">
        <v>421</v>
      </c>
      <c r="C62" s="230">
        <v>0.493357</v>
      </c>
      <c r="D62" s="230">
        <v>0.0296062</v>
      </c>
      <c r="E62" s="230">
        <v>0.0248961</v>
      </c>
      <c r="F62" s="232">
        <v>0.1052</v>
      </c>
      <c r="G62" s="230">
        <v>0.147446</v>
      </c>
      <c r="H62" s="12"/>
      <c r="J62" s="12">
        <v>421</v>
      </c>
      <c r="K62" s="231">
        <v>0.524330008793875</v>
      </c>
      <c r="L62" s="231">
        <v>0.038015336732259</v>
      </c>
      <c r="M62" s="231">
        <v>0.0335128730307561</v>
      </c>
      <c r="N62" s="231">
        <v>0.126319099817267</v>
      </c>
      <c r="O62" s="231">
        <v>0.171252412715869</v>
      </c>
      <c r="P62" s="12"/>
      <c r="Q62" s="230"/>
      <c r="R62" s="232"/>
      <c r="S62" s="230"/>
      <c r="T62" s="230"/>
    </row>
    <row r="63" ht="15" customHeight="1" spans="2:20">
      <c r="B63" s="12">
        <v>422</v>
      </c>
      <c r="C63" s="230">
        <v>0.523006</v>
      </c>
      <c r="D63" s="230">
        <v>0.0319746</v>
      </c>
      <c r="E63" s="230">
        <v>0.0263761</v>
      </c>
      <c r="F63" s="232">
        <v>0.1141</v>
      </c>
      <c r="G63" s="230">
        <v>0.157014</v>
      </c>
      <c r="H63" s="12"/>
      <c r="J63" s="12">
        <v>422</v>
      </c>
      <c r="K63" s="231">
        <v>0.554523219109295</v>
      </c>
      <c r="L63" s="231">
        <v>0.0409591502605385</v>
      </c>
      <c r="M63" s="231">
        <v>0.0354209795279692</v>
      </c>
      <c r="N63" s="231">
        <v>0.136681133447737</v>
      </c>
      <c r="O63" s="231">
        <v>0.181933102683674</v>
      </c>
      <c r="P63" s="12"/>
      <c r="Q63" s="230"/>
      <c r="R63" s="232"/>
      <c r="S63" s="230"/>
      <c r="T63" s="230"/>
    </row>
    <row r="64" ht="15" customHeight="1" spans="2:20">
      <c r="B64" s="12">
        <v>423</v>
      </c>
      <c r="C64" s="230">
        <v>0.551939</v>
      </c>
      <c r="D64" s="230">
        <v>0.034433</v>
      </c>
      <c r="E64" s="230">
        <v>0.0278541</v>
      </c>
      <c r="F64" s="232">
        <v>0.1235</v>
      </c>
      <c r="G64" s="230">
        <v>0.166463</v>
      </c>
      <c r="H64" s="12"/>
      <c r="J64" s="12">
        <v>423</v>
      </c>
      <c r="K64" s="231">
        <v>0.583816319242374</v>
      </c>
      <c r="L64" s="231">
        <v>0.0440040616184659</v>
      </c>
      <c r="M64" s="231">
        <v>0.0373173847555166</v>
      </c>
      <c r="N64" s="231">
        <v>0.147591711304125</v>
      </c>
      <c r="O64" s="231">
        <v>0.192425732863647</v>
      </c>
      <c r="P64" s="12"/>
      <c r="Q64" s="230"/>
      <c r="R64" s="232"/>
      <c r="S64" s="230"/>
      <c r="T64" s="230"/>
    </row>
    <row r="65" ht="15" customHeight="1" spans="2:20">
      <c r="B65" s="12">
        <v>424</v>
      </c>
      <c r="C65" s="230">
        <v>0.580599</v>
      </c>
      <c r="D65" s="230">
        <v>0.0369983</v>
      </c>
      <c r="E65" s="230">
        <v>0.0293551</v>
      </c>
      <c r="F65" s="232">
        <v>0.1334</v>
      </c>
      <c r="G65" s="230">
        <v>0.176316</v>
      </c>
      <c r="H65" s="12"/>
      <c r="J65" s="12">
        <v>424</v>
      </c>
      <c r="K65" s="231">
        <v>0.612683158273731</v>
      </c>
      <c r="L65" s="231">
        <v>0.0471709021094493</v>
      </c>
      <c r="M65" s="231">
        <v>0.0392355861302277</v>
      </c>
      <c r="N65" s="231">
        <v>0.159046952177287</v>
      </c>
      <c r="O65" s="231">
        <v>0.203334778728283</v>
      </c>
      <c r="P65" s="12"/>
      <c r="Q65" s="230"/>
      <c r="R65" s="232"/>
      <c r="S65" s="230"/>
      <c r="T65" s="230"/>
    </row>
    <row r="66" ht="15" customHeight="1" spans="2:20">
      <c r="B66" s="12">
        <v>425</v>
      </c>
      <c r="C66" s="230">
        <v>0.60957</v>
      </c>
      <c r="D66" s="230">
        <v>0.0396928</v>
      </c>
      <c r="E66" s="230">
        <v>0.0309104</v>
      </c>
      <c r="F66" s="232">
        <v>0.1436</v>
      </c>
      <c r="G66" s="230">
        <v>0.187096</v>
      </c>
      <c r="H66" s="12"/>
      <c r="J66" s="12">
        <v>425</v>
      </c>
      <c r="K66" s="231">
        <v>0.641741567152306</v>
      </c>
      <c r="L66" s="231">
        <v>0.0504871754964881</v>
      </c>
      <c r="M66" s="231">
        <v>0.0412171664716756</v>
      </c>
      <c r="N66" s="231">
        <v>0.170805121246091</v>
      </c>
      <c r="O66" s="231">
        <v>0.215259026569161</v>
      </c>
      <c r="P66" s="12"/>
      <c r="Q66" s="230"/>
      <c r="R66" s="232"/>
      <c r="S66" s="230"/>
      <c r="T66" s="230"/>
    </row>
    <row r="67" ht="15" customHeight="1" spans="2:20">
      <c r="B67" s="12">
        <v>426</v>
      </c>
      <c r="C67" s="230">
        <v>0.639359</v>
      </c>
      <c r="D67" s="230">
        <v>0.0425402</v>
      </c>
      <c r="E67" s="230">
        <v>0.0325498</v>
      </c>
      <c r="F67" s="232">
        <v>0.1541</v>
      </c>
      <c r="G67" s="230">
        <v>0.19921</v>
      </c>
      <c r="H67" s="12"/>
      <c r="J67" s="12">
        <v>426</v>
      </c>
      <c r="K67" s="231">
        <v>0.671522702022444</v>
      </c>
      <c r="L67" s="231">
        <v>0.0539819038383017</v>
      </c>
      <c r="M67" s="231">
        <v>0.0433013226855043</v>
      </c>
      <c r="N67" s="231">
        <v>0.182864085213387</v>
      </c>
      <c r="O67" s="231">
        <v>0.22865849241172</v>
      </c>
      <c r="P67" s="12"/>
      <c r="Q67" s="230"/>
      <c r="R67" s="232"/>
      <c r="S67" s="230"/>
      <c r="T67" s="230"/>
    </row>
    <row r="68" ht="15" customHeight="1" spans="2:20">
      <c r="B68" s="12">
        <v>427</v>
      </c>
      <c r="C68" s="230">
        <v>0.669651</v>
      </c>
      <c r="D68" s="230">
        <v>0.0455474</v>
      </c>
      <c r="E68" s="230">
        <v>0.0342714</v>
      </c>
      <c r="F68" s="232">
        <v>0.1651</v>
      </c>
      <c r="G68" s="230">
        <v>0.212408</v>
      </c>
      <c r="H68" s="12"/>
      <c r="J68" s="12">
        <v>427</v>
      </c>
      <c r="K68" s="231">
        <v>0.701691413556704</v>
      </c>
      <c r="L68" s="231">
        <v>0.0576625686863941</v>
      </c>
      <c r="M68" s="231">
        <v>0.0454848124286514</v>
      </c>
      <c r="N68" s="231">
        <v>0.195458506667544</v>
      </c>
      <c r="O68" s="231">
        <v>0.243236527162107</v>
      </c>
      <c r="P68" s="12"/>
      <c r="Q68" s="230"/>
      <c r="R68" s="232"/>
      <c r="S68" s="230"/>
      <c r="T68" s="230"/>
    </row>
    <row r="69" ht="15" customHeight="1" spans="2:20">
      <c r="B69" s="12">
        <v>428</v>
      </c>
      <c r="C69" s="230">
        <v>0.699829</v>
      </c>
      <c r="D69" s="230">
        <v>0.0487161</v>
      </c>
      <c r="E69" s="230">
        <v>0.036062</v>
      </c>
      <c r="F69" s="232">
        <v>0.1764</v>
      </c>
      <c r="G69" s="230">
        <v>0.226225</v>
      </c>
      <c r="H69" s="12"/>
      <c r="J69" s="12">
        <v>428</v>
      </c>
      <c r="K69" s="231">
        <v>0.731599974409026</v>
      </c>
      <c r="L69" s="231">
        <v>0.0615300139026189</v>
      </c>
      <c r="M69" s="231">
        <v>0.0477494614032731</v>
      </c>
      <c r="N69" s="231">
        <v>0.208348409715127</v>
      </c>
      <c r="O69" s="231">
        <v>0.258453624667066</v>
      </c>
      <c r="P69" s="12"/>
      <c r="Q69" s="230"/>
      <c r="R69" s="232"/>
      <c r="S69" s="230"/>
      <c r="T69" s="230"/>
    </row>
    <row r="70" ht="15" customHeight="1" spans="2:20">
      <c r="B70" s="12">
        <v>429</v>
      </c>
      <c r="C70" s="230">
        <v>0.729177</v>
      </c>
      <c r="D70" s="230">
        <v>0.0520467</v>
      </c>
      <c r="E70" s="230">
        <v>0.0379052</v>
      </c>
      <c r="F70" s="232">
        <v>0.1879</v>
      </c>
      <c r="G70" s="230">
        <v>0.240199</v>
      </c>
      <c r="H70" s="12"/>
      <c r="J70" s="12">
        <v>429</v>
      </c>
      <c r="K70" s="231">
        <v>0.760503443473461</v>
      </c>
      <c r="L70" s="231">
        <v>0.0655834373658728</v>
      </c>
      <c r="M70" s="231">
        <v>0.050073037546194</v>
      </c>
      <c r="N70" s="231">
        <v>0.221413892025728</v>
      </c>
      <c r="O70" s="231">
        <v>0.273778728532598</v>
      </c>
      <c r="P70" s="12"/>
      <c r="Q70" s="230"/>
      <c r="R70" s="232"/>
      <c r="S70" s="230"/>
      <c r="T70" s="230"/>
    </row>
    <row r="71" ht="15" customHeight="1" spans="2:20">
      <c r="B71" s="12">
        <v>430</v>
      </c>
      <c r="C71" s="230">
        <v>0.756885</v>
      </c>
      <c r="D71" s="230">
        <v>0.0555384</v>
      </c>
      <c r="E71" s="230">
        <v>0.039781</v>
      </c>
      <c r="F71" s="232">
        <v>0.1998</v>
      </c>
      <c r="G71" s="230">
        <v>0.253865</v>
      </c>
      <c r="H71" s="12"/>
      <c r="J71" s="12">
        <v>430</v>
      </c>
      <c r="K71" s="231">
        <v>0.787565998956112</v>
      </c>
      <c r="L71" s="231">
        <v>0.0698205358272179</v>
      </c>
      <c r="M71" s="231">
        <v>0.0524287710382367</v>
      </c>
      <c r="N71" s="231">
        <v>0.234888852604325</v>
      </c>
      <c r="O71" s="231">
        <v>0.288682310977421</v>
      </c>
      <c r="P71" s="12"/>
      <c r="Q71" s="230"/>
      <c r="R71" s="232"/>
      <c r="S71" s="230"/>
      <c r="T71" s="230"/>
    </row>
    <row r="72" ht="15" customHeight="1" spans="2:20">
      <c r="B72" s="12">
        <v>431</v>
      </c>
      <c r="C72" s="230">
        <v>0.782292</v>
      </c>
      <c r="D72" s="230">
        <v>0.0591876</v>
      </c>
      <c r="E72" s="230">
        <v>0.0416705</v>
      </c>
      <c r="F72" s="232">
        <v>0.2119</v>
      </c>
      <c r="G72" s="230">
        <v>0.267021</v>
      </c>
      <c r="H72" s="12"/>
      <c r="J72" s="12">
        <v>431</v>
      </c>
      <c r="K72" s="231">
        <v>0.812114256234683</v>
      </c>
      <c r="L72" s="231">
        <v>0.0742355155387327</v>
      </c>
      <c r="M72" s="231">
        <v>0.0547915868688496</v>
      </c>
      <c r="N72" s="231">
        <v>0.248535862808844</v>
      </c>
      <c r="O72" s="231">
        <v>0.30293813489929</v>
      </c>
      <c r="P72" s="12"/>
      <c r="Q72" s="230"/>
      <c r="R72" s="232"/>
      <c r="S72" s="230"/>
      <c r="T72" s="230"/>
    </row>
    <row r="73" ht="15" customHeight="1" spans="2:20">
      <c r="B73" s="12">
        <v>432</v>
      </c>
      <c r="C73" s="230">
        <v>0.805666</v>
      </c>
      <c r="D73" s="230">
        <v>0.0629819</v>
      </c>
      <c r="E73" s="230">
        <v>0.0435728</v>
      </c>
      <c r="F73" s="232">
        <v>0.2243</v>
      </c>
      <c r="G73" s="230">
        <v>0.279976</v>
      </c>
      <c r="H73" s="12"/>
      <c r="J73" s="12">
        <v>432</v>
      </c>
      <c r="K73" s="231">
        <v>0.834443248293747</v>
      </c>
      <c r="L73" s="231">
        <v>0.078811624626726</v>
      </c>
      <c r="M73" s="231">
        <v>0.0571602552050485</v>
      </c>
      <c r="N73" s="231">
        <v>0.262470745570043</v>
      </c>
      <c r="O73" s="231">
        <v>0.316900450883345</v>
      </c>
      <c r="P73" s="12"/>
      <c r="Q73" s="230"/>
      <c r="R73" s="232"/>
      <c r="S73" s="230"/>
      <c r="T73" s="230"/>
    </row>
    <row r="74" ht="15" customHeight="1" spans="2:20">
      <c r="B74" s="12">
        <v>433</v>
      </c>
      <c r="C74" s="230">
        <v>0.827599</v>
      </c>
      <c r="D74" s="230">
        <v>0.0669031</v>
      </c>
      <c r="E74" s="230">
        <v>0.0454932</v>
      </c>
      <c r="F74" s="232">
        <v>0.2369</v>
      </c>
      <c r="G74" s="230">
        <v>0.293034</v>
      </c>
      <c r="H74" s="12"/>
      <c r="J74" s="12">
        <v>433</v>
      </c>
      <c r="K74" s="231">
        <v>0.855180080466046</v>
      </c>
      <c r="L74" s="231">
        <v>0.0835250249722496</v>
      </c>
      <c r="M74" s="231">
        <v>0.059541672158334</v>
      </c>
      <c r="N74" s="231">
        <v>0.276574758918789</v>
      </c>
      <c r="O74" s="231">
        <v>0.330914590640537</v>
      </c>
      <c r="P74" s="12"/>
      <c r="Q74" s="230"/>
      <c r="R74" s="232"/>
      <c r="S74" s="230"/>
      <c r="T74" s="230"/>
    </row>
    <row r="75" ht="15" customHeight="1" spans="2:20">
      <c r="B75" s="12">
        <v>434</v>
      </c>
      <c r="C75" s="230">
        <v>0.84878</v>
      </c>
      <c r="D75" s="230">
        <v>0.0709285</v>
      </c>
      <c r="E75" s="230">
        <v>0.0474385</v>
      </c>
      <c r="F75" s="232">
        <v>0.2496</v>
      </c>
      <c r="G75" s="230">
        <v>0.3065</v>
      </c>
      <c r="H75" s="12"/>
      <c r="J75" s="12">
        <v>434</v>
      </c>
      <c r="K75" s="231">
        <v>0.875046080043287</v>
      </c>
      <c r="L75" s="231">
        <v>0.08834649309236</v>
      </c>
      <c r="M75" s="231">
        <v>0.0619446289637308</v>
      </c>
      <c r="N75" s="231">
        <v>0.290730255281975</v>
      </c>
      <c r="O75" s="231">
        <v>0.345323829769361</v>
      </c>
      <c r="P75" s="12"/>
      <c r="Q75" s="230"/>
      <c r="R75" s="232"/>
      <c r="S75" s="230"/>
      <c r="T75" s="230"/>
    </row>
    <row r="76" ht="15" customHeight="1" spans="2:20">
      <c r="B76" s="12">
        <v>435</v>
      </c>
      <c r="C76" s="230">
        <v>0.869984</v>
      </c>
      <c r="D76" s="230">
        <v>0.0750299</v>
      </c>
      <c r="E76" s="230">
        <v>0.0494172</v>
      </c>
      <c r="F76" s="232">
        <v>0.2625</v>
      </c>
      <c r="G76" s="230">
        <v>0.320679</v>
      </c>
      <c r="H76" s="12"/>
      <c r="J76" s="12">
        <v>435</v>
      </c>
      <c r="K76" s="231">
        <v>0.894844398932463</v>
      </c>
      <c r="L76" s="231">
        <v>0.0932402393330884</v>
      </c>
      <c r="M76" s="231">
        <v>0.0643800507540176</v>
      </c>
      <c r="N76" s="231">
        <v>0.305053090305399</v>
      </c>
      <c r="O76" s="231">
        <v>0.360468287311082</v>
      </c>
      <c r="P76" s="12"/>
      <c r="Q76" s="230"/>
      <c r="R76" s="232"/>
      <c r="S76" s="230"/>
      <c r="T76" s="230"/>
    </row>
    <row r="77" ht="15" customHeight="1" spans="2:20">
      <c r="B77" s="12">
        <v>436</v>
      </c>
      <c r="C77" s="230">
        <v>0.891761</v>
      </c>
      <c r="D77" s="230">
        <v>0.0791769</v>
      </c>
      <c r="E77" s="230">
        <v>0.0514343</v>
      </c>
      <c r="F77" s="232">
        <v>0.2755</v>
      </c>
      <c r="G77" s="230">
        <v>0.336016</v>
      </c>
      <c r="H77" s="12"/>
      <c r="J77" s="12">
        <v>436</v>
      </c>
      <c r="K77" s="231">
        <v>0.91513992194436</v>
      </c>
      <c r="L77" s="231">
        <v>0.0981680746993766</v>
      </c>
      <c r="M77" s="231">
        <v>0.0668542131375215</v>
      </c>
      <c r="N77" s="231">
        <v>0.319426168413497</v>
      </c>
      <c r="O77" s="231">
        <v>0.376841971960439</v>
      </c>
      <c r="P77" s="12"/>
      <c r="Q77" s="230"/>
      <c r="R77" s="232"/>
      <c r="S77" s="230"/>
      <c r="T77" s="230"/>
    </row>
    <row r="78" ht="15" customHeight="1" spans="2:20">
      <c r="B78" s="12">
        <v>437</v>
      </c>
      <c r="C78" s="230">
        <v>0.913444</v>
      </c>
      <c r="D78" s="230">
        <v>0.0833463</v>
      </c>
      <c r="E78" s="230">
        <v>0.0534735</v>
      </c>
      <c r="F78" s="232">
        <v>0.2886</v>
      </c>
      <c r="G78" s="230">
        <v>0.352361</v>
      </c>
      <c r="H78" s="12"/>
      <c r="J78" s="12">
        <v>437</v>
      </c>
      <c r="K78" s="231">
        <v>0.935246315651309</v>
      </c>
      <c r="L78" s="231">
        <v>0.103101066298454</v>
      </c>
      <c r="M78" s="231">
        <v>0.0693457119312133</v>
      </c>
      <c r="N78" s="231">
        <v>0.333849144688069</v>
      </c>
      <c r="O78" s="231">
        <v>0.394268605029181</v>
      </c>
      <c r="P78" s="12"/>
      <c r="Q78" s="230"/>
      <c r="R78" s="232"/>
      <c r="S78" s="230"/>
      <c r="T78" s="230"/>
    </row>
    <row r="79" ht="15" customHeight="1" spans="2:20">
      <c r="B79" s="12">
        <v>438</v>
      </c>
      <c r="C79" s="230">
        <v>0.933977</v>
      </c>
      <c r="D79" s="230">
        <v>0.087516</v>
      </c>
      <c r="E79" s="230">
        <v>0.0555102</v>
      </c>
      <c r="F79" s="232">
        <v>0.3017</v>
      </c>
      <c r="G79" s="230">
        <v>0.369128</v>
      </c>
      <c r="H79" s="12"/>
      <c r="J79" s="12">
        <v>438</v>
      </c>
      <c r="K79" s="231">
        <v>0.954086139084978</v>
      </c>
      <c r="L79" s="231">
        <v>0.108011903080557</v>
      </c>
      <c r="M79" s="231">
        <v>0.0718225993603388</v>
      </c>
      <c r="N79" s="231">
        <v>0.348206262623487</v>
      </c>
      <c r="O79" s="231">
        <v>0.412086776401972</v>
      </c>
      <c r="P79" s="12"/>
      <c r="Q79" s="230"/>
      <c r="R79" s="232"/>
      <c r="S79" s="230"/>
      <c r="T79" s="230"/>
    </row>
    <row r="80" ht="15" customHeight="1" spans="2:20">
      <c r="B80" s="12">
        <v>439</v>
      </c>
      <c r="C80" s="230">
        <v>0.952218</v>
      </c>
      <c r="D80" s="230">
        <v>0.0916625</v>
      </c>
      <c r="E80" s="230">
        <v>0.0575166</v>
      </c>
      <c r="F80" s="232">
        <v>0.3149</v>
      </c>
      <c r="G80" s="230">
        <v>0.385732</v>
      </c>
      <c r="H80" s="12"/>
      <c r="J80" s="12">
        <v>439</v>
      </c>
      <c r="K80" s="231">
        <v>0.970504116987877</v>
      </c>
      <c r="L80" s="231">
        <v>0.112871798905194</v>
      </c>
      <c r="M80" s="231">
        <v>0.0742490878154751</v>
      </c>
      <c r="N80" s="231">
        <v>0.362613124110372</v>
      </c>
      <c r="O80" s="231">
        <v>0.429642216315401</v>
      </c>
      <c r="P80" s="12"/>
      <c r="Q80" s="230"/>
      <c r="R80" s="232"/>
      <c r="S80" s="230"/>
      <c r="T80" s="230"/>
    </row>
    <row r="81" ht="15" customHeight="1" spans="2:20">
      <c r="B81" s="12">
        <v>440</v>
      </c>
      <c r="C81" s="230">
        <v>0.96696</v>
      </c>
      <c r="D81" s="230">
        <v>0.0957612</v>
      </c>
      <c r="E81" s="230">
        <v>0.0594619</v>
      </c>
      <c r="F81" s="232">
        <v>0.3281</v>
      </c>
      <c r="G81" s="230">
        <v>0.401587</v>
      </c>
      <c r="H81" s="12"/>
      <c r="J81" s="12">
        <v>440</v>
      </c>
      <c r="K81" s="231">
        <v>0.983289378927983</v>
      </c>
      <c r="L81" s="231">
        <v>0.117650877879362</v>
      </c>
      <c r="M81" s="231">
        <v>0.0765858510833957</v>
      </c>
      <c r="N81" s="231">
        <v>0.376954499863226</v>
      </c>
      <c r="O81" s="231">
        <v>0.446285491608375</v>
      </c>
      <c r="P81" s="12"/>
      <c r="Q81" s="230"/>
      <c r="R81" s="232"/>
      <c r="S81" s="230"/>
      <c r="T81" s="230"/>
    </row>
    <row r="82" ht="15" customHeight="1" spans="2:20">
      <c r="B82" s="12">
        <v>441</v>
      </c>
      <c r="C82" s="230">
        <v>0.97734</v>
      </c>
      <c r="D82" s="230">
        <v>0.0997977</v>
      </c>
      <c r="E82" s="230">
        <v>0.061324</v>
      </c>
      <c r="F82" s="232">
        <v>0.3412</v>
      </c>
      <c r="G82" s="230">
        <v>0.416472</v>
      </c>
      <c r="H82" s="12"/>
      <c r="J82" s="12">
        <v>441</v>
      </c>
      <c r="K82" s="231">
        <v>0.991591053450562</v>
      </c>
      <c r="L82" s="231">
        <v>0.122332038255017</v>
      </c>
      <c r="M82" s="231">
        <v>0.0788050996846052</v>
      </c>
      <c r="N82" s="231">
        <v>0.391116205760138</v>
      </c>
      <c r="O82" s="231">
        <v>0.46177776607192</v>
      </c>
      <c r="P82" s="12"/>
      <c r="Q82" s="230"/>
      <c r="R82" s="232"/>
      <c r="S82" s="230"/>
      <c r="T82" s="230"/>
    </row>
    <row r="83" ht="15" customHeight="1" spans="2:20">
      <c r="B83" s="12">
        <v>442</v>
      </c>
      <c r="C83" s="230">
        <v>0.984028</v>
      </c>
      <c r="D83" s="230">
        <v>0.103804</v>
      </c>
      <c r="E83" s="230">
        <v>0.0631288</v>
      </c>
      <c r="F83" s="232">
        <v>0.3543</v>
      </c>
      <c r="G83" s="230">
        <v>0.430797</v>
      </c>
      <c r="H83" s="12"/>
      <c r="J83" s="12">
        <v>442</v>
      </c>
      <c r="K83" s="231">
        <v>0.996117803788783</v>
      </c>
      <c r="L83" s="231">
        <v>0.126955081497958</v>
      </c>
      <c r="M83" s="231">
        <v>0.0809408390167511</v>
      </c>
      <c r="N83" s="231">
        <v>0.405213831539868</v>
      </c>
      <c r="O83" s="231">
        <v>0.476580425129936</v>
      </c>
      <c r="P83" s="12"/>
      <c r="Q83" s="230"/>
      <c r="R83" s="232"/>
      <c r="S83" s="230"/>
      <c r="T83" s="230"/>
    </row>
    <row r="84" ht="15" customHeight="1" spans="2:20">
      <c r="B84" s="12">
        <v>443</v>
      </c>
      <c r="C84" s="230">
        <v>0.988144</v>
      </c>
      <c r="D84" s="230">
        <v>0.107834</v>
      </c>
      <c r="E84" s="230">
        <v>0.0649189</v>
      </c>
      <c r="F84" s="232">
        <v>0.3673</v>
      </c>
      <c r="G84" s="230">
        <v>0.444921</v>
      </c>
      <c r="H84" s="12"/>
      <c r="J84" s="12">
        <v>443</v>
      </c>
      <c r="K84" s="231">
        <v>0.998026394845566</v>
      </c>
      <c r="L84" s="231">
        <v>0.13158617352017</v>
      </c>
      <c r="M84" s="231">
        <v>0.0830481310676121</v>
      </c>
      <c r="N84" s="231">
        <v>0.419133699065594</v>
      </c>
      <c r="O84" s="231">
        <v>0.491094395475969</v>
      </c>
      <c r="P84" s="12"/>
      <c r="Q84" s="230"/>
      <c r="R84" s="232"/>
      <c r="S84" s="230"/>
      <c r="T84" s="230"/>
    </row>
    <row r="85" ht="15" customHeight="1" spans="2:20">
      <c r="B85" s="12">
        <v>444</v>
      </c>
      <c r="C85" s="230">
        <v>0.990851</v>
      </c>
      <c r="D85" s="230">
        <v>0.111948</v>
      </c>
      <c r="E85" s="230">
        <v>0.0667425</v>
      </c>
      <c r="F85" s="232">
        <v>0.3803</v>
      </c>
      <c r="G85" s="230">
        <v>0.459203</v>
      </c>
      <c r="H85" s="12"/>
      <c r="J85" s="12">
        <v>444</v>
      </c>
      <c r="K85" s="231">
        <v>0.998506502444541</v>
      </c>
      <c r="L85" s="231">
        <v>0.136298676257893</v>
      </c>
      <c r="M85" s="231">
        <v>0.08518868949041</v>
      </c>
      <c r="N85" s="231">
        <v>0.432990864485348</v>
      </c>
      <c r="O85" s="231">
        <v>0.505716991851371</v>
      </c>
      <c r="P85" s="12"/>
      <c r="Q85" s="230"/>
      <c r="R85" s="232"/>
      <c r="S85" s="230"/>
      <c r="T85" s="230"/>
    </row>
    <row r="86" ht="15" customHeight="1" spans="2:20">
      <c r="B86" s="12">
        <v>445</v>
      </c>
      <c r="C86" s="230">
        <v>0.993336</v>
      </c>
      <c r="D86" s="230">
        <v>0.11622</v>
      </c>
      <c r="E86" s="230">
        <v>0.0686538</v>
      </c>
      <c r="F86" s="232">
        <v>0.3931</v>
      </c>
      <c r="G86" s="230">
        <v>0.474002</v>
      </c>
      <c r="H86" s="12"/>
      <c r="J86" s="12">
        <v>445</v>
      </c>
      <c r="K86" s="231">
        <v>0.998761239773336</v>
      </c>
      <c r="L86" s="231">
        <v>0.141181934724175</v>
      </c>
      <c r="M86" s="231">
        <v>0.0874313142700728</v>
      </c>
      <c r="N86" s="231">
        <v>0.446558552060676</v>
      </c>
      <c r="O86" s="231">
        <v>0.520841957629035</v>
      </c>
      <c r="P86" s="12"/>
      <c r="Q86" s="230"/>
      <c r="R86" s="232"/>
      <c r="S86" s="230"/>
      <c r="T86" s="230"/>
    </row>
    <row r="87" ht="15" customHeight="1" spans="2:20">
      <c r="B87" s="12">
        <v>446</v>
      </c>
      <c r="C87" s="230">
        <v>0.996373</v>
      </c>
      <c r="D87" s="230">
        <v>0.120706</v>
      </c>
      <c r="E87" s="230">
        <v>0.0706963</v>
      </c>
      <c r="F87" s="231">
        <v>0.406</v>
      </c>
      <c r="G87" s="230">
        <v>0.489517</v>
      </c>
      <c r="H87" s="12"/>
      <c r="J87" s="12">
        <v>446</v>
      </c>
      <c r="K87" s="231">
        <v>0.999568605177553</v>
      </c>
      <c r="L87" s="231">
        <v>0.146302675587108</v>
      </c>
      <c r="M87" s="231">
        <v>0.0898305923450349</v>
      </c>
      <c r="N87" s="231">
        <v>0.460178742505544</v>
      </c>
      <c r="O87" s="231">
        <v>0.536684088156523</v>
      </c>
      <c r="P87" s="12"/>
      <c r="Q87" s="230"/>
      <c r="R87" s="231"/>
      <c r="S87" s="230"/>
      <c r="T87" s="230"/>
    </row>
    <row r="88" ht="15" customHeight="1" spans="2:20">
      <c r="B88" s="12">
        <v>447</v>
      </c>
      <c r="C88" s="230">
        <v>0.999038</v>
      </c>
      <c r="D88" s="230">
        <v>0.125363</v>
      </c>
      <c r="E88" s="230">
        <v>0.0728508</v>
      </c>
      <c r="F88" s="231">
        <v>0.418</v>
      </c>
      <c r="G88" s="230">
        <v>0.505522</v>
      </c>
      <c r="H88" s="12"/>
      <c r="J88" s="12">
        <v>447</v>
      </c>
      <c r="K88" s="231">
        <v>1</v>
      </c>
      <c r="L88" s="231">
        <v>0.15160730310635</v>
      </c>
      <c r="M88" s="231">
        <v>0.0923611303573599</v>
      </c>
      <c r="N88" s="231">
        <v>0.472720173944653</v>
      </c>
      <c r="O88" s="231">
        <v>0.552991348475335</v>
      </c>
      <c r="P88" s="12"/>
      <c r="Q88" s="230"/>
      <c r="R88" s="231"/>
      <c r="S88" s="230"/>
      <c r="T88" s="230"/>
    </row>
    <row r="89" ht="15" customHeight="1" spans="2:20">
      <c r="B89" s="12">
        <v>448</v>
      </c>
      <c r="C89" s="230">
        <v>0.999978</v>
      </c>
      <c r="D89" s="230">
        <v>0.130111</v>
      </c>
      <c r="E89" s="230">
        <v>0.0750778</v>
      </c>
      <c r="F89" s="231">
        <v>0.431</v>
      </c>
      <c r="G89" s="230">
        <v>0.521741</v>
      </c>
      <c r="H89" s="12"/>
      <c r="J89" s="12">
        <v>448</v>
      </c>
      <c r="K89" s="231">
        <v>0.998706662058901</v>
      </c>
      <c r="L89" s="231">
        <v>0.156998054134155</v>
      </c>
      <c r="M89" s="231">
        <v>0.0949720825363423</v>
      </c>
      <c r="N89" s="231">
        <v>0.486334002006018</v>
      </c>
      <c r="O89" s="231">
        <v>0.569459380943983</v>
      </c>
      <c r="P89" s="12"/>
      <c r="Q89" s="230"/>
      <c r="R89" s="231"/>
      <c r="S89" s="230"/>
      <c r="T89" s="230"/>
    </row>
    <row r="90" ht="15" customHeight="1" spans="2:20">
      <c r="B90" s="12">
        <v>449</v>
      </c>
      <c r="C90" s="230">
        <v>0.997844</v>
      </c>
      <c r="D90" s="230">
        <v>0.134856</v>
      </c>
      <c r="E90" s="230">
        <v>0.0773325</v>
      </c>
      <c r="F90" s="231">
        <v>0.443</v>
      </c>
      <c r="G90" s="230">
        <v>0.537898</v>
      </c>
      <c r="H90" s="12"/>
      <c r="J90" s="12">
        <v>449</v>
      </c>
      <c r="K90" s="231">
        <v>0.994355830888379</v>
      </c>
      <c r="L90" s="231">
        <v>0.162361181029023</v>
      </c>
      <c r="M90" s="231">
        <v>0.0976063666063463</v>
      </c>
      <c r="N90" s="231">
        <v>0.498761317359651</v>
      </c>
      <c r="O90" s="231">
        <v>0.585786539347628</v>
      </c>
      <c r="P90" s="12"/>
      <c r="Q90" s="230"/>
      <c r="R90" s="231"/>
      <c r="S90" s="230"/>
      <c r="T90" s="230"/>
    </row>
    <row r="91" ht="15" customHeight="1" spans="2:20">
      <c r="B91" s="12">
        <v>450</v>
      </c>
      <c r="C91" s="230">
        <v>0.991329</v>
      </c>
      <c r="D91" s="230">
        <v>0.139493</v>
      </c>
      <c r="E91" s="230">
        <v>0.0795647</v>
      </c>
      <c r="F91" s="231">
        <v>0.455</v>
      </c>
      <c r="G91" s="230">
        <v>0.553715</v>
      </c>
      <c r="H91" s="12"/>
      <c r="J91" s="12">
        <v>450</v>
      </c>
      <c r="K91" s="231">
        <v>0.985668352955543</v>
      </c>
      <c r="L91" s="231">
        <v>0.167570733113699</v>
      </c>
      <c r="M91" s="231">
        <v>0.100200607145297</v>
      </c>
      <c r="N91" s="231">
        <v>0.511133400200602</v>
      </c>
      <c r="O91" s="231">
        <v>0.601671685553177</v>
      </c>
      <c r="P91" s="12"/>
      <c r="Q91" s="230"/>
      <c r="R91" s="231"/>
      <c r="S91" s="230"/>
      <c r="T91" s="230"/>
    </row>
    <row r="92" ht="15" customHeight="1" spans="2:20">
      <c r="B92" s="12">
        <v>451</v>
      </c>
      <c r="C92" s="230">
        <v>0.979657</v>
      </c>
      <c r="D92" s="230">
        <v>0.143943</v>
      </c>
      <c r="E92" s="230">
        <v>0.0817368</v>
      </c>
      <c r="F92" s="231">
        <v>0.467</v>
      </c>
      <c r="G92" s="230">
        <v>0.5691</v>
      </c>
      <c r="H92" s="12"/>
      <c r="J92" s="12">
        <v>451</v>
      </c>
      <c r="K92" s="231">
        <v>0.971903217014502</v>
      </c>
      <c r="L92" s="231">
        <v>0.172533040924962</v>
      </c>
      <c r="M92" s="231">
        <v>0.102707823572262</v>
      </c>
      <c r="N92" s="231">
        <v>0.523450617929176</v>
      </c>
      <c r="O92" s="231">
        <v>0.617018013408208</v>
      </c>
      <c r="P92" s="12"/>
      <c r="Q92" s="230"/>
      <c r="R92" s="231"/>
      <c r="S92" s="230"/>
      <c r="T92" s="230"/>
    </row>
    <row r="93" ht="15" customHeight="1" spans="2:20">
      <c r="B93" s="12">
        <v>452</v>
      </c>
      <c r="C93" s="230">
        <v>0.963905</v>
      </c>
      <c r="D93" s="230">
        <v>0.148281</v>
      </c>
      <c r="E93" s="230">
        <v>0.0838826</v>
      </c>
      <c r="F93" s="231">
        <v>0.479</v>
      </c>
      <c r="G93" s="230">
        <v>0.58424</v>
      </c>
      <c r="H93" s="12"/>
      <c r="J93" s="12">
        <v>452</v>
      </c>
      <c r="K93" s="231">
        <v>0.954160236218038</v>
      </c>
      <c r="L93" s="231">
        <v>0.177339443121334</v>
      </c>
      <c r="M93" s="231">
        <v>0.105170971504916</v>
      </c>
      <c r="N93" s="231">
        <v>0.535713334694349</v>
      </c>
      <c r="O93" s="231">
        <v>0.632031395921206</v>
      </c>
      <c r="P93" s="12"/>
      <c r="Q93" s="230"/>
      <c r="R93" s="231"/>
      <c r="S93" s="230"/>
      <c r="T93" s="230"/>
    </row>
    <row r="94" ht="15" customHeight="1" spans="2:20">
      <c r="B94" s="12">
        <v>453</v>
      </c>
      <c r="C94" s="230">
        <v>0.945573</v>
      </c>
      <c r="D94" s="230">
        <v>0.152637</v>
      </c>
      <c r="E94" s="230">
        <v>0.0860598</v>
      </c>
      <c r="F94" s="231">
        <v>0.49</v>
      </c>
      <c r="G94" s="230">
        <v>0.599281</v>
      </c>
      <c r="H94" s="12"/>
      <c r="J94" s="12">
        <v>453</v>
      </c>
      <c r="K94" s="231">
        <v>0.933947311618413</v>
      </c>
      <c r="L94" s="231">
        <v>0.182146104914631</v>
      </c>
      <c r="M94" s="231">
        <v>0.107662526638671</v>
      </c>
      <c r="N94" s="231">
        <v>0.546805980856477</v>
      </c>
      <c r="O94" s="231">
        <v>0.64687163230922</v>
      </c>
      <c r="P94" s="12"/>
      <c r="Q94" s="230"/>
      <c r="R94" s="231"/>
      <c r="S94" s="230"/>
      <c r="T94" s="230"/>
    </row>
    <row r="95" ht="15" customHeight="1" spans="2:20">
      <c r="B95" s="12">
        <v>454</v>
      </c>
      <c r="C95" s="230">
        <v>0.926078</v>
      </c>
      <c r="D95" s="230">
        <v>0.157157</v>
      </c>
      <c r="E95" s="230">
        <v>0.0883322</v>
      </c>
      <c r="F95" s="231">
        <v>0.502</v>
      </c>
      <c r="G95" s="230">
        <v>0.61437</v>
      </c>
      <c r="H95" s="12"/>
      <c r="J95" s="12">
        <v>454</v>
      </c>
      <c r="K95" s="231">
        <v>0.912677259841148</v>
      </c>
      <c r="L95" s="231">
        <v>0.187126866814457</v>
      </c>
      <c r="M95" s="231">
        <v>0.110261940529388</v>
      </c>
      <c r="N95" s="231">
        <v>0.558963233312272</v>
      </c>
      <c r="O95" s="231">
        <v>0.661698190902004</v>
      </c>
      <c r="P95" s="12"/>
      <c r="Q95" s="230"/>
      <c r="R95" s="231"/>
      <c r="S95" s="230"/>
      <c r="T95" s="230"/>
    </row>
    <row r="96" ht="15" customHeight="1" spans="2:20">
      <c r="B96" s="12">
        <v>455</v>
      </c>
      <c r="C96" s="230">
        <v>0.906735</v>
      </c>
      <c r="D96" s="230">
        <v>0.162006</v>
      </c>
      <c r="E96" s="230">
        <v>0.0907704</v>
      </c>
      <c r="F96" s="231">
        <v>0.513</v>
      </c>
      <c r="G96" s="230">
        <v>0.629654</v>
      </c>
      <c r="H96" s="12"/>
      <c r="J96" s="12">
        <v>455</v>
      </c>
      <c r="K96" s="231">
        <v>0.891650174060853</v>
      </c>
      <c r="L96" s="231">
        <v>0.192476614643911</v>
      </c>
      <c r="M96" s="231">
        <v>0.113056435800245</v>
      </c>
      <c r="N96" s="231">
        <v>0.56995602191189</v>
      </c>
      <c r="O96" s="231">
        <v>0.676669138109928</v>
      </c>
      <c r="P96" s="12"/>
      <c r="Q96" s="230"/>
      <c r="R96" s="231"/>
      <c r="S96" s="230"/>
      <c r="T96" s="230"/>
    </row>
    <row r="97" ht="15" customHeight="1" spans="2:20">
      <c r="B97" s="12">
        <v>456</v>
      </c>
      <c r="C97" s="230">
        <v>0.888509</v>
      </c>
      <c r="D97" s="230">
        <v>0.167331</v>
      </c>
      <c r="E97" s="230">
        <v>0.0934397</v>
      </c>
      <c r="F97" s="231">
        <v>0.524</v>
      </c>
      <c r="G97" s="230">
        <v>0.645193</v>
      </c>
      <c r="H97" s="12"/>
      <c r="J97" s="12">
        <v>456</v>
      </c>
      <c r="K97" s="231">
        <v>0.871811320648359</v>
      </c>
      <c r="L97" s="231">
        <v>0.198367186100889</v>
      </c>
      <c r="M97" s="231">
        <v>0.116125883179049</v>
      </c>
      <c r="N97" s="231">
        <v>0.580900596526421</v>
      </c>
      <c r="O97" s="231">
        <v>0.691847862696878</v>
      </c>
      <c r="P97" s="12"/>
      <c r="Q97" s="230"/>
      <c r="R97" s="231"/>
      <c r="S97" s="230"/>
      <c r="T97" s="230"/>
    </row>
    <row r="98" ht="15" customHeight="1" spans="2:20">
      <c r="B98" s="12">
        <v>457</v>
      </c>
      <c r="C98" s="230">
        <v>0.871353</v>
      </c>
      <c r="D98" s="230">
        <v>0.173144</v>
      </c>
      <c r="E98" s="230">
        <v>0.0963577</v>
      </c>
      <c r="F98" s="231">
        <v>0.535</v>
      </c>
      <c r="G98" s="230">
        <v>0.660892</v>
      </c>
      <c r="H98" s="12"/>
      <c r="J98" s="12">
        <v>457</v>
      </c>
      <c r="K98" s="231">
        <v>0.853106883570354</v>
      </c>
      <c r="L98" s="231">
        <v>0.204809225525982</v>
      </c>
      <c r="M98" s="231">
        <v>0.119490302962361</v>
      </c>
      <c r="N98" s="231">
        <v>0.591797273659052</v>
      </c>
      <c r="O98" s="231">
        <v>0.707131354016062</v>
      </c>
      <c r="P98" s="12"/>
      <c r="Q98" s="230"/>
      <c r="R98" s="231"/>
      <c r="S98" s="230"/>
      <c r="T98" s="230"/>
    </row>
    <row r="99" ht="15" customHeight="1" spans="2:20">
      <c r="B99" s="12">
        <v>458</v>
      </c>
      <c r="C99" s="230">
        <v>0.854998</v>
      </c>
      <c r="D99" s="230">
        <v>0.179417</v>
      </c>
      <c r="E99" s="230">
        <v>0.0995304</v>
      </c>
      <c r="F99" s="231">
        <v>0.546</v>
      </c>
      <c r="G99" s="230">
        <v>0.67666</v>
      </c>
      <c r="H99" s="12"/>
      <c r="J99" s="12">
        <v>458</v>
      </c>
      <c r="K99" s="231">
        <v>0.835266640044841</v>
      </c>
      <c r="L99" s="231">
        <v>0.211766072254384</v>
      </c>
      <c r="M99" s="231">
        <v>0.123155187191685</v>
      </c>
      <c r="N99" s="231">
        <v>0.602646367048745</v>
      </c>
      <c r="O99" s="231">
        <v>0.722421771592593</v>
      </c>
      <c r="P99" s="12"/>
      <c r="Q99" s="230"/>
      <c r="R99" s="231"/>
      <c r="S99" s="230"/>
      <c r="T99" s="230"/>
    </row>
    <row r="100" ht="15" customHeight="1" spans="2:20">
      <c r="B100" s="12">
        <v>459</v>
      </c>
      <c r="C100" s="230">
        <v>0.839198</v>
      </c>
      <c r="D100" s="230">
        <v>0.186117</v>
      </c>
      <c r="E100" s="230">
        <v>0.102964</v>
      </c>
      <c r="F100" s="231">
        <v>0.557</v>
      </c>
      <c r="G100" s="230">
        <v>0.692409</v>
      </c>
      <c r="H100" s="12"/>
      <c r="J100" s="12">
        <v>459</v>
      </c>
      <c r="K100" s="231">
        <v>0.818045142433557</v>
      </c>
      <c r="L100" s="231">
        <v>0.2191954964563</v>
      </c>
      <c r="M100" s="231">
        <v>0.127126226980947</v>
      </c>
      <c r="N100" s="231">
        <v>0.613448187700356</v>
      </c>
      <c r="O100" s="231">
        <v>0.737625323500622</v>
      </c>
      <c r="P100" s="12"/>
      <c r="Q100" s="230"/>
      <c r="R100" s="231"/>
      <c r="S100" s="230"/>
      <c r="T100" s="230"/>
    </row>
    <row r="101" ht="15" customHeight="1" spans="2:20">
      <c r="B101" s="12">
        <v>460</v>
      </c>
      <c r="C101" s="230">
        <v>0.823726</v>
      </c>
      <c r="D101" s="230">
        <v>0.193202</v>
      </c>
      <c r="E101" s="230">
        <v>0.106663</v>
      </c>
      <c r="F101" s="231">
        <v>0.567</v>
      </c>
      <c r="G101" s="230">
        <v>0.708049</v>
      </c>
      <c r="H101" s="12"/>
      <c r="J101" s="12">
        <v>460</v>
      </c>
      <c r="K101" s="231">
        <v>0.801217558247556</v>
      </c>
      <c r="L101" s="231">
        <v>0.227045058994152</v>
      </c>
      <c r="M101" s="231">
        <v>0.131406969585553</v>
      </c>
      <c r="N101" s="231">
        <v>0.623104094893376</v>
      </c>
      <c r="O101" s="231">
        <v>0.752646907422194</v>
      </c>
      <c r="P101" s="12"/>
      <c r="Q101" s="230"/>
      <c r="R101" s="231"/>
      <c r="S101" s="230"/>
      <c r="T101" s="230"/>
    </row>
    <row r="102" ht="15" customHeight="1" spans="2:20">
      <c r="B102" s="12">
        <v>461</v>
      </c>
      <c r="C102" s="230">
        <v>0.808307</v>
      </c>
      <c r="D102" s="230">
        <v>0.200621</v>
      </c>
      <c r="E102" s="230">
        <v>0.110629</v>
      </c>
      <c r="F102" s="231">
        <v>0.578</v>
      </c>
      <c r="G102" s="230">
        <v>0.723594</v>
      </c>
      <c r="H102" s="12"/>
      <c r="J102" s="12">
        <v>461</v>
      </c>
      <c r="K102" s="231">
        <v>0.784514418705936</v>
      </c>
      <c r="L102" s="231">
        <v>0.235252222152596</v>
      </c>
      <c r="M102" s="231">
        <v>0.135997366482321</v>
      </c>
      <c r="N102" s="231">
        <v>0.633814676132519</v>
      </c>
      <c r="O102" s="231">
        <v>0.767502557067648</v>
      </c>
      <c r="P102" s="12"/>
      <c r="Q102" s="230"/>
      <c r="R102" s="231"/>
      <c r="S102" s="230"/>
      <c r="T102" s="230"/>
    </row>
    <row r="103" ht="15" customHeight="1" spans="2:20">
      <c r="B103" s="12">
        <v>462</v>
      </c>
      <c r="C103" s="230">
        <v>0.792431</v>
      </c>
      <c r="D103" s="230">
        <v>0.208315</v>
      </c>
      <c r="E103" s="230">
        <v>0.114828</v>
      </c>
      <c r="F103" s="231">
        <v>0.588</v>
      </c>
      <c r="G103" s="230">
        <v>0.739105</v>
      </c>
      <c r="H103" s="12"/>
      <c r="J103" s="12">
        <v>462</v>
      </c>
      <c r="K103" s="231">
        <v>0.767440999020278</v>
      </c>
      <c r="L103" s="231">
        <v>0.243745629012479</v>
      </c>
      <c r="M103" s="231">
        <v>0.140853700848445</v>
      </c>
      <c r="N103" s="231">
        <v>0.643384699553205</v>
      </c>
      <c r="O103" s="231">
        <v>0.782257911439241</v>
      </c>
      <c r="P103" s="12"/>
      <c r="Q103" s="230"/>
      <c r="R103" s="231"/>
      <c r="S103" s="230"/>
      <c r="T103" s="230"/>
    </row>
    <row r="104" ht="15" customHeight="1" spans="2:20">
      <c r="B104" s="12">
        <v>463</v>
      </c>
      <c r="C104" s="230">
        <v>0.775569</v>
      </c>
      <c r="D104" s="230">
        <v>0.216212</v>
      </c>
      <c r="E104" s="230">
        <v>0.119217</v>
      </c>
      <c r="F104" s="231">
        <v>0.599</v>
      </c>
      <c r="G104" s="230">
        <v>0.75456</v>
      </c>
      <c r="H104" s="12"/>
      <c r="J104" s="12">
        <v>463</v>
      </c>
      <c r="K104" s="231">
        <v>0.749488487406527</v>
      </c>
      <c r="L104" s="231">
        <v>0.252439360916561</v>
      </c>
      <c r="M104" s="231">
        <v>0.145921617543532</v>
      </c>
      <c r="N104" s="231">
        <v>0.654005212180819</v>
      </c>
      <c r="O104" s="231">
        <v>0.796890386210887</v>
      </c>
      <c r="P104" s="12"/>
      <c r="Q104" s="230"/>
      <c r="R104" s="231"/>
      <c r="S104" s="230"/>
      <c r="T104" s="230"/>
    </row>
    <row r="105" ht="15" customHeight="1" spans="2:20">
      <c r="B105" s="12">
        <v>464</v>
      </c>
      <c r="C105" s="230">
        <v>0.757244</v>
      </c>
      <c r="D105" s="230">
        <v>0.224231</v>
      </c>
      <c r="E105" s="230">
        <v>0.12374</v>
      </c>
      <c r="F105" s="231">
        <v>0.61</v>
      </c>
      <c r="G105" s="230">
        <v>0.769938</v>
      </c>
      <c r="H105" s="12"/>
      <c r="J105" s="12">
        <v>464</v>
      </c>
      <c r="K105" s="231">
        <v>0.730202601454323</v>
      </c>
      <c r="L105" s="231">
        <v>0.261237754538912</v>
      </c>
      <c r="M105" s="231">
        <v>0.151131352298051</v>
      </c>
      <c r="N105" s="231">
        <v>0.664579946736762</v>
      </c>
      <c r="O105" s="231">
        <v>0.811378645572325</v>
      </c>
      <c r="P105" s="12"/>
      <c r="Q105" s="230"/>
      <c r="R105" s="231"/>
      <c r="S105" s="230"/>
      <c r="T105" s="230"/>
    </row>
    <row r="106" ht="15" customHeight="1" spans="2:20">
      <c r="B106" s="12">
        <v>465</v>
      </c>
      <c r="C106" s="230">
        <v>0.737043</v>
      </c>
      <c r="D106" s="230">
        <v>0.232275</v>
      </c>
      <c r="E106" s="230">
        <v>0.128336</v>
      </c>
      <c r="F106" s="231">
        <v>0.62</v>
      </c>
      <c r="G106" s="230">
        <v>0.785216</v>
      </c>
      <c r="H106" s="12"/>
      <c r="J106" s="12">
        <v>465</v>
      </c>
      <c r="K106" s="231">
        <v>0.709194548381349</v>
      </c>
      <c r="L106" s="231">
        <v>0.270027368934811</v>
      </c>
      <c r="M106" s="231">
        <v>0.156407647287401</v>
      </c>
      <c r="N106" s="231">
        <v>0.674022066198596</v>
      </c>
      <c r="O106" s="231">
        <v>0.825699434133008</v>
      </c>
      <c r="P106" s="12"/>
      <c r="Q106" s="230"/>
      <c r="R106" s="231"/>
      <c r="S106" s="230"/>
      <c r="T106" s="230"/>
    </row>
    <row r="107" ht="15" customHeight="1" spans="2:20">
      <c r="B107" s="12">
        <v>466</v>
      </c>
      <c r="C107" s="230">
        <v>0.71473</v>
      </c>
      <c r="D107" s="230">
        <v>0.240257</v>
      </c>
      <c r="E107" s="230">
        <v>0.132947</v>
      </c>
      <c r="F107" s="231">
        <v>0.631</v>
      </c>
      <c r="G107" s="230">
        <v>0.800683</v>
      </c>
      <c r="H107" s="12"/>
      <c r="J107" s="12">
        <v>466</v>
      </c>
      <c r="K107" s="231">
        <v>0.686248819432964</v>
      </c>
      <c r="L107" s="231">
        <v>0.278707337285189</v>
      </c>
      <c r="M107" s="231">
        <v>0.161679539037647</v>
      </c>
      <c r="N107" s="231">
        <v>0.684508461005334</v>
      </c>
      <c r="O107" s="231">
        <v>0.840157077877673</v>
      </c>
      <c r="P107" s="12"/>
      <c r="Q107" s="230"/>
      <c r="R107" s="231"/>
      <c r="S107" s="230"/>
      <c r="T107" s="230"/>
    </row>
    <row r="108" ht="15" customHeight="1" spans="2:20">
      <c r="B108" s="12">
        <v>467</v>
      </c>
      <c r="C108" s="230">
        <v>0.690558</v>
      </c>
      <c r="D108" s="230">
        <v>0.24816</v>
      </c>
      <c r="E108" s="230">
        <v>0.13757</v>
      </c>
      <c r="F108" s="231">
        <v>0.642</v>
      </c>
      <c r="G108" s="230">
        <v>0.816354</v>
      </c>
      <c r="H108" s="12"/>
      <c r="J108" s="12">
        <v>467</v>
      </c>
      <c r="K108" s="231">
        <v>0.661620260274967</v>
      </c>
      <c r="L108" s="231">
        <v>0.287258685530549</v>
      </c>
      <c r="M108" s="231">
        <v>0.166943415286703</v>
      </c>
      <c r="N108" s="231">
        <v>0.694949946198338</v>
      </c>
      <c r="O108" s="231">
        <v>0.854766403455126</v>
      </c>
      <c r="P108" s="12"/>
      <c r="Q108" s="230"/>
      <c r="R108" s="231"/>
      <c r="S108" s="230"/>
      <c r="T108" s="230"/>
    </row>
    <row r="109" ht="15" customHeight="1" spans="2:20">
      <c r="B109" s="12">
        <v>468</v>
      </c>
      <c r="C109" s="230">
        <v>0.66489</v>
      </c>
      <c r="D109" s="230">
        <v>0.255987</v>
      </c>
      <c r="E109" s="230">
        <v>0.142218</v>
      </c>
      <c r="F109" s="231">
        <v>0.653</v>
      </c>
      <c r="G109" s="230">
        <v>0.831798</v>
      </c>
      <c r="H109" s="12"/>
      <c r="J109" s="12">
        <v>468</v>
      </c>
      <c r="K109" s="231">
        <v>0.635666703676629</v>
      </c>
      <c r="L109" s="231">
        <v>0.295685703401552</v>
      </c>
      <c r="M109" s="231">
        <v>0.172215069417017</v>
      </c>
      <c r="N109" s="231">
        <v>0.705346809659748</v>
      </c>
      <c r="O109" s="231">
        <v>0.869076122713368</v>
      </c>
      <c r="P109" s="12"/>
      <c r="Q109" s="230"/>
      <c r="R109" s="231"/>
      <c r="S109" s="230"/>
      <c r="T109" s="230"/>
    </row>
    <row r="110" ht="15" customHeight="1" spans="2:20">
      <c r="B110" s="12">
        <v>469</v>
      </c>
      <c r="C110" s="230">
        <v>0.638078</v>
      </c>
      <c r="D110" s="230">
        <v>0.263744</v>
      </c>
      <c r="E110" s="230">
        <v>0.146905</v>
      </c>
      <c r="F110" s="231">
        <v>0.664</v>
      </c>
      <c r="G110" s="230">
        <v>0.846587</v>
      </c>
      <c r="H110" s="12"/>
      <c r="J110" s="12">
        <v>469</v>
      </c>
      <c r="K110" s="231">
        <v>0.608732436424736</v>
      </c>
      <c r="L110" s="231">
        <v>0.303996101896894</v>
      </c>
      <c r="M110" s="231">
        <v>0.177511368453907</v>
      </c>
      <c r="N110" s="231">
        <v>0.71569933681642</v>
      </c>
      <c r="O110" s="231">
        <v>0.882641924205555</v>
      </c>
      <c r="P110" s="12"/>
      <c r="Q110" s="230"/>
      <c r="R110" s="231"/>
      <c r="S110" s="230"/>
      <c r="T110" s="230"/>
    </row>
    <row r="111" ht="15" customHeight="1" spans="2:20">
      <c r="B111" s="12">
        <v>470</v>
      </c>
      <c r="C111" s="230">
        <v>0.610456</v>
      </c>
      <c r="D111" s="230">
        <v>0.271441</v>
      </c>
      <c r="E111" s="230">
        <v>0.151651</v>
      </c>
      <c r="F111" s="231">
        <v>0.676</v>
      </c>
      <c r="G111" s="230">
        <v>0.860291</v>
      </c>
      <c r="H111" s="12"/>
      <c r="J111" s="12">
        <v>470</v>
      </c>
      <c r="K111" s="231">
        <v>0.581141679572344</v>
      </c>
      <c r="L111" s="231">
        <v>0.312202127052543</v>
      </c>
      <c r="M111" s="231">
        <v>0.182856270495294</v>
      </c>
      <c r="N111" s="231">
        <v>0.727083377792953</v>
      </c>
      <c r="O111" s="231">
        <v>0.895021197118277</v>
      </c>
      <c r="P111" s="12"/>
      <c r="Q111" s="230"/>
      <c r="R111" s="231"/>
      <c r="S111" s="230"/>
      <c r="T111" s="230"/>
    </row>
    <row r="112" ht="15" customHeight="1" spans="2:20">
      <c r="B112" s="12">
        <v>471</v>
      </c>
      <c r="C112" s="230">
        <v>0.582346</v>
      </c>
      <c r="D112" s="230">
        <v>0.279097</v>
      </c>
      <c r="E112" s="230">
        <v>0.156475</v>
      </c>
      <c r="F112" s="231">
        <v>0.687</v>
      </c>
      <c r="G112" s="230">
        <v>0.872925</v>
      </c>
      <c r="H112" s="12"/>
      <c r="J112" s="12">
        <v>471</v>
      </c>
      <c r="K112" s="231">
        <v>0.553204501201494</v>
      </c>
      <c r="L112" s="231">
        <v>0.320326250417748</v>
      </c>
      <c r="M112" s="231">
        <v>0.188272326963025</v>
      </c>
      <c r="N112" s="231">
        <v>0.737345795347827</v>
      </c>
      <c r="O112" s="231">
        <v>0.906237071379947</v>
      </c>
      <c r="P112" s="12"/>
      <c r="Q112" s="230"/>
      <c r="R112" s="231"/>
      <c r="S112" s="230"/>
      <c r="T112" s="230"/>
    </row>
    <row r="113" ht="15" customHeight="1" spans="2:20">
      <c r="B113" s="12">
        <v>472</v>
      </c>
      <c r="C113" s="230">
        <v>0.554065</v>
      </c>
      <c r="D113" s="230">
        <v>0.286755</v>
      </c>
      <c r="E113" s="230">
        <v>0.161404</v>
      </c>
      <c r="F113" s="231">
        <v>0.699</v>
      </c>
      <c r="G113" s="230">
        <v>0.88487</v>
      </c>
      <c r="H113" s="12"/>
      <c r="J113" s="12">
        <v>472</v>
      </c>
      <c r="K113" s="231">
        <v>0.525223601969501</v>
      </c>
      <c r="L113" s="231">
        <v>0.328418240115633</v>
      </c>
      <c r="M113" s="231">
        <v>0.193791503453968</v>
      </c>
      <c r="N113" s="231">
        <v>0.748635737721639</v>
      </c>
      <c r="O113" s="231">
        <v>0.916691642973141</v>
      </c>
      <c r="P113" s="12"/>
      <c r="Q113" s="230"/>
      <c r="R113" s="231"/>
      <c r="S113" s="230"/>
      <c r="T113" s="230"/>
    </row>
    <row r="114" ht="15" customHeight="1" spans="2:20">
      <c r="B114" s="12">
        <v>473</v>
      </c>
      <c r="C114" s="230">
        <v>0.525903</v>
      </c>
      <c r="D114" s="230">
        <v>0.294476</v>
      </c>
      <c r="E114" s="230">
        <v>0.166464</v>
      </c>
      <c r="F114" s="231">
        <v>0.71</v>
      </c>
      <c r="G114" s="230">
        <v>0.896242</v>
      </c>
      <c r="H114" s="12"/>
      <c r="J114" s="12">
        <v>473</v>
      </c>
      <c r="K114" s="231">
        <v>0.497473582271134</v>
      </c>
      <c r="L114" s="231">
        <v>0.33654801507124</v>
      </c>
      <c r="M114" s="231">
        <v>0.19944429712012</v>
      </c>
      <c r="N114" s="231">
        <v>0.758809197147468</v>
      </c>
      <c r="O114" s="231">
        <v>0.926509657978651</v>
      </c>
      <c r="P114" s="12"/>
      <c r="Q114" s="230"/>
      <c r="R114" s="231"/>
      <c r="S114" s="230"/>
      <c r="T114" s="230"/>
    </row>
    <row r="115" ht="15" customHeight="1" spans="2:20">
      <c r="B115" s="12">
        <v>474</v>
      </c>
      <c r="C115" s="230">
        <v>0.498108</v>
      </c>
      <c r="D115" s="230">
        <v>0.302323</v>
      </c>
      <c r="E115" s="230">
        <v>0.17169</v>
      </c>
      <c r="F115" s="231">
        <v>0.722</v>
      </c>
      <c r="G115" s="230">
        <v>0.907158</v>
      </c>
      <c r="H115" s="12"/>
      <c r="J115" s="12">
        <v>474</v>
      </c>
      <c r="K115" s="231">
        <v>0.470187079464115</v>
      </c>
      <c r="L115" s="231">
        <v>0.344787185095804</v>
      </c>
      <c r="M115" s="231">
        <v>0.205271708108677</v>
      </c>
      <c r="N115" s="231">
        <v>0.770006221195231</v>
      </c>
      <c r="O115" s="231">
        <v>0.935815841358518</v>
      </c>
      <c r="P115" s="12"/>
      <c r="Q115" s="230"/>
      <c r="R115" s="231"/>
      <c r="S115" s="230"/>
      <c r="T115" s="230"/>
    </row>
    <row r="116" ht="15" customHeight="1" spans="2:20">
      <c r="B116" s="12">
        <v>475</v>
      </c>
      <c r="C116" s="230">
        <v>0.470894</v>
      </c>
      <c r="D116" s="230">
        <v>0.310372</v>
      </c>
      <c r="E116" s="230">
        <v>0.177116</v>
      </c>
      <c r="F116" s="231">
        <v>0.734</v>
      </c>
      <c r="G116" s="230">
        <v>0.917734</v>
      </c>
      <c r="H116" s="12"/>
      <c r="J116" s="12">
        <v>475</v>
      </c>
      <c r="K116" s="231">
        <v>0.443562745255673</v>
      </c>
      <c r="L116" s="231">
        <v>0.35322155173354</v>
      </c>
      <c r="M116" s="231">
        <v>0.211313198224468</v>
      </c>
      <c r="N116" s="231">
        <v>0.781156099878583</v>
      </c>
      <c r="O116" s="231">
        <v>0.94473283834029</v>
      </c>
      <c r="P116" s="12"/>
      <c r="Q116" s="230"/>
      <c r="R116" s="231"/>
      <c r="S116" s="230"/>
      <c r="T116" s="230"/>
    </row>
    <row r="117" ht="15" customHeight="1" spans="2:20">
      <c r="B117" s="12">
        <v>476</v>
      </c>
      <c r="C117" s="230">
        <v>0.44445</v>
      </c>
      <c r="D117" s="230">
        <v>0.318692</v>
      </c>
      <c r="E117" s="230">
        <v>0.182777</v>
      </c>
      <c r="F117" s="231">
        <v>0.745</v>
      </c>
      <c r="G117" s="230">
        <v>0.928345</v>
      </c>
      <c r="H117" s="12"/>
      <c r="J117" s="12">
        <v>476</v>
      </c>
      <c r="K117" s="231">
        <v>0.417774062513684</v>
      </c>
      <c r="L117" s="231">
        <v>0.36192824583261</v>
      </c>
      <c r="M117" s="231">
        <v>0.21760908823202</v>
      </c>
      <c r="N117" s="231">
        <v>0.791197120774087</v>
      </c>
      <c r="O117" s="231">
        <v>0.953648322921444</v>
      </c>
      <c r="P117" s="12"/>
      <c r="Q117" s="230"/>
      <c r="R117" s="231"/>
      <c r="S117" s="230"/>
      <c r="T117" s="230"/>
    </row>
    <row r="118" ht="15" customHeight="1" spans="2:20">
      <c r="B118" s="12">
        <v>477</v>
      </c>
      <c r="C118" s="230">
        <v>0.418992</v>
      </c>
      <c r="D118" s="230">
        <v>0.327307</v>
      </c>
      <c r="E118" s="230">
        <v>0.188685</v>
      </c>
      <c r="F118" s="231">
        <v>0.757</v>
      </c>
      <c r="G118" s="230">
        <v>0.93895</v>
      </c>
      <c r="H118" s="12"/>
      <c r="J118" s="12">
        <v>477</v>
      </c>
      <c r="K118" s="231">
        <v>0.393018385573714</v>
      </c>
      <c r="L118" s="231">
        <v>0.370932753528616</v>
      </c>
      <c r="M118" s="231">
        <v>0.224172035038606</v>
      </c>
      <c r="N118" s="231">
        <v>0.802255824076002</v>
      </c>
      <c r="O118" s="231">
        <v>0.962520275399077</v>
      </c>
      <c r="P118" s="12"/>
      <c r="Q118" s="230"/>
      <c r="R118" s="231"/>
      <c r="S118" s="230"/>
      <c r="T118" s="230"/>
    </row>
    <row r="119" ht="15" customHeight="1" spans="2:20">
      <c r="B119" s="12">
        <v>478</v>
      </c>
      <c r="C119" s="230">
        <v>0.394699</v>
      </c>
      <c r="D119" s="230">
        <v>0.336232</v>
      </c>
      <c r="E119" s="230">
        <v>0.194845</v>
      </c>
      <c r="F119" s="231">
        <v>0.769</v>
      </c>
      <c r="G119" s="230">
        <v>0.949035</v>
      </c>
      <c r="H119" s="12"/>
      <c r="J119" s="12">
        <v>478</v>
      </c>
      <c r="K119" s="231">
        <v>0.369456783534547</v>
      </c>
      <c r="L119" s="231">
        <v>0.380250169439499</v>
      </c>
      <c r="M119" s="231">
        <v>0.23100629050571</v>
      </c>
      <c r="N119" s="231">
        <v>0.813268256652804</v>
      </c>
      <c r="O119" s="231">
        <v>0.97082316845449</v>
      </c>
      <c r="P119" s="12"/>
      <c r="Q119" s="230"/>
      <c r="R119" s="231"/>
      <c r="S119" s="230"/>
      <c r="T119" s="230"/>
    </row>
    <row r="120" ht="15" customHeight="1" spans="2:20">
      <c r="B120" s="12">
        <v>479</v>
      </c>
      <c r="C120" s="230">
        <v>0.371707</v>
      </c>
      <c r="D120" s="230">
        <v>0.34548</v>
      </c>
      <c r="E120" s="230">
        <v>0.201261</v>
      </c>
      <c r="F120" s="231">
        <v>0.781</v>
      </c>
      <c r="G120" s="230">
        <v>0.958091</v>
      </c>
      <c r="H120" s="12"/>
      <c r="J120" s="12">
        <v>479</v>
      </c>
      <c r="K120" s="231">
        <v>0.347208814461976</v>
      </c>
      <c r="L120" s="231">
        <v>0.389893205021972</v>
      </c>
      <c r="M120" s="231">
        <v>0.238114887873761</v>
      </c>
      <c r="N120" s="231">
        <v>0.824234708300266</v>
      </c>
      <c r="O120" s="231">
        <v>0.978040967419208</v>
      </c>
      <c r="P120" s="12"/>
      <c r="Q120" s="230"/>
      <c r="R120" s="231"/>
      <c r="S120" s="230"/>
      <c r="T120" s="230"/>
    </row>
    <row r="121" ht="15" customHeight="1" spans="2:20">
      <c r="B121" s="12">
        <v>480</v>
      </c>
      <c r="C121" s="230">
        <v>0.350108</v>
      </c>
      <c r="D121" s="230">
        <v>0.355066</v>
      </c>
      <c r="E121" s="230">
        <v>0.20794</v>
      </c>
      <c r="F121" s="231">
        <v>0.793</v>
      </c>
      <c r="G121" s="230">
        <v>0.965605</v>
      </c>
      <c r="H121" s="12"/>
      <c r="J121" s="12">
        <v>480</v>
      </c>
      <c r="K121" s="231">
        <v>0.326352025648674</v>
      </c>
      <c r="L121" s="231">
        <v>0.399876718211768</v>
      </c>
      <c r="M121" s="231">
        <v>0.245504377056421</v>
      </c>
      <c r="N121" s="231">
        <v>0.835155466399198</v>
      </c>
      <c r="O121" s="231">
        <v>0.983657863130022</v>
      </c>
      <c r="P121" s="12"/>
      <c r="Q121" s="230"/>
      <c r="R121" s="231"/>
      <c r="S121" s="230"/>
      <c r="T121" s="230"/>
    </row>
    <row r="122" ht="15" customHeight="1" spans="2:20">
      <c r="B122" s="12">
        <v>481</v>
      </c>
      <c r="C122" s="230">
        <v>0.329904</v>
      </c>
      <c r="D122" s="230">
        <v>0.364985</v>
      </c>
      <c r="E122" s="230">
        <v>0.214875</v>
      </c>
      <c r="F122" s="231">
        <v>0.805</v>
      </c>
      <c r="G122" s="230">
        <v>0.971976</v>
      </c>
      <c r="H122" s="12"/>
      <c r="J122" s="12">
        <v>481</v>
      </c>
      <c r="K122" s="231">
        <v>0.306879600712268</v>
      </c>
      <c r="L122" s="231">
        <v>0.410192966135268</v>
      </c>
      <c r="M122" s="231">
        <v>0.253164758761166</v>
      </c>
      <c r="N122" s="231">
        <v>0.846030815940545</v>
      </c>
      <c r="O122" s="231">
        <v>0.988089455067676</v>
      </c>
      <c r="P122" s="12"/>
      <c r="Q122" s="230"/>
      <c r="R122" s="231"/>
      <c r="S122" s="230"/>
      <c r="T122" s="230"/>
    </row>
    <row r="123" ht="15" customHeight="1" spans="2:20">
      <c r="B123" s="12">
        <v>482</v>
      </c>
      <c r="C123" s="230">
        <v>0.310864</v>
      </c>
      <c r="D123" s="230">
        <v>0.375142</v>
      </c>
      <c r="E123" s="230">
        <v>0.222022</v>
      </c>
      <c r="F123" s="231">
        <v>0.817</v>
      </c>
      <c r="G123" s="230">
        <v>0.977833</v>
      </c>
      <c r="H123" s="12"/>
      <c r="J123" s="12">
        <v>482</v>
      </c>
      <c r="K123" s="231">
        <v>0.288568490855007</v>
      </c>
      <c r="L123" s="231">
        <v>0.420733332397063</v>
      </c>
      <c r="M123" s="231">
        <v>0.261042613885927</v>
      </c>
      <c r="N123" s="231">
        <v>0.856861039550186</v>
      </c>
      <c r="O123" s="231">
        <v>0.991981221614202</v>
      </c>
      <c r="P123" s="12"/>
      <c r="Q123" s="230"/>
      <c r="R123" s="231"/>
      <c r="S123" s="230"/>
      <c r="T123" s="230"/>
    </row>
    <row r="124" ht="15" customHeight="1" spans="2:20">
      <c r="B124" s="12">
        <v>483</v>
      </c>
      <c r="C124" s="230">
        <v>0.292741</v>
      </c>
      <c r="D124" s="230">
        <v>0.38541</v>
      </c>
      <c r="E124" s="230">
        <v>0.229316</v>
      </c>
      <c r="F124" s="231">
        <v>0.828</v>
      </c>
      <c r="G124" s="230">
        <v>0.983006</v>
      </c>
      <c r="H124" s="12"/>
      <c r="J124" s="12">
        <v>483</v>
      </c>
      <c r="K124" s="231">
        <v>0.271182672762253</v>
      </c>
      <c r="L124" s="231">
        <v>0.431354285432991</v>
      </c>
      <c r="M124" s="231">
        <v>0.269060326069071</v>
      </c>
      <c r="N124" s="231">
        <v>0.866599799398195</v>
      </c>
      <c r="O124" s="231">
        <v>0.995164413059469</v>
      </c>
      <c r="P124" s="12"/>
      <c r="Q124" s="230"/>
      <c r="R124" s="231"/>
      <c r="S124" s="230"/>
      <c r="T124" s="230"/>
    </row>
    <row r="125" ht="15" customHeight="1" spans="2:20">
      <c r="B125" s="12">
        <v>484</v>
      </c>
      <c r="C125" s="230">
        <v>0.275338</v>
      </c>
      <c r="D125" s="230">
        <v>0.395646</v>
      </c>
      <c r="E125" s="230">
        <v>0.236684</v>
      </c>
      <c r="F125" s="231">
        <v>0.84</v>
      </c>
      <c r="G125" s="230">
        <v>0.987325</v>
      </c>
      <c r="H125" s="12"/>
      <c r="J125" s="12">
        <v>484</v>
      </c>
      <c r="K125" s="231">
        <v>0.254534295876931</v>
      </c>
      <c r="L125" s="231">
        <v>0.441895609547102</v>
      </c>
      <c r="M125" s="231">
        <v>0.27713155326539</v>
      </c>
      <c r="N125" s="231">
        <v>0.877342772118007</v>
      </c>
      <c r="O125" s="231">
        <v>0.997471674319045</v>
      </c>
      <c r="P125" s="12"/>
      <c r="Q125" s="230"/>
      <c r="R125" s="231"/>
      <c r="S125" s="230"/>
      <c r="T125" s="230"/>
    </row>
    <row r="126" ht="15" customHeight="1" spans="2:20">
      <c r="B126" s="12">
        <v>485</v>
      </c>
      <c r="C126" s="230">
        <v>0.258497</v>
      </c>
      <c r="D126" s="230">
        <v>0.405688</v>
      </c>
      <c r="E126" s="230">
        <v>0.244046</v>
      </c>
      <c r="F126" s="231">
        <v>0.851</v>
      </c>
      <c r="G126" s="230">
        <v>0.990621</v>
      </c>
      <c r="H126" s="12"/>
      <c r="J126" s="12">
        <v>485</v>
      </c>
      <c r="K126" s="231">
        <v>0.238473037866551</v>
      </c>
      <c r="L126" s="231">
        <v>0.452177233132322</v>
      </c>
      <c r="M126" s="231">
        <v>0.285162486180028</v>
      </c>
      <c r="N126" s="231">
        <v>0.886999141755162</v>
      </c>
      <c r="O126" s="231">
        <v>0.998738038750511</v>
      </c>
      <c r="P126" s="12"/>
      <c r="Q126" s="230"/>
      <c r="R126" s="231"/>
      <c r="S126" s="230"/>
      <c r="T126" s="230"/>
    </row>
    <row r="127" ht="15" customHeight="1" spans="2:20">
      <c r="B127" s="12">
        <v>486</v>
      </c>
      <c r="C127" s="230">
        <v>0.242158</v>
      </c>
      <c r="D127" s="230">
        <v>0.415435</v>
      </c>
      <c r="E127" s="230">
        <v>0.251347</v>
      </c>
      <c r="F127" s="231">
        <v>0.862</v>
      </c>
      <c r="G127" s="230">
        <v>0.993343</v>
      </c>
      <c r="H127" s="12"/>
      <c r="J127" s="12">
        <v>486</v>
      </c>
      <c r="K127" s="231">
        <v>0.222940036216074</v>
      </c>
      <c r="L127" s="231">
        <v>0.462088416962177</v>
      </c>
      <c r="M127" s="231">
        <v>0.293089239464851</v>
      </c>
      <c r="N127" s="231">
        <v>0.896615773245663</v>
      </c>
      <c r="O127" s="231">
        <v>0.999421679260808</v>
      </c>
      <c r="P127" s="12"/>
      <c r="Q127" s="230"/>
      <c r="R127" s="231"/>
      <c r="S127" s="230"/>
      <c r="T127" s="230"/>
    </row>
    <row r="128" ht="15" customHeight="1" spans="2:20">
      <c r="B128" s="12">
        <v>487</v>
      </c>
      <c r="C128" s="230">
        <v>0.226504</v>
      </c>
      <c r="D128" s="230">
        <v>0.425064</v>
      </c>
      <c r="E128" s="230">
        <v>0.258695</v>
      </c>
      <c r="F128" s="231">
        <v>0.873</v>
      </c>
      <c r="G128" s="230">
        <v>0.995887</v>
      </c>
      <c r="H128" s="12"/>
      <c r="J128" s="12">
        <v>487</v>
      </c>
      <c r="K128" s="231">
        <v>0.20810016772069</v>
      </c>
      <c r="L128" s="231">
        <v>0.47182791586958</v>
      </c>
      <c r="M128" s="231">
        <v>0.30103813229623</v>
      </c>
      <c r="N128" s="231">
        <v>0.90619291138302</v>
      </c>
      <c r="O128" s="231">
        <v>0.9999237906962</v>
      </c>
      <c r="P128" s="12"/>
      <c r="Q128" s="230"/>
      <c r="R128" s="231"/>
      <c r="S128" s="230"/>
      <c r="T128" s="230"/>
    </row>
    <row r="129" ht="15" customHeight="1" spans="2:20">
      <c r="B129" s="12">
        <v>488</v>
      </c>
      <c r="C129" s="230">
        <v>0.211726</v>
      </c>
      <c r="D129" s="230">
        <v>0.434851</v>
      </c>
      <c r="E129" s="230">
        <v>0.266252</v>
      </c>
      <c r="F129" s="231">
        <v>0.884</v>
      </c>
      <c r="G129" s="230">
        <v>0.998008</v>
      </c>
      <c r="H129" s="12"/>
      <c r="J129" s="12">
        <v>488</v>
      </c>
      <c r="K129" s="231">
        <v>0.194124292651498</v>
      </c>
      <c r="L129" s="231">
        <v>0.481702521963192</v>
      </c>
      <c r="M129" s="231">
        <v>0.309197158385976</v>
      </c>
      <c r="N129" s="231">
        <v>0.91573079895424</v>
      </c>
      <c r="O129" s="231">
        <v>1</v>
      </c>
      <c r="P129" s="12"/>
      <c r="Q129" s="230"/>
      <c r="R129" s="231"/>
      <c r="S129" s="230"/>
      <c r="T129" s="230"/>
    </row>
    <row r="130" ht="15" customHeight="1" spans="2:20">
      <c r="B130" s="12">
        <v>489</v>
      </c>
      <c r="C130" s="230">
        <v>0.19796</v>
      </c>
      <c r="D130" s="230">
        <v>0.445097</v>
      </c>
      <c r="E130" s="230">
        <v>0.274202</v>
      </c>
      <c r="F130" s="231">
        <v>0.894</v>
      </c>
      <c r="G130" s="230">
        <v>0.999461</v>
      </c>
      <c r="H130" s="12"/>
      <c r="J130" s="12">
        <v>489</v>
      </c>
      <c r="K130" s="231">
        <v>0.181131549163793</v>
      </c>
      <c r="L130" s="231">
        <v>0.492044154710588</v>
      </c>
      <c r="M130" s="231">
        <v>0.317778269912096</v>
      </c>
      <c r="N130" s="231">
        <v>0.924195900585191</v>
      </c>
      <c r="O130" s="231">
        <v>0.999407933077127</v>
      </c>
      <c r="P130" s="12"/>
      <c r="Q130" s="230"/>
      <c r="R130" s="231"/>
      <c r="S130" s="230"/>
      <c r="T130" s="230"/>
    </row>
    <row r="131" ht="15" customHeight="1" spans="2:20">
      <c r="B131" s="12">
        <v>490</v>
      </c>
      <c r="C131" s="230">
        <v>0.185297</v>
      </c>
      <c r="D131" s="230">
        <v>0.456137</v>
      </c>
      <c r="E131" s="230">
        <v>0.282752</v>
      </c>
      <c r="F131" s="231">
        <v>0.904</v>
      </c>
      <c r="G131" s="230">
        <v>1</v>
      </c>
      <c r="H131" s="12"/>
      <c r="J131" s="12">
        <v>490</v>
      </c>
      <c r="K131" s="231">
        <v>0.169199012306982</v>
      </c>
      <c r="L131" s="231">
        <v>0.503219533518065</v>
      </c>
      <c r="M131" s="231">
        <v>0.32701828959982</v>
      </c>
      <c r="N131" s="231">
        <v>0.932626450780914</v>
      </c>
      <c r="O131" s="231">
        <v>0.997906196490348</v>
      </c>
      <c r="P131" s="12"/>
      <c r="Q131" s="230"/>
      <c r="R131" s="231"/>
      <c r="S131" s="230"/>
      <c r="T131" s="230"/>
    </row>
    <row r="132" ht="15" customHeight="1" spans="2:20">
      <c r="B132" s="12">
        <v>491</v>
      </c>
      <c r="C132" s="230">
        <v>0.173751</v>
      </c>
      <c r="D132" s="230">
        <v>0.468236</v>
      </c>
      <c r="E132" s="230">
        <v>0.292071</v>
      </c>
      <c r="F132" s="231">
        <v>0.914</v>
      </c>
      <c r="G132" s="230">
        <v>0.999561</v>
      </c>
      <c r="H132" s="12"/>
      <c r="J132" s="12">
        <v>491</v>
      </c>
      <c r="K132" s="231">
        <v>0.158332961930558</v>
      </c>
      <c r="L132" s="231">
        <v>0.515515322131905</v>
      </c>
      <c r="M132" s="231">
        <v>0.337108251277619</v>
      </c>
      <c r="N132" s="231">
        <v>0.941022660649974</v>
      </c>
      <c r="O132" s="231">
        <v>0.995436612379518</v>
      </c>
      <c r="P132" s="12"/>
      <c r="Q132" s="230"/>
      <c r="R132" s="231"/>
      <c r="S132" s="230"/>
      <c r="T132" s="230"/>
    </row>
    <row r="133" ht="15" customHeight="1" spans="2:20">
      <c r="B133" s="12">
        <v>492</v>
      </c>
      <c r="C133" s="230">
        <v>0.163149</v>
      </c>
      <c r="D133" s="230">
        <v>0.481255</v>
      </c>
      <c r="E133" s="230">
        <v>0.302094</v>
      </c>
      <c r="F133" s="231">
        <v>0.923</v>
      </c>
      <c r="G133" s="230">
        <v>0.998365</v>
      </c>
      <c r="H133" s="12"/>
      <c r="J133" s="12">
        <v>492</v>
      </c>
      <c r="K133" s="231">
        <v>0.148369566889201</v>
      </c>
      <c r="L133" s="231">
        <v>0.528771964547174</v>
      </c>
      <c r="M133" s="231">
        <v>0.347968101879681</v>
      </c>
      <c r="N133" s="231">
        <v>0.948357266922719</v>
      </c>
      <c r="O133" s="231">
        <v>0.99222472303039</v>
      </c>
      <c r="P133" s="12"/>
      <c r="Q133" s="230"/>
      <c r="R133" s="231"/>
      <c r="S133" s="230"/>
      <c r="T133" s="230"/>
    </row>
    <row r="134" ht="15" customHeight="1" spans="2:20">
      <c r="B134" s="12">
        <v>493</v>
      </c>
      <c r="C134" s="230">
        <v>0.153311</v>
      </c>
      <c r="D134" s="230">
        <v>0.494927</v>
      </c>
      <c r="E134" s="230">
        <v>0.312673</v>
      </c>
      <c r="F134" s="231">
        <v>0.932</v>
      </c>
      <c r="G134" s="230">
        <v>0.99659</v>
      </c>
      <c r="H134" s="12"/>
      <c r="J134" s="12">
        <v>493</v>
      </c>
      <c r="K134" s="231">
        <v>0.139139972328837</v>
      </c>
      <c r="L134" s="231">
        <v>0.542690846454007</v>
      </c>
      <c r="M134" s="231">
        <v>0.359423027920695</v>
      </c>
      <c r="N134" s="231">
        <v>0.955662118200443</v>
      </c>
      <c r="O134" s="231">
        <v>0.988451591919989</v>
      </c>
      <c r="P134" s="12"/>
      <c r="Q134" s="230"/>
      <c r="R134" s="231"/>
      <c r="S134" s="230"/>
      <c r="T134" s="230"/>
    </row>
    <row r="135" ht="15" customHeight="1" spans="2:20">
      <c r="B135" s="12">
        <v>494</v>
      </c>
      <c r="C135" s="230">
        <v>0.144086</v>
      </c>
      <c r="D135" s="230">
        <v>0.508947</v>
      </c>
      <c r="E135" s="230">
        <v>0.323637</v>
      </c>
      <c r="F135" s="231">
        <v>0.941</v>
      </c>
      <c r="G135" s="230">
        <v>0.994416</v>
      </c>
      <c r="H135" s="12"/>
      <c r="J135" s="12">
        <v>494</v>
      </c>
      <c r="K135" s="231">
        <v>0.130502956799907</v>
      </c>
      <c r="L135" s="231">
        <v>0.5569341885585</v>
      </c>
      <c r="M135" s="231">
        <v>0.371273246030915</v>
      </c>
      <c r="N135" s="231">
        <v>0.962937395181496</v>
      </c>
      <c r="O135" s="231">
        <v>0.984298796076278</v>
      </c>
      <c r="P135" s="12"/>
      <c r="Q135" s="230"/>
      <c r="R135" s="231"/>
      <c r="S135" s="230"/>
      <c r="T135" s="230"/>
    </row>
    <row r="136" ht="15" customHeight="1" spans="2:20">
      <c r="B136" s="12">
        <v>495</v>
      </c>
      <c r="C136" s="230">
        <v>0.135351</v>
      </c>
      <c r="D136" s="230">
        <v>0.52297</v>
      </c>
      <c r="E136" s="230">
        <v>0.334786</v>
      </c>
      <c r="F136" s="231">
        <v>0.949</v>
      </c>
      <c r="G136" s="230">
        <v>0.992022</v>
      </c>
      <c r="H136" s="12"/>
      <c r="J136" s="12">
        <v>495</v>
      </c>
      <c r="K136" s="231">
        <v>0.122343749232216</v>
      </c>
      <c r="L136" s="231">
        <v>0.571123258035567</v>
      </c>
      <c r="M136" s="231">
        <v>0.383287385940401</v>
      </c>
      <c r="N136" s="231">
        <v>0.969162031549193</v>
      </c>
      <c r="O136" s="231">
        <v>0.97994545741177</v>
      </c>
      <c r="P136" s="12"/>
      <c r="Q136" s="230"/>
      <c r="R136" s="231"/>
      <c r="S136" s="230"/>
      <c r="T136" s="230"/>
    </row>
    <row r="137" ht="15" customHeight="1" spans="2:20">
      <c r="B137" s="12">
        <v>496</v>
      </c>
      <c r="C137" s="230">
        <v>0.127011</v>
      </c>
      <c r="D137" s="230">
        <v>0.536701</v>
      </c>
      <c r="E137" s="230">
        <v>0.345943</v>
      </c>
      <c r="F137" s="231">
        <v>0.957</v>
      </c>
      <c r="G137" s="230">
        <v>0.988792</v>
      </c>
      <c r="H137" s="12"/>
      <c r="J137" s="12">
        <v>496</v>
      </c>
      <c r="K137" s="231">
        <v>0.11457376229804</v>
      </c>
      <c r="L137" s="231">
        <v>0.584936870094776</v>
      </c>
      <c r="M137" s="231">
        <v>0.395262222254075</v>
      </c>
      <c r="N137" s="231">
        <v>0.975361568576698</v>
      </c>
      <c r="O137" s="231">
        <v>0.974785514680728</v>
      </c>
      <c r="P137" s="12"/>
      <c r="Q137" s="230"/>
      <c r="R137" s="231"/>
      <c r="S137" s="230"/>
      <c r="T137" s="230"/>
    </row>
    <row r="138" ht="15" customHeight="1" spans="2:20">
      <c r="B138" s="12">
        <v>497</v>
      </c>
      <c r="C138" s="230">
        <v>0.119017</v>
      </c>
      <c r="D138" s="230">
        <v>0.550195</v>
      </c>
      <c r="E138" s="230">
        <v>0.357126</v>
      </c>
      <c r="F138" s="231">
        <v>0.964</v>
      </c>
      <c r="G138" s="230">
        <v>0.98422</v>
      </c>
      <c r="H138" s="12"/>
      <c r="J138" s="12">
        <v>497</v>
      </c>
      <c r="K138" s="231">
        <v>0.107146533717952</v>
      </c>
      <c r="L138" s="231">
        <v>0.598437113580252</v>
      </c>
      <c r="M138" s="231">
        <v>0.407218516999009</v>
      </c>
      <c r="N138" s="231">
        <v>0.980519021854295</v>
      </c>
      <c r="O138" s="231">
        <v>0.968326008023677</v>
      </c>
      <c r="P138" s="12"/>
      <c r="Q138" s="230"/>
      <c r="R138" s="231"/>
      <c r="S138" s="230"/>
      <c r="T138" s="230"/>
    </row>
    <row r="139" ht="15" customHeight="1" spans="2:20">
      <c r="B139" s="12">
        <v>498</v>
      </c>
      <c r="C139" s="230">
        <v>0.111333</v>
      </c>
      <c r="D139" s="230">
        <v>0.563616</v>
      </c>
      <c r="E139" s="230">
        <v>0.368416</v>
      </c>
      <c r="F139" s="231">
        <v>0.97</v>
      </c>
      <c r="G139" s="230">
        <v>0.978657</v>
      </c>
      <c r="H139" s="12"/>
      <c r="J139" s="12">
        <v>498</v>
      </c>
      <c r="K139" s="231">
        <v>0.100027654314294</v>
      </c>
      <c r="L139" s="231">
        <v>0.611803897884911</v>
      </c>
      <c r="M139" s="231">
        <v>0.419248557925622</v>
      </c>
      <c r="N139" s="231">
        <v>0.984640668994937</v>
      </c>
      <c r="O139" s="231">
        <v>0.960919404465744</v>
      </c>
      <c r="P139" s="12"/>
      <c r="Q139" s="230"/>
      <c r="R139" s="231"/>
      <c r="S139" s="230"/>
      <c r="T139" s="230"/>
    </row>
    <row r="140" ht="15" customHeight="1" spans="2:20">
      <c r="B140" s="12">
        <v>499</v>
      </c>
      <c r="C140" s="230">
        <v>0.103934</v>
      </c>
      <c r="D140" s="230">
        <v>0.57715</v>
      </c>
      <c r="E140" s="230">
        <v>0.379907</v>
      </c>
      <c r="F140" s="231">
        <v>0.976</v>
      </c>
      <c r="G140" s="230">
        <v>0.972451</v>
      </c>
      <c r="H140" s="12"/>
      <c r="J140" s="12">
        <v>499</v>
      </c>
      <c r="K140" s="231">
        <v>0.0931928539302906</v>
      </c>
      <c r="L140" s="231">
        <v>0.625239523335014</v>
      </c>
      <c r="M140" s="231">
        <v>0.431458657043811</v>
      </c>
      <c r="N140" s="231">
        <v>0.98874579650776</v>
      </c>
      <c r="O140" s="231">
        <v>0.952912405921413</v>
      </c>
      <c r="P140" s="12"/>
      <c r="Q140" s="230"/>
      <c r="R140" s="231"/>
      <c r="S140" s="230"/>
      <c r="T140" s="230"/>
    </row>
    <row r="141" ht="15" customHeight="1" spans="2:20">
      <c r="B141" s="12">
        <v>500</v>
      </c>
      <c r="C141" s="230">
        <v>0.096799</v>
      </c>
      <c r="D141" s="230">
        <v>0.591003</v>
      </c>
      <c r="E141" s="230">
        <v>0.391705</v>
      </c>
      <c r="F141" s="231">
        <v>0.982</v>
      </c>
      <c r="G141" s="230">
        <v>0.965952</v>
      </c>
      <c r="H141" s="12"/>
      <c r="J141" s="12">
        <v>500</v>
      </c>
      <c r="K141" s="231">
        <v>0.0866216360138453</v>
      </c>
      <c r="L141" s="231">
        <v>0.638966294969322</v>
      </c>
      <c r="M141" s="231">
        <v>0.443967876956285</v>
      </c>
      <c r="N141" s="231">
        <v>0.992834503510532</v>
      </c>
      <c r="O141" s="231">
        <v>0.944650896585999</v>
      </c>
      <c r="P141" s="12"/>
      <c r="Q141" s="230"/>
      <c r="R141" s="231"/>
      <c r="S141" s="230"/>
      <c r="T141" s="230"/>
    </row>
    <row r="142" ht="15" customHeight="1" spans="2:20">
      <c r="B142" s="12">
        <v>501</v>
      </c>
      <c r="C142" s="230">
        <v>0.0899169</v>
      </c>
      <c r="D142" s="230">
        <v>0.60535</v>
      </c>
      <c r="E142" s="230">
        <v>0.403905</v>
      </c>
      <c r="F142" s="231">
        <v>0.986</v>
      </c>
      <c r="G142" s="230">
        <v>0.958844</v>
      </c>
      <c r="H142" s="12"/>
      <c r="J142" s="12">
        <v>501</v>
      </c>
      <c r="K142" s="231">
        <v>0.0803025090975842</v>
      </c>
      <c r="L142" s="231">
        <v>0.653171294005507</v>
      </c>
      <c r="M142" s="231">
        <v>0.456881886886872</v>
      </c>
      <c r="N142" s="231">
        <v>0.994888858191341</v>
      </c>
      <c r="O142" s="231">
        <v>0.935827985714809</v>
      </c>
      <c r="P142" s="12"/>
      <c r="Q142" s="230"/>
      <c r="R142" s="231"/>
      <c r="S142" s="230"/>
      <c r="T142" s="230"/>
    </row>
    <row r="143" ht="15" customHeight="1" spans="2:20">
      <c r="B143" s="12">
        <v>502</v>
      </c>
      <c r="C143" s="230">
        <v>0.0832878</v>
      </c>
      <c r="D143" s="230">
        <v>0.62016</v>
      </c>
      <c r="E143" s="230">
        <v>0.4165</v>
      </c>
      <c r="F143" s="231">
        <v>0.99</v>
      </c>
      <c r="G143" s="230">
        <v>0.950716</v>
      </c>
      <c r="H143" s="12"/>
      <c r="J143" s="12">
        <v>502</v>
      </c>
      <c r="K143" s="231">
        <v>0.0742340557911532</v>
      </c>
      <c r="L143" s="231">
        <v>0.667818280211666</v>
      </c>
      <c r="M143" s="231">
        <v>0.470190365412637</v>
      </c>
      <c r="N143" s="231">
        <v>0.996935028192146</v>
      </c>
      <c r="O143" s="231">
        <v>0.926046692980545</v>
      </c>
      <c r="P143" s="12"/>
      <c r="Q143" s="230"/>
      <c r="R143" s="231"/>
      <c r="S143" s="230"/>
      <c r="T143" s="230"/>
    </row>
    <row r="144" ht="15" customHeight="1" spans="2:20">
      <c r="B144" s="12">
        <v>503</v>
      </c>
      <c r="C144" s="230">
        <v>0.0769157</v>
      </c>
      <c r="D144" s="230">
        <v>0.635343</v>
      </c>
      <c r="E144" s="230">
        <v>0.429453</v>
      </c>
      <c r="F144" s="231">
        <v>0.994</v>
      </c>
      <c r="G144" s="230">
        <v>0.941778</v>
      </c>
      <c r="H144" s="12"/>
      <c r="J144" s="12">
        <v>503</v>
      </c>
      <c r="K144" s="231">
        <v>0.068418339118176</v>
      </c>
      <c r="L144" s="231">
        <v>0.682807893805476</v>
      </c>
      <c r="M144" s="231">
        <v>0.483849273266865</v>
      </c>
      <c r="N144" s="231">
        <v>0.998973062328137</v>
      </c>
      <c r="O144" s="231">
        <v>0.915516878608271</v>
      </c>
      <c r="P144" s="12"/>
      <c r="Q144" s="230"/>
      <c r="R144" s="231"/>
      <c r="S144" s="230"/>
      <c r="T144" s="230"/>
    </row>
    <row r="145" ht="15" customHeight="1" spans="2:20">
      <c r="B145" s="12">
        <v>504</v>
      </c>
      <c r="C145" s="230">
        <v>0.0708052</v>
      </c>
      <c r="D145" s="230">
        <v>0.650796</v>
      </c>
      <c r="E145" s="230">
        <v>0.44272</v>
      </c>
      <c r="F145" s="231">
        <v>0.997</v>
      </c>
      <c r="G145" s="230">
        <v>0.932236</v>
      </c>
      <c r="H145" s="12"/>
      <c r="J145" s="12">
        <v>504</v>
      </c>
      <c r="K145" s="231">
        <v>0.0628579383843448</v>
      </c>
      <c r="L145" s="231">
        <v>0.698027620097313</v>
      </c>
      <c r="M145" s="231">
        <v>0.497807049700319</v>
      </c>
      <c r="N145" s="231">
        <v>1</v>
      </c>
      <c r="O145" s="231">
        <v>0.904442856519393</v>
      </c>
      <c r="P145" s="12"/>
      <c r="Q145" s="230"/>
      <c r="R145" s="231"/>
      <c r="S145" s="230"/>
      <c r="T145" s="230"/>
    </row>
    <row r="146" ht="15" customHeight="1" spans="2:20">
      <c r="B146" s="12">
        <v>505</v>
      </c>
      <c r="C146" s="230">
        <v>0.0649614</v>
      </c>
      <c r="D146" s="230">
        <v>0.666404</v>
      </c>
      <c r="E146" s="230">
        <v>0.456252</v>
      </c>
      <c r="F146" s="231">
        <v>0.998</v>
      </c>
      <c r="G146" s="230">
        <v>0.922299</v>
      </c>
      <c r="H146" s="12"/>
      <c r="J146" s="12">
        <v>505</v>
      </c>
      <c r="K146" s="231">
        <v>0.0575558554656312</v>
      </c>
      <c r="L146" s="231">
        <v>0.713352990188095</v>
      </c>
      <c r="M146" s="231">
        <v>0.512006931355466</v>
      </c>
      <c r="N146" s="231">
        <v>0.99902082485079</v>
      </c>
      <c r="O146" s="231">
        <v>0.893030227103479</v>
      </c>
      <c r="P146" s="12"/>
      <c r="Q146" s="230"/>
      <c r="R146" s="231"/>
      <c r="S146" s="230"/>
      <c r="T146" s="230"/>
    </row>
    <row r="147" ht="15" customHeight="1" spans="2:20">
      <c r="B147" s="12">
        <v>506</v>
      </c>
      <c r="C147" s="230">
        <v>0.0594049</v>
      </c>
      <c r="D147" s="230">
        <v>0.682055</v>
      </c>
      <c r="E147" s="230">
        <v>0.469997</v>
      </c>
      <c r="F147" s="232">
        <v>1</v>
      </c>
      <c r="G147" s="230">
        <v>0.911832</v>
      </c>
      <c r="H147" s="12"/>
      <c r="J147" s="12">
        <v>506</v>
      </c>
      <c r="K147" s="231">
        <v>0.0525287743805588</v>
      </c>
      <c r="L147" s="231">
        <v>0.72866372412979</v>
      </c>
      <c r="M147" s="231">
        <v>0.52638924364418</v>
      </c>
      <c r="N147" s="231">
        <v>0.99904456452361</v>
      </c>
      <c r="O147" s="231">
        <v>0.881150540414054</v>
      </c>
      <c r="P147" s="12"/>
      <c r="Q147" s="230"/>
      <c r="R147" s="232"/>
      <c r="S147" s="230"/>
      <c r="T147" s="230"/>
    </row>
    <row r="148" ht="15" customHeight="1" spans="2:20">
      <c r="B148" s="12">
        <v>507</v>
      </c>
      <c r="C148" s="230">
        <v>0.0542076</v>
      </c>
      <c r="D148" s="230">
        <v>0.697672</v>
      </c>
      <c r="E148" s="230">
        <v>0.483926</v>
      </c>
      <c r="F148" s="232">
        <v>1</v>
      </c>
      <c r="G148" s="230">
        <v>0.900602</v>
      </c>
      <c r="H148" s="12"/>
      <c r="J148" s="12">
        <v>507</v>
      </c>
      <c r="K148" s="231">
        <v>0.0478385200645862</v>
      </c>
      <c r="L148" s="231">
        <v>0.74387780892804</v>
      </c>
      <c r="M148" s="231">
        <v>0.540920491613844</v>
      </c>
      <c r="N148" s="231">
        <v>0.997074062423958</v>
      </c>
      <c r="O148" s="231">
        <v>0.868581844225018</v>
      </c>
      <c r="P148" s="12"/>
      <c r="Q148" s="230"/>
      <c r="R148" s="232"/>
      <c r="S148" s="230"/>
      <c r="T148" s="230"/>
    </row>
    <row r="149" ht="15" customHeight="1" spans="2:20">
      <c r="B149" s="12">
        <v>508</v>
      </c>
      <c r="C149" s="230">
        <v>0.0494281</v>
      </c>
      <c r="D149" s="230">
        <v>0.713186</v>
      </c>
      <c r="E149" s="230">
        <v>0.498012</v>
      </c>
      <c r="F149" s="232">
        <v>1</v>
      </c>
      <c r="G149" s="230">
        <v>0.888663</v>
      </c>
      <c r="H149" s="12"/>
      <c r="J149" s="12">
        <v>508</v>
      </c>
      <c r="K149" s="231">
        <v>0.0435347164208189</v>
      </c>
      <c r="L149" s="231">
        <v>0.75892239039754</v>
      </c>
      <c r="M149" s="231">
        <v>0.555569675201382</v>
      </c>
      <c r="N149" s="231">
        <v>0.995111318206588</v>
      </c>
      <c r="O149" s="231">
        <v>0.855380185045145</v>
      </c>
      <c r="P149" s="12"/>
      <c r="Q149" s="230"/>
      <c r="R149" s="232"/>
      <c r="S149" s="230"/>
      <c r="T149" s="230"/>
    </row>
    <row r="150" ht="15" customHeight="1" spans="2:20">
      <c r="B150" s="12">
        <v>509</v>
      </c>
      <c r="C150" s="230">
        <v>0.0450993</v>
      </c>
      <c r="D150" s="230">
        <v>0.728526</v>
      </c>
      <c r="E150" s="230">
        <v>0.512227</v>
      </c>
      <c r="F150" s="231">
        <v>0.998</v>
      </c>
      <c r="G150" s="230">
        <v>0.876073</v>
      </c>
      <c r="H150" s="12"/>
      <c r="J150" s="12">
        <v>509</v>
      </c>
      <c r="K150" s="231">
        <v>0.0396440060996832</v>
      </c>
      <c r="L150" s="231">
        <v>0.773723062802859</v>
      </c>
      <c r="M150" s="231">
        <v>0.570304924575965</v>
      </c>
      <c r="N150" s="231">
        <v>0.991169973574949</v>
      </c>
      <c r="O150" s="231">
        <v>0.841605011564175</v>
      </c>
      <c r="P150" s="12"/>
      <c r="Q150" s="230"/>
      <c r="R150" s="231"/>
      <c r="S150" s="230"/>
      <c r="T150" s="230"/>
    </row>
    <row r="151" ht="15" customHeight="1" spans="2:20">
      <c r="B151" s="12">
        <v>510</v>
      </c>
      <c r="C151" s="230">
        <v>0.0412337</v>
      </c>
      <c r="D151" s="230">
        <v>0.743612</v>
      </c>
      <c r="E151" s="230">
        <v>0.526538</v>
      </c>
      <c r="F151" s="231">
        <v>0.997</v>
      </c>
      <c r="G151" s="230">
        <v>0.862888</v>
      </c>
      <c r="H151" s="12"/>
      <c r="J151" s="12">
        <v>510</v>
      </c>
      <c r="K151" s="231">
        <v>0.0361749255725184</v>
      </c>
      <c r="L151" s="231">
        <v>0.788196464373356</v>
      </c>
      <c r="M151" s="231">
        <v>0.58508906386586</v>
      </c>
      <c r="N151" s="231">
        <v>0.988235294117647</v>
      </c>
      <c r="O151" s="231">
        <v>0.827313388662372</v>
      </c>
      <c r="P151" s="12"/>
      <c r="Q151" s="230"/>
      <c r="R151" s="231"/>
      <c r="S151" s="230"/>
      <c r="T151" s="230"/>
    </row>
    <row r="152" ht="15" customHeight="1" spans="2:20">
      <c r="B152" s="12">
        <v>511</v>
      </c>
      <c r="C152" s="230">
        <v>0.0378142</v>
      </c>
      <c r="D152" s="230">
        <v>0.758396</v>
      </c>
      <c r="E152" s="230">
        <v>0.540923</v>
      </c>
      <c r="F152" s="231">
        <v>0.994</v>
      </c>
      <c r="G152" s="230">
        <v>0.848801</v>
      </c>
      <c r="H152" s="12"/>
      <c r="J152" s="12">
        <v>511</v>
      </c>
      <c r="K152" s="231">
        <v>0.0331100267968549</v>
      </c>
      <c r="L152" s="231">
        <v>0.802293738111717</v>
      </c>
      <c r="M152" s="231">
        <v>0.599897407484842</v>
      </c>
      <c r="N152" s="231">
        <v>0.983333562330828</v>
      </c>
      <c r="O152" s="231">
        <v>0.812214581152113</v>
      </c>
      <c r="P152" s="12"/>
      <c r="Q152" s="230"/>
      <c r="R152" s="231"/>
      <c r="S152" s="230"/>
      <c r="T152" s="230"/>
    </row>
    <row r="153" ht="15" customHeight="1" spans="2:20">
      <c r="B153" s="12">
        <v>512</v>
      </c>
      <c r="C153" s="230">
        <v>0.0347627</v>
      </c>
      <c r="D153" s="230">
        <v>0.772966</v>
      </c>
      <c r="E153" s="230">
        <v>0.555406</v>
      </c>
      <c r="F153" s="231">
        <v>0.99</v>
      </c>
      <c r="G153" s="230">
        <v>0.833678</v>
      </c>
      <c r="H153" s="12"/>
      <c r="J153" s="12">
        <v>512</v>
      </c>
      <c r="K153" s="231">
        <v>0.0303786909022104</v>
      </c>
      <c r="L153" s="231">
        <v>0.816109999714695</v>
      </c>
      <c r="M153" s="231">
        <v>0.614756378237405</v>
      </c>
      <c r="N153" s="231">
        <v>0.977463640922768</v>
      </c>
      <c r="O153" s="231">
        <v>0.796185344957155</v>
      </c>
      <c r="P153" s="12"/>
      <c r="Q153" s="230"/>
      <c r="R153" s="231"/>
      <c r="S153" s="230"/>
      <c r="T153" s="230"/>
    </row>
    <row r="154" ht="15" customHeight="1" spans="2:20">
      <c r="B154" s="12">
        <v>513</v>
      </c>
      <c r="C154" s="230">
        <v>0.0320029</v>
      </c>
      <c r="D154" s="230">
        <v>0.787457</v>
      </c>
      <c r="E154" s="230">
        <v>0.570025</v>
      </c>
      <c r="F154" s="231">
        <v>0.986</v>
      </c>
      <c r="G154" s="230">
        <v>0.817832</v>
      </c>
      <c r="H154" s="12"/>
      <c r="J154" s="12">
        <v>513</v>
      </c>
      <c r="K154" s="231">
        <v>0.027912419583897</v>
      </c>
      <c r="L154" s="231">
        <v>0.829789149864363</v>
      </c>
      <c r="M154" s="231">
        <v>0.629707658727855</v>
      </c>
      <c r="N154" s="231">
        <v>0.971616604198561</v>
      </c>
      <c r="O154" s="231">
        <v>0.779529462064651</v>
      </c>
      <c r="P154" s="12"/>
      <c r="Q154" s="230"/>
      <c r="R154" s="231"/>
      <c r="S154" s="230"/>
      <c r="T154" s="230"/>
    </row>
    <row r="155" ht="15" customHeight="1" spans="2:20">
      <c r="B155" s="12">
        <v>514</v>
      </c>
      <c r="C155" s="230">
        <v>0.0294746</v>
      </c>
      <c r="D155" s="230">
        <v>0.802017</v>
      </c>
      <c r="E155" s="230">
        <v>0.584828</v>
      </c>
      <c r="F155" s="231">
        <v>0.981</v>
      </c>
      <c r="G155" s="230">
        <v>0.801579</v>
      </c>
      <c r="H155" s="12"/>
      <c r="J155" s="12">
        <v>514</v>
      </c>
      <c r="K155" s="231">
        <v>0.0256572624421113</v>
      </c>
      <c r="L155" s="231">
        <v>0.843487641596259</v>
      </c>
      <c r="M155" s="231">
        <v>0.644803632708264</v>
      </c>
      <c r="N155" s="231">
        <v>0.964808823357231</v>
      </c>
      <c r="O155" s="231">
        <v>0.762551204333663</v>
      </c>
      <c r="P155" s="12"/>
      <c r="Q155" s="230"/>
      <c r="R155" s="231"/>
      <c r="S155" s="230"/>
      <c r="T155" s="230"/>
    </row>
    <row r="156" ht="15" customHeight="1" spans="2:20">
      <c r="B156" s="12">
        <v>515</v>
      </c>
      <c r="C156" s="230">
        <v>0.02713</v>
      </c>
      <c r="D156" s="230">
        <v>0.816808</v>
      </c>
      <c r="E156" s="230">
        <v>0.599867</v>
      </c>
      <c r="F156" s="231">
        <v>0.975</v>
      </c>
      <c r="G156" s="230">
        <v>0.785233</v>
      </c>
      <c r="H156" s="12"/>
      <c r="J156" s="12">
        <v>515</v>
      </c>
      <c r="K156" s="231">
        <v>0.0235704611914332</v>
      </c>
      <c r="L156" s="231">
        <v>0.857375408097664</v>
      </c>
      <c r="M156" s="231">
        <v>0.6601006787135</v>
      </c>
      <c r="N156" s="231">
        <v>0.957045894966453</v>
      </c>
      <c r="O156" s="231">
        <v>0.745550581418379</v>
      </c>
      <c r="P156" s="12"/>
      <c r="Q156" s="230"/>
      <c r="R156" s="231"/>
      <c r="S156" s="230"/>
      <c r="T156" s="230"/>
    </row>
    <row r="157" ht="15" customHeight="1" spans="2:20">
      <c r="B157" s="12">
        <v>516</v>
      </c>
      <c r="C157" s="230">
        <v>0.0249376</v>
      </c>
      <c r="D157" s="230">
        <v>0.831919</v>
      </c>
      <c r="E157" s="230">
        <v>0.615162</v>
      </c>
      <c r="F157" s="231">
        <v>0.968</v>
      </c>
      <c r="G157" s="230">
        <v>0.768718</v>
      </c>
      <c r="H157" s="12"/>
      <c r="J157" s="12">
        <v>516</v>
      </c>
      <c r="K157" s="231">
        <v>0.0216237229517121</v>
      </c>
      <c r="L157" s="231">
        <v>0.871544588141467</v>
      </c>
      <c r="M157" s="231">
        <v>0.675619593302996</v>
      </c>
      <c r="N157" s="231">
        <v>0.948333372209652</v>
      </c>
      <c r="O157" s="231">
        <v>0.728455703917242</v>
      </c>
      <c r="P157" s="12"/>
      <c r="Q157" s="230"/>
      <c r="R157" s="231"/>
      <c r="S157" s="230"/>
      <c r="T157" s="230"/>
    </row>
    <row r="158" ht="15" customHeight="1" spans="2:20">
      <c r="B158" s="12">
        <v>517</v>
      </c>
      <c r="C158" s="230">
        <v>0.0228931</v>
      </c>
      <c r="D158" s="230">
        <v>0.847096</v>
      </c>
      <c r="E158" s="230">
        <v>0.630569</v>
      </c>
      <c r="F158" s="231">
        <v>0.961</v>
      </c>
      <c r="G158" s="230">
        <v>0.751807</v>
      </c>
      <c r="H158" s="12"/>
      <c r="J158" s="12">
        <v>517</v>
      </c>
      <c r="K158" s="231">
        <v>0.0198125136032701</v>
      </c>
      <c r="L158" s="231">
        <v>0.885727965051507</v>
      </c>
      <c r="M158" s="231">
        <v>0.691201242745437</v>
      </c>
      <c r="N158" s="231">
        <v>0.939654553602781</v>
      </c>
      <c r="O158" s="231">
        <v>0.711052424165882</v>
      </c>
      <c r="P158" s="12"/>
      <c r="Q158" s="230"/>
      <c r="R158" s="231"/>
      <c r="S158" s="230"/>
      <c r="T158" s="230"/>
    </row>
    <row r="159" ht="15" customHeight="1" spans="2:20">
      <c r="B159" s="12">
        <v>518</v>
      </c>
      <c r="C159" s="230">
        <v>0.0209956</v>
      </c>
      <c r="D159" s="230">
        <v>0.861972</v>
      </c>
      <c r="E159" s="230">
        <v>0.645883</v>
      </c>
      <c r="F159" s="231">
        <v>0.953</v>
      </c>
      <c r="G159" s="230">
        <v>0.734593</v>
      </c>
      <c r="H159" s="12"/>
      <c r="J159" s="12">
        <v>518</v>
      </c>
      <c r="K159" s="231">
        <v>0.0181352708409737</v>
      </c>
      <c r="L159" s="231">
        <v>0.899542460310922</v>
      </c>
      <c r="M159" s="231">
        <v>0.706620985781831</v>
      </c>
      <c r="N159" s="231">
        <v>0.930033343273062</v>
      </c>
      <c r="O159" s="231">
        <v>0.693430317052573</v>
      </c>
      <c r="P159" s="12"/>
      <c r="Q159" s="230"/>
      <c r="R159" s="231"/>
      <c r="S159" s="230"/>
      <c r="T159" s="230"/>
    </row>
    <row r="160" ht="15" customHeight="1" spans="2:20">
      <c r="B160" s="12">
        <v>519</v>
      </c>
      <c r="C160" s="230">
        <v>0.0192427</v>
      </c>
      <c r="D160" s="230">
        <v>0.876152</v>
      </c>
      <c r="E160" s="230">
        <v>0.66088</v>
      </c>
      <c r="F160" s="231">
        <v>0.944</v>
      </c>
      <c r="G160" s="230">
        <v>0.717169</v>
      </c>
      <c r="H160" s="12"/>
      <c r="J160" s="12">
        <v>519</v>
      </c>
      <c r="K160" s="231">
        <v>0.0165891512490507</v>
      </c>
      <c r="L160" s="231">
        <v>0.91257878371401</v>
      </c>
      <c r="M160" s="231">
        <v>0.721635165808934</v>
      </c>
      <c r="N160" s="231">
        <v>0.919475188571495</v>
      </c>
      <c r="O160" s="231">
        <v>0.675678267100357</v>
      </c>
      <c r="P160" s="12"/>
      <c r="Q160" s="230"/>
      <c r="R160" s="231"/>
      <c r="S160" s="230"/>
      <c r="T160" s="230"/>
    </row>
    <row r="161" ht="15" customHeight="1" spans="2:20">
      <c r="B161" s="12">
        <v>520</v>
      </c>
      <c r="C161" s="230">
        <v>0.0176298</v>
      </c>
      <c r="D161" s="230">
        <v>0.889214</v>
      </c>
      <c r="E161" s="230">
        <v>0.675313</v>
      </c>
      <c r="F161" s="231">
        <v>0.935</v>
      </c>
      <c r="G161" s="230">
        <v>0.699628</v>
      </c>
      <c r="H161" s="12"/>
      <c r="J161" s="12">
        <v>520</v>
      </c>
      <c r="K161" s="231">
        <v>0.0151694403092698</v>
      </c>
      <c r="L161" s="231">
        <v>0.924402724974536</v>
      </c>
      <c r="M161" s="231">
        <v>0.735976934395733</v>
      </c>
      <c r="N161" s="231">
        <v>0.908957642157241</v>
      </c>
      <c r="O161" s="231">
        <v>0.657884475105179</v>
      </c>
      <c r="P161" s="12"/>
      <c r="Q161" s="230"/>
      <c r="R161" s="231"/>
      <c r="S161" s="230"/>
      <c r="T161" s="230"/>
    </row>
    <row r="162" ht="15" customHeight="1" spans="2:20">
      <c r="B162" s="12">
        <v>521</v>
      </c>
      <c r="C162" s="230">
        <v>0.0161501</v>
      </c>
      <c r="D162" s="230">
        <v>0.900812</v>
      </c>
      <c r="E162" s="230">
        <v>0.688975</v>
      </c>
      <c r="F162" s="231">
        <v>0.925</v>
      </c>
      <c r="G162" s="230">
        <v>0.681888</v>
      </c>
      <c r="H162" s="12"/>
      <c r="J162" s="12">
        <v>521</v>
      </c>
      <c r="K162" s="231">
        <v>0.0138695703577782</v>
      </c>
      <c r="L162" s="231">
        <v>0.934662263364527</v>
      </c>
      <c r="M162" s="231">
        <v>0.749425001412954</v>
      </c>
      <c r="N162" s="231">
        <v>0.897510188916076</v>
      </c>
      <c r="O162" s="231">
        <v>0.639972221979042</v>
      </c>
      <c r="P162" s="12"/>
      <c r="Q162" s="230"/>
      <c r="R162" s="231"/>
      <c r="S162" s="230"/>
      <c r="T162" s="230"/>
    </row>
    <row r="163" ht="15" customHeight="1" spans="2:20">
      <c r="B163" s="12">
        <v>522</v>
      </c>
      <c r="C163" s="230">
        <v>0.0147911</v>
      </c>
      <c r="D163" s="230">
        <v>0.911006</v>
      </c>
      <c r="E163" s="230">
        <v>0.701886</v>
      </c>
      <c r="F163" s="231">
        <v>0.915</v>
      </c>
      <c r="G163" s="230">
        <v>0.663881</v>
      </c>
      <c r="H163" s="12"/>
      <c r="J163" s="12">
        <v>522</v>
      </c>
      <c r="K163" s="231">
        <v>0.0126781383230898</v>
      </c>
      <c r="L163" s="231">
        <v>0.943428525093325</v>
      </c>
      <c r="M163" s="231">
        <v>0.762006216181383</v>
      </c>
      <c r="N163" s="231">
        <v>0.886106595649016</v>
      </c>
      <c r="O163" s="231">
        <v>0.621878490765866</v>
      </c>
      <c r="P163" s="12"/>
      <c r="Q163" s="230"/>
      <c r="R163" s="231"/>
      <c r="S163" s="230"/>
      <c r="T163" s="230"/>
    </row>
    <row r="164" ht="15" customHeight="1" spans="2:20">
      <c r="B164" s="12">
        <v>523</v>
      </c>
      <c r="C164" s="230">
        <v>0.0135407</v>
      </c>
      <c r="D164" s="230">
        <v>0.919968</v>
      </c>
      <c r="E164" s="230">
        <v>0.71414</v>
      </c>
      <c r="F164" s="231">
        <v>0.904</v>
      </c>
      <c r="G164" s="230">
        <v>0.645724</v>
      </c>
      <c r="H164" s="12"/>
      <c r="J164" s="12">
        <v>523</v>
      </c>
      <c r="K164" s="231">
        <v>0.0115841705495065</v>
      </c>
      <c r="L164" s="231">
        <v>0.950887856671363</v>
      </c>
      <c r="M164" s="231">
        <v>0.773827407550409</v>
      </c>
      <c r="N164" s="231">
        <v>0.873780039928581</v>
      </c>
      <c r="O164" s="231">
        <v>0.603713710522067</v>
      </c>
      <c r="P164" s="12"/>
      <c r="Q164" s="230"/>
      <c r="R164" s="231"/>
      <c r="S164" s="230"/>
      <c r="T164" s="230"/>
    </row>
    <row r="165" ht="15" customHeight="1" spans="2:20">
      <c r="B165" s="12">
        <v>524</v>
      </c>
      <c r="C165" s="230">
        <v>0.0123884</v>
      </c>
      <c r="D165" s="230">
        <v>0.92789</v>
      </c>
      <c r="E165" s="230">
        <v>0.725841</v>
      </c>
      <c r="F165" s="231">
        <v>0.892</v>
      </c>
      <c r="G165" s="230">
        <v>0.627533</v>
      </c>
      <c r="H165" s="12"/>
      <c r="J165" s="12">
        <v>524</v>
      </c>
      <c r="K165" s="231">
        <v>0.0105781433494747</v>
      </c>
      <c r="L165" s="231">
        <v>0.957245814860055</v>
      </c>
      <c r="M165" s="231">
        <v>0.785005403997231</v>
      </c>
      <c r="N165" s="231">
        <v>0.860535805890955</v>
      </c>
      <c r="O165" s="231">
        <v>0.585586534177609</v>
      </c>
      <c r="P165" s="12"/>
      <c r="Q165" s="230"/>
      <c r="R165" s="231"/>
      <c r="S165" s="230"/>
      <c r="T165" s="230"/>
    </row>
    <row r="166" ht="15" customHeight="1" spans="2:20">
      <c r="B166" s="12">
        <v>525</v>
      </c>
      <c r="C166" s="230">
        <v>0.0113252</v>
      </c>
      <c r="D166" s="230">
        <v>0.934977</v>
      </c>
      <c r="E166" s="230">
        <v>0.737108</v>
      </c>
      <c r="F166" s="231">
        <v>0.88</v>
      </c>
      <c r="G166" s="230">
        <v>0.609422</v>
      </c>
      <c r="H166" s="12"/>
      <c r="J166" s="12">
        <v>525</v>
      </c>
      <c r="K166" s="231">
        <v>0.00965188396952154</v>
      </c>
      <c r="L166" s="231">
        <v>0.962719776011985</v>
      </c>
      <c r="M166" s="231">
        <v>0.795672335649808</v>
      </c>
      <c r="N166" s="231">
        <v>0.847342026078235</v>
      </c>
      <c r="O166" s="231">
        <v>0.567602924072371</v>
      </c>
      <c r="P166" s="12"/>
      <c r="Q166" s="230"/>
      <c r="R166" s="231"/>
      <c r="S166" s="230"/>
      <c r="T166" s="230"/>
    </row>
    <row r="167" ht="15" customHeight="1" spans="2:20">
      <c r="B167" s="12">
        <v>526</v>
      </c>
      <c r="C167" s="230">
        <v>0.0103437</v>
      </c>
      <c r="D167" s="230">
        <v>0.941414</v>
      </c>
      <c r="E167" s="230">
        <v>0.748046</v>
      </c>
      <c r="F167" s="231">
        <v>0.867</v>
      </c>
      <c r="G167" s="230">
        <v>0.591339</v>
      </c>
      <c r="H167" s="12"/>
      <c r="J167" s="12">
        <v>526</v>
      </c>
      <c r="K167" s="231">
        <v>0.00879864281149493</v>
      </c>
      <c r="L167" s="231">
        <v>0.967504909135699</v>
      </c>
      <c r="M167" s="231">
        <v>0.805944244253906</v>
      </c>
      <c r="N167" s="231">
        <v>0.8332373546495</v>
      </c>
      <c r="O167" s="231">
        <v>0.549713721748933</v>
      </c>
      <c r="P167" s="12"/>
      <c r="Q167" s="230"/>
      <c r="R167" s="231"/>
      <c r="S167" s="230"/>
      <c r="T167" s="230"/>
    </row>
    <row r="168" ht="15" customHeight="1" spans="2:20">
      <c r="B168" s="12">
        <v>527</v>
      </c>
      <c r="C168" s="230">
        <v>0.00944092</v>
      </c>
      <c r="D168" s="230">
        <v>0.947279</v>
      </c>
      <c r="E168" s="230">
        <v>0.758684</v>
      </c>
      <c r="F168" s="231">
        <v>0.854</v>
      </c>
      <c r="G168" s="230">
        <v>0.573207</v>
      </c>
      <c r="H168" s="12"/>
      <c r="J168" s="12">
        <v>527</v>
      </c>
      <c r="K168" s="231">
        <v>0.00801547414988931</v>
      </c>
      <c r="L168" s="231">
        <v>0.971685145082332</v>
      </c>
      <c r="M168" s="231">
        <v>0.815854563809945</v>
      </c>
      <c r="N168" s="231">
        <v>0.81918621138558</v>
      </c>
      <c r="O168" s="231">
        <v>0.531846945757315</v>
      </c>
      <c r="P168" s="12"/>
      <c r="Q168" s="230"/>
      <c r="R168" s="231"/>
      <c r="S168" s="230"/>
      <c r="T168" s="230"/>
    </row>
    <row r="169" ht="15" customHeight="1" spans="2:20">
      <c r="B169" s="12">
        <v>528</v>
      </c>
      <c r="C169" s="230">
        <v>0.00861365</v>
      </c>
      <c r="D169" s="230">
        <v>0.952622</v>
      </c>
      <c r="E169" s="230">
        <v>0.769032</v>
      </c>
      <c r="F169" s="231">
        <v>0.84</v>
      </c>
      <c r="G169" s="230">
        <v>0.555105</v>
      </c>
      <c r="H169" s="12"/>
      <c r="J169" s="12">
        <v>528</v>
      </c>
      <c r="K169" s="231">
        <v>0.00729925967189527</v>
      </c>
      <c r="L169" s="231">
        <v>0.975315111854573</v>
      </c>
      <c r="M169" s="231">
        <v>0.825416081983673</v>
      </c>
      <c r="N169" s="231">
        <v>0.804230874441506</v>
      </c>
      <c r="O169" s="231">
        <v>0.514075629563181</v>
      </c>
      <c r="P169" s="12"/>
      <c r="Q169" s="230"/>
      <c r="R169" s="231"/>
      <c r="S169" s="230"/>
      <c r="T169" s="230"/>
    </row>
    <row r="170" ht="15" customHeight="1" spans="2:20">
      <c r="B170" s="12">
        <v>529</v>
      </c>
      <c r="C170" s="230">
        <v>0.00785831</v>
      </c>
      <c r="D170" s="230">
        <v>0.957498</v>
      </c>
      <c r="E170" s="230">
        <v>0.779099</v>
      </c>
      <c r="F170" s="231">
        <v>0.826</v>
      </c>
      <c r="G170" s="230">
        <v>0.537112</v>
      </c>
      <c r="H170" s="12"/>
      <c r="J170" s="12">
        <v>529</v>
      </c>
      <c r="K170" s="231">
        <v>0.00664659169606984</v>
      </c>
      <c r="L170" s="231">
        <v>0.978454133820661</v>
      </c>
      <c r="M170" s="231">
        <v>0.834640418458416</v>
      </c>
      <c r="N170" s="231">
        <v>0.789332079414045</v>
      </c>
      <c r="O170" s="231">
        <v>0.496472254394269</v>
      </c>
      <c r="P170" s="12"/>
      <c r="Q170" s="230"/>
      <c r="R170" s="231"/>
      <c r="S170" s="230"/>
      <c r="T170" s="230"/>
    </row>
    <row r="171" ht="15" customHeight="1" spans="2:20">
      <c r="B171" s="12">
        <v>530</v>
      </c>
      <c r="C171" s="230">
        <v>0.00717089</v>
      </c>
      <c r="D171" s="230">
        <v>0.961962</v>
      </c>
      <c r="E171" s="230">
        <v>0.7889</v>
      </c>
      <c r="F171" s="231">
        <v>0.811</v>
      </c>
      <c r="G171" s="230">
        <v>0.519309</v>
      </c>
      <c r="H171" s="12"/>
      <c r="J171" s="12">
        <v>530</v>
      </c>
      <c r="K171" s="231">
        <v>0.00605372524972797</v>
      </c>
      <c r="L171" s="231">
        <v>0.981161087617758</v>
      </c>
      <c r="M171" s="231">
        <v>0.843545520829747</v>
      </c>
      <c r="N171" s="231">
        <v>0.773535701443955</v>
      </c>
      <c r="O171" s="231">
        <v>0.479110599635228</v>
      </c>
      <c r="P171" s="12"/>
      <c r="Q171" s="230"/>
      <c r="R171" s="231"/>
      <c r="S171" s="230"/>
      <c r="T171" s="230"/>
    </row>
    <row r="172" ht="15" customHeight="1" spans="2:20">
      <c r="B172" s="12">
        <v>531</v>
      </c>
      <c r="C172" s="230">
        <v>0.00654648</v>
      </c>
      <c r="D172" s="230">
        <v>0.96608</v>
      </c>
      <c r="E172" s="230">
        <v>0.798472</v>
      </c>
      <c r="F172" s="231">
        <v>0.796</v>
      </c>
      <c r="G172" s="230">
        <v>0.501645</v>
      </c>
      <c r="H172" s="12"/>
      <c r="J172" s="12">
        <v>531</v>
      </c>
      <c r="K172" s="231">
        <v>0.0055161852142439</v>
      </c>
      <c r="L172" s="231">
        <v>0.983505604779645</v>
      </c>
      <c r="M172" s="231">
        <v>0.852172681089534</v>
      </c>
      <c r="N172" s="231">
        <v>0.757798820189382</v>
      </c>
      <c r="O172" s="231">
        <v>0.461942336026019</v>
      </c>
      <c r="P172" s="12"/>
      <c r="Q172" s="230"/>
      <c r="R172" s="231"/>
      <c r="S172" s="230"/>
      <c r="T172" s="230"/>
    </row>
    <row r="173" ht="15" customHeight="1" spans="2:20">
      <c r="B173" s="12">
        <v>532</v>
      </c>
      <c r="C173" s="230">
        <v>0.00597777</v>
      </c>
      <c r="D173" s="230">
        <v>0.969966</v>
      </c>
      <c r="E173" s="230">
        <v>0.807945</v>
      </c>
      <c r="F173" s="231">
        <v>0.781</v>
      </c>
      <c r="G173" s="230">
        <v>0.484067</v>
      </c>
      <c r="H173" s="12"/>
      <c r="J173" s="12">
        <v>532</v>
      </c>
      <c r="K173" s="231">
        <v>0.00502751163536615</v>
      </c>
      <c r="L173" s="231">
        <v>0.985605567238596</v>
      </c>
      <c r="M173" s="231">
        <v>0.860661948845206</v>
      </c>
      <c r="N173" s="231">
        <v>0.742121100142533</v>
      </c>
      <c r="O173" s="231">
        <v>0.444917659436244</v>
      </c>
      <c r="P173" s="12"/>
      <c r="Q173" s="230"/>
      <c r="R173" s="231"/>
      <c r="S173" s="230"/>
      <c r="T173" s="230"/>
    </row>
    <row r="174" ht="15" customHeight="1" spans="2:20">
      <c r="B174" s="12">
        <v>533</v>
      </c>
      <c r="C174" s="230">
        <v>0.00545794</v>
      </c>
      <c r="D174" s="230">
        <v>0.973743</v>
      </c>
      <c r="E174" s="230">
        <v>0.817478</v>
      </c>
      <c r="F174" s="231">
        <v>0.765</v>
      </c>
      <c r="G174" s="230">
        <v>0.466643</v>
      </c>
      <c r="H174" s="12"/>
      <c r="J174" s="12">
        <v>533</v>
      </c>
      <c r="K174" s="231">
        <v>0.00458170437258955</v>
      </c>
      <c r="L174" s="231">
        <v>0.987587100216135</v>
      </c>
      <c r="M174" s="231">
        <v>0.869183156913659</v>
      </c>
      <c r="N174" s="231">
        <v>0.725553772010215</v>
      </c>
      <c r="O174" s="231">
        <v>0.428098144862916</v>
      </c>
      <c r="P174" s="12"/>
      <c r="Q174" s="230"/>
      <c r="R174" s="231"/>
      <c r="S174" s="230"/>
      <c r="T174" s="230"/>
    </row>
    <row r="175" ht="15" customHeight="1" spans="2:20">
      <c r="B175" s="12">
        <v>534</v>
      </c>
      <c r="C175" s="230">
        <v>0.00498125</v>
      </c>
      <c r="D175" s="230">
        <v>0.977539</v>
      </c>
      <c r="E175" s="230">
        <v>0.827239</v>
      </c>
      <c r="F175" s="231">
        <v>0.749</v>
      </c>
      <c r="G175" s="230">
        <v>0.449442</v>
      </c>
      <c r="H175" s="12"/>
      <c r="J175" s="12">
        <v>534</v>
      </c>
      <c r="K175" s="231">
        <v>0.00417371314575408</v>
      </c>
      <c r="L175" s="231">
        <v>0.989580445766187</v>
      </c>
      <c r="M175" s="231">
        <v>0.877914417282325</v>
      </c>
      <c r="N175" s="231">
        <v>0.709048493795995</v>
      </c>
      <c r="O175" s="231">
        <v>0.411545821748834</v>
      </c>
      <c r="P175" s="12"/>
      <c r="Q175" s="230"/>
      <c r="R175" s="231"/>
      <c r="S175" s="230"/>
      <c r="T175" s="230"/>
    </row>
    <row r="176" ht="15" customHeight="1" spans="2:20">
      <c r="B176" s="12">
        <v>535</v>
      </c>
      <c r="C176" s="230">
        <v>0.00454287</v>
      </c>
      <c r="D176" s="230">
        <v>0.981481</v>
      </c>
      <c r="E176" s="230">
        <v>0.837403</v>
      </c>
      <c r="F176" s="231">
        <v>0.733</v>
      </c>
      <c r="G176" s="230">
        <v>0.432533</v>
      </c>
      <c r="H176" s="12"/>
      <c r="J176" s="12">
        <v>535</v>
      </c>
      <c r="K176" s="231">
        <v>0.00379928648369077</v>
      </c>
      <c r="L176" s="231">
        <v>0.991713861744373</v>
      </c>
      <c r="M176" s="231">
        <v>0.887039925184075</v>
      </c>
      <c r="N176" s="231">
        <v>0.692604917556408</v>
      </c>
      <c r="O176" s="231">
        <v>0.39532225576526</v>
      </c>
      <c r="P176" s="12"/>
      <c r="Q176" s="230"/>
      <c r="R176" s="231"/>
      <c r="S176" s="230"/>
      <c r="T176" s="230"/>
    </row>
    <row r="177" ht="15" customHeight="1" spans="2:20">
      <c r="B177" s="12">
        <v>536</v>
      </c>
      <c r="C177" s="230">
        <v>0.00413908</v>
      </c>
      <c r="D177" s="230">
        <v>0.985629</v>
      </c>
      <c r="E177" s="230">
        <v>0.848078</v>
      </c>
      <c r="F177" s="231">
        <v>0.717</v>
      </c>
      <c r="G177" s="230">
        <v>0.415862</v>
      </c>
      <c r="H177" s="12"/>
      <c r="J177" s="12">
        <v>536</v>
      </c>
      <c r="K177" s="231">
        <v>0.00345513122429748</v>
      </c>
      <c r="L177" s="231">
        <v>0.994047076623418</v>
      </c>
      <c r="M177" s="231">
        <v>0.896671662255854</v>
      </c>
      <c r="N177" s="231">
        <v>0.67622269794458</v>
      </c>
      <c r="O177" s="231">
        <v>0.379376344544003</v>
      </c>
      <c r="P177" s="12"/>
      <c r="Q177" s="230"/>
      <c r="R177" s="231"/>
      <c r="S177" s="230"/>
      <c r="T177" s="230"/>
    </row>
    <row r="178" ht="15" customHeight="1" spans="2:20">
      <c r="B178" s="12">
        <v>537</v>
      </c>
      <c r="C178" s="230">
        <v>0.00376794</v>
      </c>
      <c r="D178" s="230">
        <v>0.989754</v>
      </c>
      <c r="E178" s="230">
        <v>0.859064</v>
      </c>
      <c r="F178" s="231">
        <v>0.7</v>
      </c>
      <c r="G178" s="230">
        <v>0.399372</v>
      </c>
      <c r="H178" s="12"/>
      <c r="J178" s="12">
        <v>537</v>
      </c>
      <c r="K178" s="231">
        <v>0.00313946183826607</v>
      </c>
      <c r="L178" s="231">
        <v>0.996348448446697</v>
      </c>
      <c r="M178" s="231">
        <v>0.90659573446615</v>
      </c>
      <c r="N178" s="231">
        <v>0.658960120585219</v>
      </c>
      <c r="O178" s="231">
        <v>0.363654634669132</v>
      </c>
      <c r="P178" s="12"/>
      <c r="Q178" s="230"/>
      <c r="R178" s="231"/>
      <c r="S178" s="230"/>
      <c r="T178" s="230"/>
    </row>
    <row r="179" ht="15" customHeight="1" spans="2:20">
      <c r="B179" s="12">
        <v>538</v>
      </c>
      <c r="C179" s="230">
        <v>0.00342783</v>
      </c>
      <c r="D179" s="230">
        <v>0.993551</v>
      </c>
      <c r="E179" s="230">
        <v>0.870068</v>
      </c>
      <c r="F179" s="231">
        <v>0.683</v>
      </c>
      <c r="G179" s="230">
        <v>0.383136</v>
      </c>
      <c r="H179" s="12"/>
      <c r="J179" s="12">
        <v>538</v>
      </c>
      <c r="K179" s="231">
        <v>0.00285077220122189</v>
      </c>
      <c r="L179" s="231">
        <v>0.998311693341446</v>
      </c>
      <c r="M179" s="231">
        <v>0.916501874840473</v>
      </c>
      <c r="N179" s="231">
        <v>0.641761716375894</v>
      </c>
      <c r="O179" s="231">
        <v>0.348222223725423</v>
      </c>
      <c r="P179" s="12"/>
      <c r="Q179" s="230"/>
      <c r="R179" s="231"/>
      <c r="S179" s="230"/>
      <c r="T179" s="230"/>
    </row>
    <row r="180" ht="15" customHeight="1" spans="2:20">
      <c r="B180" s="12">
        <v>539</v>
      </c>
      <c r="C180" s="230">
        <v>0.00311696</v>
      </c>
      <c r="D180" s="230">
        <v>0.996714</v>
      </c>
      <c r="E180" s="230">
        <v>0.880779</v>
      </c>
      <c r="F180" s="231">
        <v>0.667</v>
      </c>
      <c r="G180" s="230">
        <v>0.367224</v>
      </c>
      <c r="H180" s="12"/>
      <c r="J180" s="12">
        <v>539</v>
      </c>
      <c r="K180" s="231">
        <v>0.00258742624690667</v>
      </c>
      <c r="L180" s="231">
        <v>0.999631797486132</v>
      </c>
      <c r="M180" s="231">
        <v>0.926063193493816</v>
      </c>
      <c r="N180" s="231">
        <v>0.625565006708437</v>
      </c>
      <c r="O180" s="231">
        <v>0.333141004636338</v>
      </c>
      <c r="P180" s="12"/>
      <c r="Q180" s="230"/>
      <c r="R180" s="231"/>
      <c r="S180" s="230"/>
      <c r="T180" s="230"/>
    </row>
    <row r="181" ht="15" customHeight="1" spans="2:20">
      <c r="B181" s="12">
        <v>540</v>
      </c>
      <c r="C181" s="230">
        <v>0.00283352</v>
      </c>
      <c r="D181" s="230">
        <v>0.998931</v>
      </c>
      <c r="E181" s="230">
        <v>0.890871</v>
      </c>
      <c r="F181" s="231">
        <v>0.65</v>
      </c>
      <c r="G181" s="230">
        <v>0.351707</v>
      </c>
      <c r="H181" s="12"/>
      <c r="J181" s="12">
        <v>540</v>
      </c>
      <c r="K181" s="231">
        <v>0.00234778345657411</v>
      </c>
      <c r="L181" s="231">
        <v>1</v>
      </c>
      <c r="M181" s="231">
        <v>0.934939479946697</v>
      </c>
      <c r="N181" s="231">
        <v>0.608492143095955</v>
      </c>
      <c r="O181" s="231">
        <v>0.318473317366713</v>
      </c>
      <c r="P181" s="12"/>
      <c r="Q181" s="230"/>
      <c r="R181" s="231"/>
      <c r="S181" s="230"/>
      <c r="T181" s="230"/>
    </row>
    <row r="182" ht="15" customHeight="1" spans="2:20">
      <c r="B182" s="12">
        <v>541</v>
      </c>
      <c r="C182" s="230">
        <v>0.00257556</v>
      </c>
      <c r="D182" s="230">
        <v>0.999942</v>
      </c>
      <c r="E182" s="230">
        <v>0.900057</v>
      </c>
      <c r="F182" s="231">
        <v>0.633</v>
      </c>
      <c r="G182" s="230">
        <v>0.336537</v>
      </c>
      <c r="H182" s="12"/>
      <c r="J182" s="12">
        <v>541</v>
      </c>
      <c r="K182" s="231">
        <v>0.00213009965494384</v>
      </c>
      <c r="L182" s="231">
        <v>0.999161782318681</v>
      </c>
      <c r="M182" s="231">
        <v>0.942833892687035</v>
      </c>
      <c r="N182" s="231">
        <v>0.591482395430283</v>
      </c>
      <c r="O182" s="231">
        <v>0.304173484746124</v>
      </c>
      <c r="P182" s="12"/>
      <c r="Q182" s="230"/>
      <c r="R182" s="231"/>
      <c r="S182" s="230"/>
      <c r="T182" s="230"/>
    </row>
    <row r="183" ht="15" customHeight="1" spans="2:20">
      <c r="B183" s="12">
        <v>542</v>
      </c>
      <c r="C183" s="230">
        <v>0.00234084</v>
      </c>
      <c r="D183" s="230">
        <v>0.999692</v>
      </c>
      <c r="E183" s="230">
        <v>0.908253</v>
      </c>
      <c r="F183" s="231">
        <v>0.616</v>
      </c>
      <c r="G183" s="230">
        <v>0.321647</v>
      </c>
      <c r="H183" s="12"/>
      <c r="J183" s="12">
        <v>542</v>
      </c>
      <c r="K183" s="231">
        <v>0.00193240413883322</v>
      </c>
      <c r="L183" s="231">
        <v>0.997068966356031</v>
      </c>
      <c r="M183" s="231">
        <v>0.949664036530373</v>
      </c>
      <c r="N183" s="231">
        <v>0.574535414361165</v>
      </c>
      <c r="O183" s="231">
        <v>0.290179025548782</v>
      </c>
      <c r="P183" s="12"/>
      <c r="Q183" s="230"/>
      <c r="R183" s="231"/>
      <c r="S183" s="230"/>
      <c r="T183" s="230"/>
    </row>
    <row r="184" ht="15" customHeight="1" spans="2:20">
      <c r="B184" s="12">
        <v>543</v>
      </c>
      <c r="C184" s="230">
        <v>0.00212722</v>
      </c>
      <c r="D184" s="230">
        <v>0.998178</v>
      </c>
      <c r="E184" s="230">
        <v>0.915433</v>
      </c>
      <c r="F184" s="231">
        <v>0.599</v>
      </c>
      <c r="G184" s="230">
        <v>0.307085</v>
      </c>
      <c r="H184" s="12"/>
      <c r="J184" s="12">
        <v>543</v>
      </c>
      <c r="K184" s="231">
        <v>0.00175282312192064</v>
      </c>
      <c r="L184" s="231">
        <v>0.993725496976157</v>
      </c>
      <c r="M184" s="231">
        <v>0.955408656032379</v>
      </c>
      <c r="N184" s="231">
        <v>0.557650853111822</v>
      </c>
      <c r="O184" s="231">
        <v>0.276531476852904</v>
      </c>
      <c r="P184" s="12"/>
      <c r="Q184" s="230"/>
      <c r="R184" s="231"/>
      <c r="S184" s="230"/>
      <c r="T184" s="230"/>
    </row>
    <row r="185" ht="15" customHeight="1" spans="2:20">
      <c r="B185" s="12">
        <v>544</v>
      </c>
      <c r="C185" s="230">
        <v>0.00193276</v>
      </c>
      <c r="D185" s="230">
        <v>0.995405</v>
      </c>
      <c r="E185" s="230">
        <v>0.921575</v>
      </c>
      <c r="F185" s="231">
        <v>0.581</v>
      </c>
      <c r="G185" s="230">
        <v>0.292899</v>
      </c>
      <c r="H185" s="12"/>
      <c r="J185" s="12">
        <v>544</v>
      </c>
      <c r="K185" s="231">
        <v>0.001589661092206</v>
      </c>
      <c r="L185" s="231">
        <v>0.989143239711487</v>
      </c>
      <c r="M185" s="231">
        <v>0.960050819039023</v>
      </c>
      <c r="N185" s="231">
        <v>0.539899109091982</v>
      </c>
      <c r="O185" s="231">
        <v>0.263272070317013</v>
      </c>
      <c r="P185" s="12"/>
      <c r="Q185" s="230"/>
      <c r="R185" s="231"/>
      <c r="S185" s="230"/>
      <c r="T185" s="230"/>
    </row>
    <row r="186" ht="15" customHeight="1" spans="2:20">
      <c r="B186" s="12">
        <v>545</v>
      </c>
      <c r="C186" s="230">
        <v>0.00175573</v>
      </c>
      <c r="D186" s="230">
        <v>0.991383</v>
      </c>
      <c r="E186" s="230">
        <v>0.92666</v>
      </c>
      <c r="F186" s="231">
        <v>0.564</v>
      </c>
      <c r="G186" s="230">
        <v>0.279135</v>
      </c>
      <c r="H186" s="12"/>
      <c r="J186" s="12">
        <v>545</v>
      </c>
      <c r="K186" s="231">
        <v>0.0014414073861991</v>
      </c>
      <c r="L186" s="231">
        <v>0.983338932438042</v>
      </c>
      <c r="M186" s="231">
        <v>0.963576837184768</v>
      </c>
      <c r="N186" s="231">
        <v>0.523140062389002</v>
      </c>
      <c r="O186" s="231">
        <v>0.250439940581822</v>
      </c>
      <c r="P186" s="12"/>
      <c r="Q186" s="230"/>
      <c r="R186" s="231"/>
      <c r="S186" s="230"/>
      <c r="T186" s="230"/>
    </row>
    <row r="187" ht="15" customHeight="1" spans="2:20">
      <c r="B187" s="12">
        <v>546</v>
      </c>
      <c r="C187" s="230">
        <v>0.00159455</v>
      </c>
      <c r="D187" s="230">
        <v>0.986199</v>
      </c>
      <c r="E187" s="230">
        <v>0.930744</v>
      </c>
      <c r="F187" s="231">
        <v>0.548</v>
      </c>
      <c r="G187" s="230">
        <v>0.265737</v>
      </c>
      <c r="H187" s="12"/>
      <c r="J187" s="12">
        <v>546</v>
      </c>
      <c r="K187" s="231">
        <v>0.00130668532798882</v>
      </c>
      <c r="L187" s="231">
        <v>0.976405425751777</v>
      </c>
      <c r="M187" s="231">
        <v>0.966050967445179</v>
      </c>
      <c r="N187" s="231">
        <v>0.50736825862202</v>
      </c>
      <c r="O187" s="231">
        <v>0.237982588789396</v>
      </c>
      <c r="P187" s="12"/>
      <c r="Q187" s="230"/>
      <c r="R187" s="231"/>
      <c r="S187" s="230"/>
      <c r="T187" s="230"/>
    </row>
    <row r="188" ht="15" customHeight="1" spans="2:20">
      <c r="B188" s="12">
        <v>547</v>
      </c>
      <c r="C188" s="230">
        <v>0.00144783</v>
      </c>
      <c r="D188" s="230">
        <v>0.980229</v>
      </c>
      <c r="E188" s="230">
        <v>0.93416</v>
      </c>
      <c r="F188" s="231">
        <v>0.531</v>
      </c>
      <c r="G188" s="230">
        <v>0.252648</v>
      </c>
      <c r="H188" s="12"/>
      <c r="J188" s="12">
        <v>547</v>
      </c>
      <c r="K188" s="231">
        <v>0.00118428372335503</v>
      </c>
      <c r="L188" s="231">
        <v>0.96872049822723</v>
      </c>
      <c r="M188" s="231">
        <v>0.967823979056085</v>
      </c>
      <c r="N188" s="231">
        <v>0.490729959531245</v>
      </c>
      <c r="O188" s="231">
        <v>0.225847006066065</v>
      </c>
      <c r="P188" s="12"/>
      <c r="Q188" s="230"/>
      <c r="R188" s="231"/>
      <c r="S188" s="230"/>
      <c r="T188" s="230"/>
    </row>
    <row r="189" ht="15" customHeight="1" spans="2:20">
      <c r="B189" s="12">
        <v>548</v>
      </c>
      <c r="C189" s="230">
        <v>0.0013143</v>
      </c>
      <c r="D189" s="230">
        <v>0.973906</v>
      </c>
      <c r="E189" s="230">
        <v>0.937318</v>
      </c>
      <c r="F189" s="231">
        <v>0.514</v>
      </c>
      <c r="G189" s="230">
        <v>0.239917</v>
      </c>
      <c r="H189" s="12"/>
      <c r="J189" s="12">
        <v>548</v>
      </c>
      <c r="K189" s="231">
        <v>0.00107309819637732</v>
      </c>
      <c r="L189" s="231">
        <v>0.960715398922032</v>
      </c>
      <c r="M189" s="231">
        <v>0.969323710140012</v>
      </c>
      <c r="N189" s="231">
        <v>0.474152384159779</v>
      </c>
      <c r="O189" s="231">
        <v>0.214075153033309</v>
      </c>
      <c r="P189" s="12"/>
      <c r="Q189" s="230"/>
      <c r="R189" s="231"/>
      <c r="S189" s="230"/>
      <c r="T189" s="230"/>
    </row>
    <row r="190" ht="15" customHeight="1" spans="2:20">
      <c r="B190" s="12">
        <v>549</v>
      </c>
      <c r="C190" s="230">
        <v>0.00119281</v>
      </c>
      <c r="D190" s="230">
        <v>0.967653</v>
      </c>
      <c r="E190" s="230">
        <v>0.940634</v>
      </c>
      <c r="F190" s="231">
        <v>0.497</v>
      </c>
      <c r="G190" s="230">
        <v>0.227592</v>
      </c>
      <c r="H190" s="12"/>
      <c r="J190" s="12">
        <v>549</v>
      </c>
      <c r="K190" s="231">
        <v>0.000972130216590765</v>
      </c>
      <c r="L190" s="231">
        <v>0.952808388232594</v>
      </c>
      <c r="M190" s="231">
        <v>0.970981075176012</v>
      </c>
      <c r="N190" s="231">
        <v>0.457635200684019</v>
      </c>
      <c r="O190" s="231">
        <v>0.2027077939255</v>
      </c>
      <c r="P190" s="12"/>
      <c r="Q190" s="230"/>
      <c r="R190" s="231"/>
      <c r="S190" s="230"/>
      <c r="T190" s="230"/>
    </row>
    <row r="191" ht="15" customHeight="1" spans="2:20">
      <c r="B191" s="12">
        <v>550</v>
      </c>
      <c r="C191" s="230">
        <v>0.0010823</v>
      </c>
      <c r="D191" s="230">
        <v>0.961876</v>
      </c>
      <c r="E191" s="230">
        <v>0.944527</v>
      </c>
      <c r="F191" s="231">
        <v>0.481</v>
      </c>
      <c r="G191" s="230">
        <v>0.215722</v>
      </c>
      <c r="H191" s="12"/>
      <c r="J191" s="12">
        <v>550</v>
      </c>
      <c r="K191" s="231">
        <v>0.00088046173145839</v>
      </c>
      <c r="L191" s="231">
        <v>0.945397975890773</v>
      </c>
      <c r="M191" s="231">
        <v>0.973226945876219</v>
      </c>
      <c r="N191" s="231">
        <v>0.442097200692988</v>
      </c>
      <c r="O191" s="231">
        <v>0.19178628555355</v>
      </c>
      <c r="P191" s="12"/>
      <c r="Q191" s="230"/>
      <c r="R191" s="231"/>
      <c r="S191" s="230"/>
      <c r="T191" s="230"/>
    </row>
    <row r="192" ht="15" customHeight="1" spans="2:20">
      <c r="B192" s="12">
        <v>551</v>
      </c>
      <c r="C192" s="230">
        <v>0.000981819</v>
      </c>
      <c r="D192" s="230">
        <v>0.95682</v>
      </c>
      <c r="E192" s="230">
        <v>0.949291</v>
      </c>
      <c r="F192" s="231">
        <v>0.465</v>
      </c>
      <c r="G192" s="230">
        <v>0.204238</v>
      </c>
      <c r="H192" s="12"/>
      <c r="J192" s="12">
        <v>551</v>
      </c>
      <c r="K192" s="231">
        <v>0.000797269864716936</v>
      </c>
      <c r="L192" s="231">
        <v>0.93872182393832</v>
      </c>
      <c r="M192" s="231">
        <v>0.976360501590732</v>
      </c>
      <c r="N192" s="231">
        <v>0.426615599975971</v>
      </c>
      <c r="O192" s="231">
        <v>0.181246967734682</v>
      </c>
      <c r="P192" s="12"/>
      <c r="Q192" s="230"/>
      <c r="R192" s="231"/>
      <c r="S192" s="230"/>
      <c r="T192" s="230"/>
    </row>
    <row r="193" ht="15" customHeight="1" spans="2:20">
      <c r="B193" s="12">
        <v>552</v>
      </c>
      <c r="C193" s="230">
        <v>0.000890533</v>
      </c>
      <c r="D193" s="230">
        <v>0.952151</v>
      </c>
      <c r="E193" s="230">
        <v>0.95468</v>
      </c>
      <c r="F193" s="231">
        <v>0.448</v>
      </c>
      <c r="G193" s="230">
        <v>0.193075</v>
      </c>
      <c r="H193" s="12"/>
      <c r="J193" s="12">
        <v>552</v>
      </c>
      <c r="K193" s="231">
        <v>0.000721832538771864</v>
      </c>
      <c r="L193" s="231">
        <v>0.932448853041292</v>
      </c>
      <c r="M193" s="231">
        <v>0.980124361493172</v>
      </c>
      <c r="N193" s="231">
        <v>0.410274301164363</v>
      </c>
      <c r="O193" s="231">
        <v>0.171030184881908</v>
      </c>
      <c r="P193" s="12"/>
      <c r="Q193" s="230"/>
      <c r="R193" s="231"/>
      <c r="S193" s="230"/>
      <c r="T193" s="230"/>
    </row>
    <row r="194" ht="15" customHeight="1" spans="2:20">
      <c r="B194" s="12">
        <v>553</v>
      </c>
      <c r="C194" s="230">
        <v>0.000807687</v>
      </c>
      <c r="D194" s="230">
        <v>0.947398</v>
      </c>
      <c r="E194" s="230">
        <v>0.960309</v>
      </c>
      <c r="F194" s="231">
        <v>0.433</v>
      </c>
      <c r="G194" s="230">
        <v>0.182288</v>
      </c>
      <c r="H194" s="12"/>
      <c r="J194" s="12">
        <v>553</v>
      </c>
      <c r="K194" s="231">
        <v>0.000653496817645628</v>
      </c>
      <c r="L194" s="231">
        <v>0.926116456104596</v>
      </c>
      <c r="M194" s="231">
        <v>0.984120559856897</v>
      </c>
      <c r="N194" s="231">
        <v>0.395820372509935</v>
      </c>
      <c r="O194" s="231">
        <v>0.161182819395041</v>
      </c>
      <c r="P194" s="12"/>
      <c r="Q194" s="230"/>
      <c r="R194" s="231"/>
      <c r="S194" s="230"/>
      <c r="T194" s="230"/>
    </row>
    <row r="195" ht="15" customHeight="1" spans="2:20">
      <c r="B195" s="12">
        <v>554</v>
      </c>
      <c r="C195" s="230">
        <v>0.000732568</v>
      </c>
      <c r="D195" s="230">
        <v>0.942105</v>
      </c>
      <c r="E195" s="230">
        <v>0.965785</v>
      </c>
      <c r="F195" s="231">
        <v>0.417</v>
      </c>
      <c r="G195" s="230">
        <v>0.17193</v>
      </c>
      <c r="H195" s="12"/>
      <c r="J195" s="12">
        <v>554</v>
      </c>
      <c r="K195" s="231">
        <v>0.000591648400418242</v>
      </c>
      <c r="L195" s="231">
        <v>0.919280002741703</v>
      </c>
      <c r="M195" s="231">
        <v>0.98794582078669</v>
      </c>
      <c r="N195" s="231">
        <v>0.380506139356698</v>
      </c>
      <c r="O195" s="231">
        <v>0.151749649923586</v>
      </c>
      <c r="P195" s="12"/>
      <c r="Q195" s="230"/>
      <c r="R195" s="231"/>
      <c r="S195" s="230"/>
      <c r="T195" s="230"/>
    </row>
    <row r="196" ht="15" customHeight="1" spans="2:20">
      <c r="B196" s="12">
        <v>555</v>
      </c>
      <c r="C196" s="230">
        <v>0.000664512</v>
      </c>
      <c r="D196" s="230">
        <v>0.935829</v>
      </c>
      <c r="E196" s="230">
        <v>0.970703</v>
      </c>
      <c r="F196" s="231">
        <v>0.402</v>
      </c>
      <c r="G196" s="230">
        <v>0.162056</v>
      </c>
      <c r="H196" s="12"/>
      <c r="J196" s="12">
        <v>555</v>
      </c>
      <c r="K196" s="231">
        <v>0.000535716916430363</v>
      </c>
      <c r="L196" s="231">
        <v>0.91151072929394</v>
      </c>
      <c r="M196" s="231">
        <v>0.99118752164704</v>
      </c>
      <c r="N196" s="231">
        <v>0.366157933259237</v>
      </c>
      <c r="O196" s="231">
        <v>0.142776894456641</v>
      </c>
      <c r="P196" s="12"/>
      <c r="Q196" s="230"/>
      <c r="R196" s="231"/>
      <c r="S196" s="230"/>
      <c r="T196" s="230"/>
    </row>
    <row r="197" ht="15" customHeight="1" spans="2:20">
      <c r="B197" s="12">
        <v>556</v>
      </c>
      <c r="C197" s="230">
        <v>0.000602887</v>
      </c>
      <c r="D197" s="230">
        <v>0.928274</v>
      </c>
      <c r="E197" s="230">
        <v>0.974756</v>
      </c>
      <c r="F197" s="232">
        <v>0.3864</v>
      </c>
      <c r="G197" s="230">
        <v>0.152601</v>
      </c>
      <c r="H197" s="12"/>
      <c r="J197" s="12">
        <v>556</v>
      </c>
      <c r="K197" s="231">
        <v>0.000485161849800227</v>
      </c>
      <c r="L197" s="231">
        <v>0.902525879301664</v>
      </c>
      <c r="M197" s="231">
        <v>0.993535896403467</v>
      </c>
      <c r="N197" s="231">
        <v>0.35131581795747</v>
      </c>
      <c r="O197" s="231">
        <v>0.134204904515118</v>
      </c>
      <c r="P197" s="12"/>
      <c r="Q197" s="230"/>
      <c r="R197" s="232"/>
      <c r="S197" s="230"/>
      <c r="T197" s="230"/>
    </row>
    <row r="198" ht="15" customHeight="1" spans="2:20">
      <c r="B198" s="12">
        <v>557</v>
      </c>
      <c r="C198" s="230">
        <v>0.000547062</v>
      </c>
      <c r="D198" s="230">
        <v>0.919667</v>
      </c>
      <c r="E198" s="230">
        <v>0.978055</v>
      </c>
      <c r="F198" s="232">
        <v>0.3715</v>
      </c>
      <c r="G198" s="230">
        <v>0.143487</v>
      </c>
      <c r="H198" s="12"/>
      <c r="J198" s="12">
        <v>557</v>
      </c>
      <c r="K198" s="231">
        <v>0.000439447369554431</v>
      </c>
      <c r="L198" s="231">
        <v>0.892552307177594</v>
      </c>
      <c r="M198" s="231">
        <v>0.995108691940038</v>
      </c>
      <c r="N198" s="231">
        <v>0.337162294783813</v>
      </c>
      <c r="O198" s="231">
        <v>0.125963047654842</v>
      </c>
      <c r="P198" s="12"/>
      <c r="Q198" s="230"/>
      <c r="R198" s="232"/>
      <c r="S198" s="230"/>
      <c r="T198" s="230"/>
    </row>
    <row r="199" ht="15" customHeight="1" spans="2:20">
      <c r="B199" s="12">
        <v>558</v>
      </c>
      <c r="C199" s="230">
        <v>0.000496461</v>
      </c>
      <c r="D199" s="230">
        <v>0.910356</v>
      </c>
      <c r="E199" s="230">
        <v>0.980819</v>
      </c>
      <c r="F199" s="232">
        <v>0.3569</v>
      </c>
      <c r="G199" s="230">
        <v>0.134748</v>
      </c>
      <c r="H199" s="12"/>
      <c r="J199" s="12">
        <v>558</v>
      </c>
      <c r="K199" s="231">
        <v>0.000398085587367305</v>
      </c>
      <c r="L199" s="231">
        <v>0.88193246322254</v>
      </c>
      <c r="M199" s="231">
        <v>0.996132497277861</v>
      </c>
      <c r="N199" s="231">
        <v>0.323331284175106</v>
      </c>
      <c r="O199" s="231">
        <v>0.118079343083681</v>
      </c>
      <c r="P199" s="12"/>
      <c r="Q199" s="230"/>
      <c r="R199" s="232"/>
      <c r="S199" s="230"/>
      <c r="T199" s="230"/>
    </row>
    <row r="200" ht="15" customHeight="1" spans="2:20">
      <c r="B200" s="12">
        <v>559</v>
      </c>
      <c r="C200" s="230">
        <v>0.000450571</v>
      </c>
      <c r="D200" s="230">
        <v>0.900677</v>
      </c>
      <c r="E200" s="230">
        <v>0.983271</v>
      </c>
      <c r="F200" s="232">
        <v>0.3427</v>
      </c>
      <c r="G200" s="230">
        <v>0.126416</v>
      </c>
      <c r="H200" s="12"/>
      <c r="J200" s="12">
        <v>559</v>
      </c>
      <c r="K200" s="231">
        <v>0.000360642532033526</v>
      </c>
      <c r="L200" s="231">
        <v>0.870994742753886</v>
      </c>
      <c r="M200" s="231">
        <v>0.996836335234217</v>
      </c>
      <c r="N200" s="231">
        <v>0.30991148759337</v>
      </c>
      <c r="O200" s="231">
        <v>0.110579860054395</v>
      </c>
      <c r="P200" s="12"/>
      <c r="Q200" s="230"/>
      <c r="R200" s="232"/>
      <c r="S200" s="230"/>
      <c r="T200" s="230"/>
    </row>
    <row r="201" ht="15" customHeight="1" spans="2:20">
      <c r="B201" s="12">
        <v>560</v>
      </c>
      <c r="C201" s="230">
        <v>0.000408931</v>
      </c>
      <c r="D201" s="230">
        <v>0.890949</v>
      </c>
      <c r="E201" s="230">
        <v>0.985636</v>
      </c>
      <c r="F201" s="232">
        <v>0.3288</v>
      </c>
      <c r="G201" s="230">
        <v>0.118526</v>
      </c>
      <c r="H201" s="12"/>
      <c r="J201" s="12">
        <v>560</v>
      </c>
      <c r="K201" s="231">
        <v>0.00032672887925327</v>
      </c>
      <c r="L201" s="231">
        <v>0.860048785008317</v>
      </c>
      <c r="M201" s="231">
        <v>0.997449616720685</v>
      </c>
      <c r="N201" s="231">
        <v>0.296810431293882</v>
      </c>
      <c r="O201" s="231">
        <v>0.103493101114563</v>
      </c>
      <c r="P201" s="12"/>
      <c r="Q201" s="230"/>
      <c r="R201" s="232"/>
      <c r="S201" s="230"/>
      <c r="T201" s="230"/>
    </row>
    <row r="202" ht="15" customHeight="1" spans="2:20">
      <c r="B202" s="12">
        <v>561</v>
      </c>
      <c r="C202" s="230">
        <v>0.000371136</v>
      </c>
      <c r="D202" s="230">
        <v>0.881386</v>
      </c>
      <c r="E202" s="230">
        <v>0.988085</v>
      </c>
      <c r="F202" s="232">
        <v>0.3151</v>
      </c>
      <c r="G202" s="230">
        <v>0.111007</v>
      </c>
      <c r="H202" s="12"/>
      <c r="J202" s="12">
        <v>561</v>
      </c>
      <c r="K202" s="231">
        <v>0.000296002743944487</v>
      </c>
      <c r="L202" s="231">
        <v>0.84930084377847</v>
      </c>
      <c r="M202" s="231">
        <v>0.998145567098669</v>
      </c>
      <c r="N202" s="231">
        <v>0.283936300881253</v>
      </c>
      <c r="O202" s="231">
        <v>0.0967549747689197</v>
      </c>
      <c r="P202" s="12"/>
      <c r="Q202" s="230"/>
      <c r="R202" s="232"/>
      <c r="S202" s="230"/>
      <c r="T202" s="230"/>
    </row>
    <row r="203" ht="15" customHeight="1" spans="2:20">
      <c r="B203" s="12">
        <v>562</v>
      </c>
      <c r="C203" s="230">
        <v>0.000336838</v>
      </c>
      <c r="D203" s="230">
        <v>0.871834</v>
      </c>
      <c r="E203" s="230">
        <v>0.99056</v>
      </c>
      <c r="F203" s="232">
        <v>0.3018</v>
      </c>
      <c r="G203" s="230">
        <v>0.103793</v>
      </c>
      <c r="H203" s="12"/>
      <c r="J203" s="12">
        <v>562</v>
      </c>
      <c r="K203" s="231">
        <v>0.000268170054325357</v>
      </c>
      <c r="L203" s="231">
        <v>0.838601732155589</v>
      </c>
      <c r="M203" s="231">
        <v>0.998865258779513</v>
      </c>
      <c r="N203" s="231">
        <v>0.271467784135324</v>
      </c>
      <c r="O203" s="231">
        <v>0.0903061959922386</v>
      </c>
      <c r="P203" s="12"/>
      <c r="Q203" s="230"/>
      <c r="R203" s="232"/>
      <c r="S203" s="230"/>
      <c r="T203" s="230"/>
    </row>
    <row r="204" ht="15" customHeight="1" spans="2:20">
      <c r="B204" s="12">
        <v>563</v>
      </c>
      <c r="C204" s="230">
        <v>0.000305723</v>
      </c>
      <c r="D204" s="230">
        <v>0.862059</v>
      </c>
      <c r="E204" s="230">
        <v>0.992945</v>
      </c>
      <c r="F204" s="232">
        <v>0.2888</v>
      </c>
      <c r="G204" s="230">
        <v>0.0969206</v>
      </c>
      <c r="H204" s="12"/>
      <c r="J204" s="12">
        <v>563</v>
      </c>
      <c r="K204" s="231">
        <v>0.000242965848599283</v>
      </c>
      <c r="L204" s="231">
        <v>0.827726509265403</v>
      </c>
      <c r="M204" s="231">
        <v>0.9994918004307</v>
      </c>
      <c r="N204" s="231">
        <v>0.259312929908732</v>
      </c>
      <c r="O204" s="231">
        <v>0.0841770106229228</v>
      </c>
      <c r="P204" s="12"/>
      <c r="Q204" s="230"/>
      <c r="R204" s="232"/>
      <c r="S204" s="230"/>
      <c r="T204" s="230"/>
    </row>
    <row r="205" ht="15" customHeight="1" spans="2:20">
      <c r="B205" s="12">
        <v>564</v>
      </c>
      <c r="C205" s="230">
        <v>0.000277504</v>
      </c>
      <c r="D205" s="230">
        <v>0.85184</v>
      </c>
      <c r="E205" s="230">
        <v>0.995124</v>
      </c>
      <c r="F205" s="232">
        <v>0.2762</v>
      </c>
      <c r="G205" s="230">
        <v>0.0904259</v>
      </c>
      <c r="H205" s="12"/>
      <c r="J205" s="12">
        <v>564</v>
      </c>
      <c r="K205" s="231">
        <v>0.000220148463673117</v>
      </c>
      <c r="L205" s="231">
        <v>0.816464289687378</v>
      </c>
      <c r="M205" s="231">
        <v>0.999909129736252</v>
      </c>
      <c r="N205" s="231">
        <v>0.247559700377729</v>
      </c>
      <c r="O205" s="231">
        <v>0.0783970165022626</v>
      </c>
      <c r="P205" s="12"/>
      <c r="Q205" s="230"/>
      <c r="R205" s="232"/>
      <c r="S205" s="230"/>
      <c r="T205" s="230"/>
    </row>
    <row r="206" ht="15" customHeight="1" spans="2:20">
      <c r="B206" s="12">
        <v>565</v>
      </c>
      <c r="C206" s="230">
        <v>0.000251918</v>
      </c>
      <c r="D206" s="230">
        <v>0.840969</v>
      </c>
      <c r="E206" s="230">
        <v>0.996979</v>
      </c>
      <c r="F206" s="232">
        <v>0.2639</v>
      </c>
      <c r="G206" s="230">
        <v>0.0843457</v>
      </c>
      <c r="H206" s="12"/>
      <c r="J206" s="12">
        <v>565</v>
      </c>
      <c r="K206" s="231">
        <v>0.000199496953237156</v>
      </c>
      <c r="L206" s="231">
        <v>0.804618119070171</v>
      </c>
      <c r="M206" s="231">
        <v>1</v>
      </c>
      <c r="N206" s="231">
        <v>0.236116491066119</v>
      </c>
      <c r="O206" s="231">
        <v>0.0729962077378492</v>
      </c>
      <c r="P206" s="12"/>
      <c r="Q206" s="230"/>
      <c r="R206" s="232"/>
      <c r="S206" s="230"/>
      <c r="T206" s="230"/>
    </row>
    <row r="207" ht="15" customHeight="1" spans="2:20">
      <c r="B207" s="12">
        <v>566</v>
      </c>
      <c r="C207" s="230">
        <v>0.000228725</v>
      </c>
      <c r="D207" s="230">
        <v>0.829303</v>
      </c>
      <c r="E207" s="230">
        <v>0.998411</v>
      </c>
      <c r="F207" s="232">
        <v>0.2519</v>
      </c>
      <c r="G207" s="230">
        <v>0.0786198</v>
      </c>
      <c r="H207" s="12"/>
      <c r="J207" s="12">
        <v>566</v>
      </c>
      <c r="K207" s="231">
        <v>0.000180810114241561</v>
      </c>
      <c r="L207" s="231">
        <v>0.792054515464311</v>
      </c>
      <c r="M207" s="231">
        <v>0.999667017026636</v>
      </c>
      <c r="N207" s="231">
        <v>0.22498165875719</v>
      </c>
      <c r="O207" s="231">
        <v>0.0679205670274692</v>
      </c>
      <c r="P207" s="12"/>
      <c r="Q207" s="230"/>
      <c r="R207" s="232"/>
      <c r="S207" s="230"/>
      <c r="T207" s="230"/>
    </row>
    <row r="208" ht="15" customHeight="1" spans="2:20">
      <c r="B208" s="12">
        <v>567</v>
      </c>
      <c r="C208" s="230">
        <v>0.000207699</v>
      </c>
      <c r="D208" s="230">
        <v>0.816911</v>
      </c>
      <c r="E208" s="230">
        <v>0.999391</v>
      </c>
      <c r="F208" s="232">
        <v>0.2403</v>
      </c>
      <c r="G208" s="230">
        <v>0.073175</v>
      </c>
      <c r="H208" s="12"/>
      <c r="J208" s="12">
        <v>567</v>
      </c>
      <c r="K208" s="231">
        <v>0.000163899210723255</v>
      </c>
      <c r="L208" s="231">
        <v>0.778843059420997</v>
      </c>
      <c r="M208" s="231">
        <v>0.998883438154142</v>
      </c>
      <c r="N208" s="231">
        <v>0.214242728184554</v>
      </c>
      <c r="O208" s="231">
        <v>0.0631052470984282</v>
      </c>
      <c r="P208" s="12"/>
      <c r="Q208" s="230"/>
      <c r="R208" s="232"/>
      <c r="S208" s="230"/>
      <c r="T208" s="230"/>
    </row>
    <row r="209" ht="15" customHeight="1" spans="2:20">
      <c r="B209" s="12">
        <v>568</v>
      </c>
      <c r="C209" s="230">
        <v>0.000188638</v>
      </c>
      <c r="D209" s="230">
        <v>0.80391</v>
      </c>
      <c r="E209" s="230">
        <v>0.999912</v>
      </c>
      <c r="F209" s="232">
        <v>0.2291</v>
      </c>
      <c r="G209" s="230">
        <v>0.0680288</v>
      </c>
      <c r="H209" s="12"/>
      <c r="J209" s="12">
        <v>568</v>
      </c>
      <c r="K209" s="231">
        <v>0.000148595741356706</v>
      </c>
      <c r="L209" s="231">
        <v>0.765098524125107</v>
      </c>
      <c r="M209" s="231">
        <v>0.99764465916322</v>
      </c>
      <c r="N209" s="231">
        <v>0.203897608317911</v>
      </c>
      <c r="O209" s="231">
        <v>0.0585639382382099</v>
      </c>
      <c r="P209" s="12"/>
      <c r="Q209" s="230"/>
      <c r="R209" s="232"/>
      <c r="S209" s="230"/>
      <c r="T209" s="230"/>
    </row>
    <row r="210" ht="15" customHeight="1" spans="2:20">
      <c r="B210" s="12">
        <v>569</v>
      </c>
      <c r="C210" s="230">
        <v>0.000171357</v>
      </c>
      <c r="D210" s="230">
        <v>0.790413</v>
      </c>
      <c r="E210" s="230">
        <v>0.999965</v>
      </c>
      <c r="F210" s="232">
        <v>0.2182</v>
      </c>
      <c r="G210" s="230">
        <v>0.0631984</v>
      </c>
      <c r="H210" s="12"/>
      <c r="J210" s="12">
        <v>569</v>
      </c>
      <c r="K210" s="231">
        <v>0.000134745757228647</v>
      </c>
      <c r="L210" s="231">
        <v>0.750931075724167</v>
      </c>
      <c r="M210" s="231">
        <v>0.995944116243714</v>
      </c>
      <c r="N210" s="231">
        <v>0.193855379847804</v>
      </c>
      <c r="O210" s="231">
        <v>0.0543099766862127</v>
      </c>
      <c r="P210" s="12"/>
      <c r="Q210" s="230"/>
      <c r="R210" s="232"/>
      <c r="S210" s="230"/>
      <c r="T210" s="230"/>
    </row>
    <row r="211" ht="15" customHeight="1" spans="2:20">
      <c r="B211" s="12">
        <v>570</v>
      </c>
      <c r="C211" s="230">
        <v>0.000155688</v>
      </c>
      <c r="D211" s="230">
        <v>0.776526</v>
      </c>
      <c r="E211" s="230">
        <v>0.999543</v>
      </c>
      <c r="F211" s="232">
        <v>0.2076</v>
      </c>
      <c r="G211" s="230">
        <v>0.0587013</v>
      </c>
      <c r="H211" s="12"/>
      <c r="J211" s="12">
        <v>570</v>
      </c>
      <c r="K211" s="231">
        <v>0.000122209734185339</v>
      </c>
      <c r="L211" s="231">
        <v>0.736443468594243</v>
      </c>
      <c r="M211" s="231">
        <v>0.993777280110583</v>
      </c>
      <c r="N211" s="231">
        <v>0.184114448608985</v>
      </c>
      <c r="O211" s="231">
        <v>0.0503568624489457</v>
      </c>
      <c r="P211" s="12"/>
      <c r="Q211" s="230"/>
      <c r="R211" s="232"/>
      <c r="S211" s="230"/>
      <c r="T211" s="230"/>
    </row>
    <row r="212" ht="15" customHeight="1" spans="2:20">
      <c r="B212" s="12">
        <v>571</v>
      </c>
      <c r="C212" s="230">
        <v>0.00014148</v>
      </c>
      <c r="D212" s="230">
        <v>0.762311</v>
      </c>
      <c r="E212" s="230">
        <v>0.998615</v>
      </c>
      <c r="F212" s="232">
        <v>0.1974</v>
      </c>
      <c r="G212" s="230">
        <v>0.0544832</v>
      </c>
      <c r="H212" s="12"/>
      <c r="J212" s="12">
        <v>571</v>
      </c>
      <c r="K212" s="231">
        <v>0.000110862446521189</v>
      </c>
      <c r="L212" s="231">
        <v>0.721696081552511</v>
      </c>
      <c r="M212" s="231">
        <v>0.991115833437192</v>
      </c>
      <c r="N212" s="231">
        <v>0.174761763398778</v>
      </c>
      <c r="O212" s="231">
        <v>0.0466565152600091</v>
      </c>
      <c r="P212" s="12"/>
      <c r="Q212" s="230"/>
      <c r="R212" s="232"/>
      <c r="S212" s="230"/>
      <c r="T212" s="230"/>
    </row>
    <row r="213" ht="15" customHeight="1" spans="2:20">
      <c r="B213" s="12">
        <v>572</v>
      </c>
      <c r="C213" s="230">
        <v>0.000128596</v>
      </c>
      <c r="D213" s="230">
        <v>0.747669</v>
      </c>
      <c r="E213" s="230">
        <v>0.997051</v>
      </c>
      <c r="F213" s="232">
        <v>0.1876</v>
      </c>
      <c r="G213" s="230">
        <v>0.0504889</v>
      </c>
      <c r="H213" s="12"/>
      <c r="J213" s="12">
        <v>572</v>
      </c>
      <c r="K213" s="231">
        <v>0.000100590495329234</v>
      </c>
      <c r="L213" s="231">
        <v>0.70659671552526</v>
      </c>
      <c r="M213" s="231">
        <v>0.987833572144526</v>
      </c>
      <c r="N213" s="231">
        <v>0.165795287961787</v>
      </c>
      <c r="O213" s="231">
        <v>0.0431604217139002</v>
      </c>
      <c r="P213" s="12"/>
      <c r="Q213" s="230"/>
      <c r="R213" s="232"/>
      <c r="S213" s="230"/>
      <c r="T213" s="230"/>
    </row>
    <row r="214" ht="15" customHeight="1" spans="2:20">
      <c r="B214" s="12">
        <v>573</v>
      </c>
      <c r="C214" s="230">
        <v>0.000116912</v>
      </c>
      <c r="D214" s="230">
        <v>0.732476</v>
      </c>
      <c r="E214" s="230">
        <v>0.994701</v>
      </c>
      <c r="F214" s="232">
        <v>0.1782</v>
      </c>
      <c r="G214" s="230">
        <v>0.0467344</v>
      </c>
      <c r="H214" s="12"/>
      <c r="J214" s="12">
        <v>573</v>
      </c>
      <c r="K214" s="231">
        <v>9.12914244445565e-5</v>
      </c>
      <c r="L214" s="231">
        <v>0.691030229640093</v>
      </c>
      <c r="M214" s="231">
        <v>0.9837853926345</v>
      </c>
      <c r="N214" s="231">
        <v>0.157213000257316</v>
      </c>
      <c r="O214" s="231">
        <v>0.0398811661450902</v>
      </c>
      <c r="P214" s="12"/>
      <c r="Q214" s="230"/>
      <c r="R214" s="232"/>
      <c r="S214" s="230"/>
      <c r="T214" s="230"/>
    </row>
    <row r="215" ht="15" customHeight="1" spans="2:20">
      <c r="B215" s="12">
        <v>574</v>
      </c>
      <c r="C215" s="230">
        <v>0.000106316</v>
      </c>
      <c r="D215" s="230">
        <v>0.716622</v>
      </c>
      <c r="E215" s="230">
        <v>0.991416</v>
      </c>
      <c r="F215" s="232">
        <v>0.169</v>
      </c>
      <c r="G215" s="230">
        <v>0.0432357</v>
      </c>
      <c r="H215" s="12"/>
      <c r="J215" s="12">
        <v>574</v>
      </c>
      <c r="K215" s="231">
        <v>8.28728456287143e-5</v>
      </c>
      <c r="L215" s="231">
        <v>0.674895470226313</v>
      </c>
      <c r="M215" s="231">
        <v>0.978828189787131</v>
      </c>
      <c r="N215" s="231">
        <v>0.148836754164934</v>
      </c>
      <c r="O215" s="231">
        <v>0.0368312451923395</v>
      </c>
      <c r="P215" s="12"/>
      <c r="Q215" s="230"/>
      <c r="R215" s="232"/>
      <c r="S215" s="230"/>
      <c r="T215" s="230"/>
    </row>
    <row r="216" ht="15" customHeight="1" spans="2:20">
      <c r="B216" s="12">
        <v>575</v>
      </c>
      <c r="C216" s="230">
        <v>9.67045e-5</v>
      </c>
      <c r="D216" s="230">
        <v>0.700013</v>
      </c>
      <c r="E216" s="230">
        <v>0.987057</v>
      </c>
      <c r="F216" s="232">
        <v>0.1602</v>
      </c>
      <c r="G216" s="230">
        <v>0.0400089</v>
      </c>
      <c r="H216" s="12"/>
      <c r="J216" s="12">
        <v>575</v>
      </c>
      <c r="K216" s="231">
        <v>7.52496275329911e-5</v>
      </c>
      <c r="L216" s="231">
        <v>0.658107029457969</v>
      </c>
      <c r="M216" s="231">
        <v>0.972829709857828</v>
      </c>
      <c r="N216" s="231">
        <v>0.140841306528281</v>
      </c>
      <c r="O216" s="231">
        <v>0.0340231536002325</v>
      </c>
      <c r="P216" s="12"/>
      <c r="Q216" s="230"/>
      <c r="R216" s="232"/>
      <c r="S216" s="230"/>
      <c r="T216" s="230"/>
    </row>
    <row r="217" ht="15" customHeight="1" spans="2:20">
      <c r="B217" s="12">
        <v>576</v>
      </c>
      <c r="C217" s="230">
        <v>8.79858e-5</v>
      </c>
      <c r="D217" s="230">
        <v>0.682647</v>
      </c>
      <c r="E217" s="230">
        <v>0.981599</v>
      </c>
      <c r="F217" s="232">
        <v>0.1517</v>
      </c>
      <c r="G217" s="230">
        <v>0.0370102</v>
      </c>
      <c r="H217" s="12"/>
      <c r="J217" s="12">
        <v>576</v>
      </c>
      <c r="K217" s="231">
        <v>6.8346396108056e-5</v>
      </c>
      <c r="L217" s="231">
        <v>0.640666434918928</v>
      </c>
      <c r="M217" s="231">
        <v>0.965770779288118</v>
      </c>
      <c r="N217" s="231">
        <v>0.133136910732197</v>
      </c>
      <c r="O217" s="231">
        <v>0.0314184494401737</v>
      </c>
      <c r="P217" s="12"/>
      <c r="Q217" s="230"/>
      <c r="R217" s="232"/>
      <c r="S217" s="230"/>
      <c r="T217" s="230"/>
    </row>
    <row r="218" ht="15" customHeight="1" spans="2:20">
      <c r="B218" s="12">
        <v>577</v>
      </c>
      <c r="C218" s="230">
        <v>8.00756e-5</v>
      </c>
      <c r="D218" s="230">
        <v>0.664817</v>
      </c>
      <c r="E218" s="230">
        <v>0.975451</v>
      </c>
      <c r="F218" s="232">
        <v>0.1436</v>
      </c>
      <c r="G218" s="230">
        <v>0.0341903</v>
      </c>
      <c r="H218" s="12"/>
      <c r="J218" s="12">
        <v>577</v>
      </c>
      <c r="K218" s="231">
        <v>6.20940381041709e-5</v>
      </c>
      <c r="L218" s="231">
        <v>0.622851582240896</v>
      </c>
      <c r="M218" s="231">
        <v>0.95805861917866</v>
      </c>
      <c r="N218" s="231">
        <v>0.125809664695994</v>
      </c>
      <c r="O218" s="231">
        <v>0.0289742963477181</v>
      </c>
      <c r="P218" s="12"/>
      <c r="Q218" s="230"/>
      <c r="R218" s="232"/>
      <c r="S218" s="230"/>
      <c r="T218" s="230"/>
    </row>
    <row r="219" ht="15" customHeight="1" spans="2:20">
      <c r="B219" s="12">
        <v>578</v>
      </c>
      <c r="C219" s="230">
        <v>7.28979e-5</v>
      </c>
      <c r="D219" s="230">
        <v>0.646858</v>
      </c>
      <c r="E219" s="230">
        <v>0.96912</v>
      </c>
      <c r="F219" s="232">
        <v>0.1358</v>
      </c>
      <c r="G219" s="230">
        <v>0.0315562</v>
      </c>
      <c r="H219" s="12"/>
      <c r="J219" s="12">
        <v>578</v>
      </c>
      <c r="K219" s="231">
        <v>5.64303436030028e-5</v>
      </c>
      <c r="L219" s="231">
        <v>0.604977724647856</v>
      </c>
      <c r="M219" s="231">
        <v>0.950193718614939</v>
      </c>
      <c r="N219" s="231">
        <v>0.118770151284303</v>
      </c>
      <c r="O219" s="231">
        <v>0.0266957828437153</v>
      </c>
      <c r="P219" s="12"/>
      <c r="Q219" s="230"/>
      <c r="R219" s="232"/>
      <c r="S219" s="230"/>
      <c r="T219" s="230"/>
    </row>
    <row r="220" ht="15" customHeight="1" spans="2:20">
      <c r="B220" s="12">
        <v>579</v>
      </c>
      <c r="C220" s="230">
        <v>6.63837e-5</v>
      </c>
      <c r="D220" s="230">
        <v>0.629072</v>
      </c>
      <c r="E220" s="230">
        <v>0.963093</v>
      </c>
      <c r="F220" s="232">
        <v>0.1284</v>
      </c>
      <c r="G220" s="230">
        <v>0.0291153</v>
      </c>
      <c r="H220" s="12"/>
      <c r="J220" s="12">
        <v>579</v>
      </c>
      <c r="K220" s="231">
        <v>5.12989418100005e-5</v>
      </c>
      <c r="L220" s="231">
        <v>0.587327127310494</v>
      </c>
      <c r="M220" s="231">
        <v>0.942653533526857</v>
      </c>
      <c r="N220" s="231">
        <v>0.112104188212305</v>
      </c>
      <c r="O220" s="231">
        <v>0.0245883001010552</v>
      </c>
      <c r="P220" s="12"/>
      <c r="Q220" s="230"/>
      <c r="R220" s="232"/>
      <c r="S220" s="230"/>
      <c r="T220" s="230"/>
    </row>
    <row r="221" ht="15" customHeight="1" spans="2:20">
      <c r="B221" s="12">
        <v>580</v>
      </c>
      <c r="C221" s="230">
        <v>6.04705e-5</v>
      </c>
      <c r="D221" s="230">
        <v>0.611728</v>
      </c>
      <c r="E221" s="230">
        <v>0.957841</v>
      </c>
      <c r="F221" s="232">
        <v>0.1212</v>
      </c>
      <c r="G221" s="230">
        <v>0.0268747</v>
      </c>
      <c r="H221" s="12"/>
      <c r="J221" s="12">
        <v>580</v>
      </c>
      <c r="K221" s="231">
        <v>4.66488650012346e-5</v>
      </c>
      <c r="L221" s="231">
        <v>0.570149351725961</v>
      </c>
      <c r="M221" s="231">
        <v>0.935896593609294</v>
      </c>
      <c r="N221" s="231">
        <v>0.10563552727147</v>
      </c>
      <c r="O221" s="231">
        <v>0.0226569491945196</v>
      </c>
      <c r="P221" s="12"/>
      <c r="Q221" s="230"/>
      <c r="R221" s="232"/>
      <c r="S221" s="230"/>
      <c r="T221" s="230"/>
    </row>
    <row r="222" ht="15" customHeight="1" spans="2:20">
      <c r="B222" s="12">
        <v>581</v>
      </c>
      <c r="C222" s="230">
        <v>5.5102e-5</v>
      </c>
      <c r="D222" s="230">
        <v>0.594998</v>
      </c>
      <c r="E222" s="230">
        <v>0.953664</v>
      </c>
      <c r="F222" s="232">
        <v>0.1143</v>
      </c>
      <c r="G222" s="230">
        <v>0.0248014</v>
      </c>
      <c r="H222" s="12"/>
      <c r="J222" s="12">
        <v>581</v>
      </c>
      <c r="K222" s="231">
        <v>4.24342709941697e-5</v>
      </c>
      <c r="L222" s="231">
        <v>0.553601989855899</v>
      </c>
      <c r="M222" s="231">
        <v>0.930211476961401</v>
      </c>
      <c r="N222" s="231">
        <v>0.0994501577020217</v>
      </c>
      <c r="O222" s="231">
        <v>0.0208730476134277</v>
      </c>
      <c r="P222" s="12"/>
      <c r="Q222" s="230"/>
      <c r="R222" s="232"/>
      <c r="S222" s="230"/>
      <c r="T222" s="230"/>
    </row>
    <row r="223" ht="15" customHeight="1" spans="2:20">
      <c r="B223" s="12">
        <v>582</v>
      </c>
      <c r="C223" s="230">
        <v>5.02269e-5</v>
      </c>
      <c r="D223" s="230">
        <v>0.578783</v>
      </c>
      <c r="E223" s="230">
        <v>0.950236</v>
      </c>
      <c r="F223" s="232">
        <v>0.1078</v>
      </c>
      <c r="G223" s="230">
        <v>0.0228597</v>
      </c>
      <c r="H223" s="12"/>
      <c r="J223" s="12">
        <v>582</v>
      </c>
      <c r="K223" s="231">
        <v>3.86134765768381e-5</v>
      </c>
      <c r="L223" s="231">
        <v>0.537589838176186</v>
      </c>
      <c r="M223" s="231">
        <v>0.925275222081648</v>
      </c>
      <c r="N223" s="231">
        <v>0.0936334777528462</v>
      </c>
      <c r="O223" s="231">
        <v>0.0192058415415053</v>
      </c>
      <c r="P223" s="12"/>
      <c r="Q223" s="230"/>
      <c r="R223" s="232"/>
      <c r="S223" s="230"/>
      <c r="T223" s="230"/>
    </row>
    <row r="224" ht="15" customHeight="1" spans="2:20">
      <c r="B224" s="12">
        <v>583</v>
      </c>
      <c r="C224" s="230">
        <v>4.57988e-5</v>
      </c>
      <c r="D224" s="230">
        <v>0.562935</v>
      </c>
      <c r="E224" s="230">
        <v>0.947086</v>
      </c>
      <c r="F224" s="232">
        <v>0.1015</v>
      </c>
      <c r="G224" s="230">
        <v>0.0210534</v>
      </c>
      <c r="H224" s="12"/>
      <c r="J224" s="12">
        <v>583</v>
      </c>
      <c r="K224" s="231">
        <v>3.51488450929245e-5</v>
      </c>
      <c r="L224" s="231">
        <v>0.52197291185581</v>
      </c>
      <c r="M224" s="231">
        <v>0.920626134364953</v>
      </c>
      <c r="N224" s="231">
        <v>0.0880101711652969</v>
      </c>
      <c r="O224" s="231">
        <v>0.0176579176250824</v>
      </c>
      <c r="P224" s="12"/>
      <c r="Q224" s="230"/>
      <c r="R224" s="232"/>
      <c r="S224" s="230"/>
      <c r="T224" s="230"/>
    </row>
    <row r="225" ht="15" customHeight="1" spans="2:20">
      <c r="B225" s="12">
        <v>584</v>
      </c>
      <c r="C225" s="230">
        <v>4.17759e-5</v>
      </c>
      <c r="D225" s="230">
        <v>0.547321</v>
      </c>
      <c r="E225" s="230">
        <v>0.943752</v>
      </c>
      <c r="F225" s="231">
        <v>0.0956</v>
      </c>
      <c r="G225" s="230">
        <v>0.0193864</v>
      </c>
      <c r="H225" s="12"/>
      <c r="J225" s="12">
        <v>584</v>
      </c>
      <c r="K225" s="231">
        <v>3.20065219522002e-5</v>
      </c>
      <c r="L225" s="231">
        <v>0.50662606956974</v>
      </c>
      <c r="M225" s="231">
        <v>0.915814415073966</v>
      </c>
      <c r="N225" s="231">
        <v>0.0827523666891084</v>
      </c>
      <c r="O225" s="231">
        <v>0.0162319285221641</v>
      </c>
      <c r="P225" s="12"/>
      <c r="Q225" s="230"/>
      <c r="R225" s="231"/>
      <c r="S225" s="230"/>
      <c r="T225" s="230"/>
    </row>
    <row r="226" ht="15" customHeight="1" spans="2:20">
      <c r="B226" s="12">
        <v>585</v>
      </c>
      <c r="C226" s="230">
        <v>3.81202e-5</v>
      </c>
      <c r="D226" s="230">
        <v>0.531825</v>
      </c>
      <c r="E226" s="230">
        <v>0.939781</v>
      </c>
      <c r="F226" s="231">
        <v>0.0899</v>
      </c>
      <c r="G226" s="230">
        <v>0.0178624</v>
      </c>
      <c r="H226" s="12"/>
      <c r="J226" s="12">
        <v>585</v>
      </c>
      <c r="K226" s="231">
        <v>2.91557904345006e-5</v>
      </c>
      <c r="L226" s="231">
        <v>0.491440734760844</v>
      </c>
      <c r="M226" s="231">
        <v>0.910402059664983</v>
      </c>
      <c r="N226" s="231">
        <v>0.0776853637836587</v>
      </c>
      <c r="O226" s="231">
        <v>0.0149303415823123</v>
      </c>
      <c r="P226" s="12"/>
      <c r="Q226" s="230"/>
      <c r="R226" s="231"/>
      <c r="S226" s="230"/>
      <c r="T226" s="230"/>
    </row>
    <row r="227" ht="15" customHeight="1" spans="2:20">
      <c r="B227" s="12">
        <v>586</v>
      </c>
      <c r="C227" s="230">
        <v>3.47974e-5</v>
      </c>
      <c r="D227" s="230">
        <v>0.516354</v>
      </c>
      <c r="E227" s="230">
        <v>0.934826</v>
      </c>
      <c r="F227" s="231">
        <v>0.0845</v>
      </c>
      <c r="G227" s="230">
        <v>0.0164578</v>
      </c>
      <c r="H227" s="12"/>
      <c r="J227" s="12">
        <v>586</v>
      </c>
      <c r="K227" s="231">
        <v>2.65689685627745e-5</v>
      </c>
      <c r="L227" s="231">
        <v>0.476330289229357</v>
      </c>
      <c r="M227" s="231">
        <v>0.90405656443748</v>
      </c>
      <c r="N227" s="231">
        <v>0.0728944512719045</v>
      </c>
      <c r="O227" s="231">
        <v>0.0137328274646646</v>
      </c>
      <c r="P227" s="12"/>
      <c r="Q227" s="230"/>
      <c r="R227" s="231"/>
      <c r="S227" s="230"/>
      <c r="T227" s="230"/>
    </row>
    <row r="228" ht="15" customHeight="1" spans="2:20">
      <c r="B228" s="12">
        <v>587</v>
      </c>
      <c r="C228" s="230">
        <v>3.17763e-5</v>
      </c>
      <c r="D228" s="230">
        <v>0.50087</v>
      </c>
      <c r="E228" s="230">
        <v>0.928917</v>
      </c>
      <c r="F228" s="231">
        <v>0.0793</v>
      </c>
      <c r="G228" s="230">
        <v>0.015147</v>
      </c>
      <c r="H228" s="12"/>
      <c r="J228" s="12">
        <v>587</v>
      </c>
      <c r="K228" s="231">
        <v>2.42209259140342e-5</v>
      </c>
      <c r="L228" s="231">
        <v>0.461259355416187</v>
      </c>
      <c r="M228" s="231">
        <v>0.896811661555966</v>
      </c>
      <c r="N228" s="231">
        <v>0.0682920994670553</v>
      </c>
      <c r="O228" s="231">
        <v>0.0126175293484451</v>
      </c>
      <c r="P228" s="12"/>
      <c r="Q228" s="230"/>
      <c r="R228" s="231"/>
      <c r="S228" s="230"/>
      <c r="T228" s="230"/>
    </row>
    <row r="229" ht="15" customHeight="1" spans="2:20">
      <c r="B229" s="12">
        <v>588</v>
      </c>
      <c r="C229" s="230">
        <v>2.90288e-5</v>
      </c>
      <c r="D229" s="230">
        <v>0.48535</v>
      </c>
      <c r="E229" s="230">
        <v>0.922177</v>
      </c>
      <c r="F229" s="231">
        <v>0.0745</v>
      </c>
      <c r="G229" s="230">
        <v>0.0139314</v>
      </c>
      <c r="H229" s="12"/>
      <c r="J229" s="12">
        <v>588</v>
      </c>
      <c r="K229" s="231">
        <v>2.20890619224674e-5</v>
      </c>
      <c r="L229" s="231">
        <v>0.446206586677893</v>
      </c>
      <c r="M229" s="231">
        <v>0.888790486740716</v>
      </c>
      <c r="N229" s="231">
        <v>0.0640492907293309</v>
      </c>
      <c r="O229" s="231">
        <v>0.0115851919881547</v>
      </c>
      <c r="P229" s="12"/>
      <c r="Q229" s="230"/>
      <c r="R229" s="231"/>
      <c r="S229" s="230"/>
      <c r="T229" s="230"/>
    </row>
    <row r="230" ht="15" customHeight="1" spans="2:20">
      <c r="B230" s="12">
        <v>589</v>
      </c>
      <c r="C230" s="230">
        <v>2.65294e-5</v>
      </c>
      <c r="D230" s="230">
        <v>0.469777</v>
      </c>
      <c r="E230" s="230">
        <v>0.914729</v>
      </c>
      <c r="F230" s="231">
        <v>0.0699</v>
      </c>
      <c r="G230" s="230">
        <v>0.012812</v>
      </c>
      <c r="H230" s="12"/>
      <c r="J230" s="12">
        <v>589</v>
      </c>
      <c r="K230" s="231">
        <v>2.01529045814739e-5</v>
      </c>
      <c r="L230" s="231">
        <v>0.431156288075348</v>
      </c>
      <c r="M230" s="231">
        <v>0.880115339476211</v>
      </c>
      <c r="N230" s="231">
        <v>0.0599925412911059</v>
      </c>
      <c r="O230" s="231">
        <v>0.0106362230098859</v>
      </c>
      <c r="P230" s="12"/>
      <c r="Q230" s="230"/>
      <c r="R230" s="231"/>
      <c r="S230" s="230"/>
      <c r="T230" s="230"/>
    </row>
    <row r="231" ht="15" customHeight="1" spans="2:20">
      <c r="B231" s="12">
        <v>590</v>
      </c>
      <c r="C231" s="230">
        <v>2.42549e-5</v>
      </c>
      <c r="D231" s="230">
        <v>0.454142</v>
      </c>
      <c r="E231" s="230">
        <v>0.906693</v>
      </c>
      <c r="F231" s="231">
        <v>0.0655</v>
      </c>
      <c r="G231" s="230">
        <v>0.0117901</v>
      </c>
      <c r="H231" s="12"/>
      <c r="J231" s="12">
        <v>590</v>
      </c>
      <c r="K231" s="231">
        <v>1.83938648980319e-5</v>
      </c>
      <c r="L231" s="231">
        <v>0.416100200945319</v>
      </c>
      <c r="M231" s="231">
        <v>0.870904808511258</v>
      </c>
      <c r="N231" s="231">
        <v>0.0561209050881458</v>
      </c>
      <c r="O231" s="231">
        <v>0.00977127590703053</v>
      </c>
      <c r="P231" s="12"/>
      <c r="Q231" s="230"/>
      <c r="R231" s="231"/>
      <c r="S231" s="230"/>
      <c r="T231" s="230"/>
    </row>
    <row r="232" ht="15" customHeight="1" spans="2:20">
      <c r="B232" s="12">
        <v>591</v>
      </c>
      <c r="C232" s="230">
        <v>2.21847e-5</v>
      </c>
      <c r="D232" s="230">
        <v>0.438454</v>
      </c>
      <c r="E232" s="230">
        <v>0.89817</v>
      </c>
      <c r="F232" s="231">
        <v>0.0613</v>
      </c>
      <c r="G232" s="230">
        <v>0.0108488</v>
      </c>
      <c r="H232" s="12"/>
      <c r="J232" s="12">
        <v>591</v>
      </c>
      <c r="K232" s="231">
        <v>1.6795448084001e-5</v>
      </c>
      <c r="L232" s="231">
        <v>0.401046586821617</v>
      </c>
      <c r="M232" s="231">
        <v>0.861258460794833</v>
      </c>
      <c r="N232" s="231">
        <v>0.0524334424593578</v>
      </c>
      <c r="O232" s="231">
        <v>0.00897594166632385</v>
      </c>
      <c r="P232" s="12"/>
      <c r="Q232" s="230"/>
      <c r="R232" s="231"/>
      <c r="S232" s="230"/>
      <c r="T232" s="230"/>
    </row>
    <row r="233" ht="15" customHeight="1" spans="2:20">
      <c r="B233" s="12">
        <v>592</v>
      </c>
      <c r="C233" s="230">
        <v>2.02996e-5</v>
      </c>
      <c r="D233" s="230">
        <v>0.422778</v>
      </c>
      <c r="E233" s="230">
        <v>0.889188</v>
      </c>
      <c r="F233" s="231">
        <v>0.0574</v>
      </c>
      <c r="G233" s="230">
        <v>0.00997112</v>
      </c>
      <c r="H233" s="12"/>
      <c r="J233" s="12">
        <v>592</v>
      </c>
      <c r="K233" s="231">
        <v>1.53423289150108e-5</v>
      </c>
      <c r="L233" s="231">
        <v>0.386054787162071</v>
      </c>
      <c r="M233" s="231">
        <v>0.851205308805469</v>
      </c>
      <c r="N233" s="231">
        <v>0.0490146114017729</v>
      </c>
      <c r="O233" s="231">
        <v>0.00823584255512657</v>
      </c>
      <c r="P233" s="12"/>
      <c r="Q233" s="230"/>
      <c r="R233" s="231"/>
      <c r="S233" s="230"/>
      <c r="T233" s="230"/>
    </row>
    <row r="234" ht="15" customHeight="1" spans="2:20">
      <c r="B234" s="12">
        <v>593</v>
      </c>
      <c r="C234" s="230">
        <v>1.85826e-5</v>
      </c>
      <c r="D234" s="230">
        <v>0.407188</v>
      </c>
      <c r="E234" s="230">
        <v>0.879759</v>
      </c>
      <c r="F234" s="231">
        <v>0.0537</v>
      </c>
      <c r="G234" s="230">
        <v>0.0091585</v>
      </c>
      <c r="H234" s="12"/>
      <c r="J234" s="12">
        <v>593</v>
      </c>
      <c r="K234" s="231">
        <v>1.40209454851385e-5</v>
      </c>
      <c r="L234" s="231">
        <v>0.371191947530865</v>
      </c>
      <c r="M234" s="231">
        <v>0.840758878609378</v>
      </c>
      <c r="N234" s="231">
        <v>0.0457778055921559</v>
      </c>
      <c r="O234" s="231">
        <v>0.00755188652828475</v>
      </c>
      <c r="P234" s="12"/>
      <c r="Q234" s="230"/>
      <c r="R234" s="231"/>
      <c r="S234" s="230"/>
      <c r="T234" s="230"/>
    </row>
    <row r="235" ht="15" customHeight="1" spans="2:20">
      <c r="B235" s="12">
        <v>594</v>
      </c>
      <c r="C235" s="230">
        <v>1.70182e-5</v>
      </c>
      <c r="D235" s="230">
        <v>0.391752</v>
      </c>
      <c r="E235" s="230">
        <v>0.869894</v>
      </c>
      <c r="F235" s="231">
        <v>0.0502</v>
      </c>
      <c r="G235" s="230">
        <v>0.00841242</v>
      </c>
      <c r="H235" s="12"/>
      <c r="J235" s="12">
        <v>594</v>
      </c>
      <c r="K235" s="231">
        <v>1.28189570892451e-5</v>
      </c>
      <c r="L235" s="231">
        <v>0.356519300950898</v>
      </c>
      <c r="M235" s="231">
        <v>0.829931651127484</v>
      </c>
      <c r="N235" s="231">
        <v>0.0427221057110726</v>
      </c>
      <c r="O235" s="231">
        <v>0.00692500835401493</v>
      </c>
      <c r="P235" s="12"/>
      <c r="Q235" s="230"/>
      <c r="R235" s="231"/>
      <c r="S235" s="230"/>
      <c r="T235" s="230"/>
    </row>
    <row r="236" ht="15" customHeight="1" spans="2:20">
      <c r="B236" s="12">
        <v>595</v>
      </c>
      <c r="C236" s="230">
        <v>1.55924e-5</v>
      </c>
      <c r="D236" s="230">
        <v>0.376527</v>
      </c>
      <c r="E236" s="230">
        <v>0.859605</v>
      </c>
      <c r="F236" s="231">
        <v>0.0469</v>
      </c>
      <c r="G236" s="230">
        <v>0.0077343</v>
      </c>
      <c r="H236" s="12"/>
      <c r="J236" s="12">
        <v>595</v>
      </c>
      <c r="K236" s="231">
        <v>1.17252339607846e-5</v>
      </c>
      <c r="L236" s="231">
        <v>0.342087674917764</v>
      </c>
      <c r="M236" s="231">
        <v>0.818736975832562</v>
      </c>
      <c r="N236" s="231">
        <v>0.0398465986193876</v>
      </c>
      <c r="O236" s="231">
        <v>0.00635608720807142</v>
      </c>
      <c r="P236" s="12"/>
      <c r="Q236" s="230"/>
      <c r="R236" s="231"/>
      <c r="S236" s="230"/>
      <c r="T236" s="230"/>
    </row>
    <row r="237" ht="15" customHeight="1" spans="2:20">
      <c r="B237" s="12">
        <v>596</v>
      </c>
      <c r="C237" s="230">
        <v>1.42924e-5</v>
      </c>
      <c r="D237" s="230">
        <v>0.361559</v>
      </c>
      <c r="E237" s="230">
        <v>0.848912</v>
      </c>
      <c r="F237" s="231">
        <v>0.0438</v>
      </c>
      <c r="G237" s="230">
        <v>0.00711255</v>
      </c>
      <c r="H237" s="12"/>
      <c r="J237" s="12">
        <v>596</v>
      </c>
      <c r="K237" s="231">
        <v>1.07296218962642e-5</v>
      </c>
      <c r="L237" s="231">
        <v>0.327937578694443</v>
      </c>
      <c r="M237" s="231">
        <v>0.807195719476593</v>
      </c>
      <c r="N237" s="231">
        <v>0.0371503773064159</v>
      </c>
      <c r="O237" s="231">
        <v>0.00583532262037791</v>
      </c>
      <c r="P237" s="12"/>
      <c r="Q237" s="230"/>
      <c r="R237" s="231"/>
      <c r="S237" s="230"/>
      <c r="T237" s="230"/>
    </row>
    <row r="238" ht="15" customHeight="1" spans="2:20">
      <c r="B238" s="12">
        <v>597</v>
      </c>
      <c r="C238" s="230">
        <v>1.31066e-5</v>
      </c>
      <c r="D238" s="230">
        <v>0.346856</v>
      </c>
      <c r="E238" s="230">
        <v>0.837865</v>
      </c>
      <c r="F238" s="231">
        <v>0.0409</v>
      </c>
      <c r="G238" s="230">
        <v>0.00653476</v>
      </c>
      <c r="H238" s="12"/>
      <c r="J238" s="12">
        <v>597</v>
      </c>
      <c r="K238" s="231">
        <v>9.82293408470004e-6</v>
      </c>
      <c r="L238" s="231">
        <v>0.314074841482932</v>
      </c>
      <c r="M238" s="231">
        <v>0.795357086992636</v>
      </c>
      <c r="N238" s="231">
        <v>0.0346325408385962</v>
      </c>
      <c r="O238" s="231">
        <v>0.00535230816301986</v>
      </c>
      <c r="P238" s="12"/>
      <c r="Q238" s="230"/>
      <c r="R238" s="231"/>
      <c r="S238" s="230"/>
      <c r="T238" s="230"/>
    </row>
    <row r="239" ht="15" customHeight="1" spans="2:20">
      <c r="B239" s="12">
        <v>598</v>
      </c>
      <c r="C239" s="230">
        <v>1.20248e-5</v>
      </c>
      <c r="D239" s="230">
        <v>0.332422</v>
      </c>
      <c r="E239" s="230">
        <v>0.826522</v>
      </c>
      <c r="F239" s="232">
        <v>0.03816</v>
      </c>
      <c r="G239" s="230">
        <v>0.0060011</v>
      </c>
      <c r="H239" s="12"/>
      <c r="J239" s="12">
        <v>598</v>
      </c>
      <c r="K239" s="231">
        <v>8.99709266133418e-6</v>
      </c>
      <c r="L239" s="231">
        <v>0.300501637588375</v>
      </c>
      <c r="M239" s="231">
        <v>0.783277535615697</v>
      </c>
      <c r="N239" s="231">
        <v>0.0322583804926485</v>
      </c>
      <c r="O239" s="231">
        <v>0.00490699346006945</v>
      </c>
      <c r="P239" s="12"/>
      <c r="Q239" s="230"/>
      <c r="R239" s="232"/>
      <c r="S239" s="230"/>
      <c r="T239" s="230"/>
    </row>
    <row r="240" ht="15" customHeight="1" spans="2:20">
      <c r="B240" s="12">
        <v>599</v>
      </c>
      <c r="C240" s="230">
        <v>1.10373e-5</v>
      </c>
      <c r="D240" s="230">
        <v>0.318261</v>
      </c>
      <c r="E240" s="230">
        <v>0.81494</v>
      </c>
      <c r="F240" s="232">
        <v>0.03558</v>
      </c>
      <c r="G240" s="230">
        <v>0.00551174</v>
      </c>
      <c r="H240" s="12"/>
      <c r="J240" s="12">
        <v>599</v>
      </c>
      <c r="K240" s="231">
        <v>8.24444718490306e-6</v>
      </c>
      <c r="L240" s="231">
        <v>0.287220126796347</v>
      </c>
      <c r="M240" s="231">
        <v>0.771012199473977</v>
      </c>
      <c r="N240" s="231">
        <v>0.0300271766886637</v>
      </c>
      <c r="O240" s="231">
        <v>0.00449932847199903</v>
      </c>
      <c r="P240" s="12"/>
      <c r="Q240" s="230"/>
      <c r="R240" s="232"/>
      <c r="S240" s="230"/>
      <c r="T240" s="230"/>
    </row>
    <row r="241" ht="15" customHeight="1" spans="2:20">
      <c r="B241" s="12">
        <v>600</v>
      </c>
      <c r="C241" s="230">
        <v>1.01356e-5</v>
      </c>
      <c r="D241" s="230">
        <v>0.304378</v>
      </c>
      <c r="E241" s="230">
        <v>0.803173</v>
      </c>
      <c r="F241" s="232">
        <v>0.03315</v>
      </c>
      <c r="G241" s="230">
        <v>0.00506686</v>
      </c>
      <c r="H241" s="12"/>
      <c r="J241" s="12">
        <v>600</v>
      </c>
      <c r="K241" s="231">
        <v>7.55829307794098e-6</v>
      </c>
      <c r="L241" s="231">
        <v>0.274233355456983</v>
      </c>
      <c r="M241" s="231">
        <v>0.758613011574634</v>
      </c>
      <c r="N241" s="231">
        <v>0.0279297893681043</v>
      </c>
      <c r="O241" s="231">
        <v>0.00412927164244508</v>
      </c>
      <c r="P241" s="12"/>
      <c r="Q241" s="230"/>
      <c r="R241" s="232"/>
      <c r="S241" s="230"/>
      <c r="T241" s="230"/>
    </row>
    <row r="242" ht="15" customHeight="1" spans="2:20">
      <c r="B242" s="12">
        <v>601</v>
      </c>
      <c r="C242" s="230">
        <v>9.31202e-6</v>
      </c>
      <c r="D242" s="230">
        <v>0.290784</v>
      </c>
      <c r="E242" s="230">
        <v>0.791253</v>
      </c>
      <c r="F242" s="232">
        <v>0.03087</v>
      </c>
      <c r="G242" s="230">
        <v>0.00465869</v>
      </c>
      <c r="H242" s="12"/>
      <c r="J242" s="12">
        <v>601</v>
      </c>
      <c r="K242" s="231">
        <v>6.93258085659436e-6</v>
      </c>
      <c r="L242" s="231">
        <v>0.261549746429349</v>
      </c>
      <c r="M242" s="231">
        <v>0.746110814414272</v>
      </c>
      <c r="N242" s="231">
        <v>0.0259655505618353</v>
      </c>
      <c r="O242" s="231">
        <v>0.00379031356585446</v>
      </c>
      <c r="P242" s="12"/>
      <c r="Q242" s="230"/>
      <c r="R242" s="232"/>
      <c r="S242" s="230"/>
      <c r="T242" s="230"/>
    </row>
    <row r="243" ht="15" customHeight="1" spans="2:20">
      <c r="B243" s="12">
        <v>602</v>
      </c>
      <c r="C243" s="230">
        <v>8.55941e-6</v>
      </c>
      <c r="D243" s="230">
        <v>0.277506</v>
      </c>
      <c r="E243" s="230">
        <v>0.779118</v>
      </c>
      <c r="F243" s="232">
        <v>0.02874</v>
      </c>
      <c r="G243" s="230">
        <v>0.00427946</v>
      </c>
      <c r="H243" s="12"/>
      <c r="J243" s="12">
        <v>602</v>
      </c>
      <c r="K243" s="231">
        <v>6.36169515006992e-6</v>
      </c>
      <c r="L243" s="231">
        <v>0.249192034125011</v>
      </c>
      <c r="M243" s="231">
        <v>0.733447755636556</v>
      </c>
      <c r="N243" s="231">
        <v>0.0241337967390544</v>
      </c>
      <c r="O243" s="231">
        <v>0.00347598808853815</v>
      </c>
      <c r="P243" s="12"/>
      <c r="Q243" s="230"/>
      <c r="R243" s="232"/>
      <c r="S243" s="230"/>
      <c r="T243" s="230"/>
    </row>
    <row r="244" ht="15" customHeight="1" spans="2:20">
      <c r="B244" s="12">
        <v>603</v>
      </c>
      <c r="C244" s="230">
        <v>7.87141e-6</v>
      </c>
      <c r="D244" s="230">
        <v>0.264575</v>
      </c>
      <c r="E244" s="230">
        <v>0.766691</v>
      </c>
      <c r="F244" s="232">
        <v>0.02674</v>
      </c>
      <c r="G244" s="230">
        <v>0.00392939</v>
      </c>
      <c r="H244" s="12"/>
      <c r="J244" s="12">
        <v>603</v>
      </c>
      <c r="K244" s="231">
        <v>5.84064402293315e-6</v>
      </c>
      <c r="L244" s="231">
        <v>0.237186388069742</v>
      </c>
      <c r="M244" s="231">
        <v>0.720552269334349</v>
      </c>
      <c r="N244" s="231">
        <v>0.0224171020524259</v>
      </c>
      <c r="O244" s="231">
        <v>0.00318635105873853</v>
      </c>
      <c r="P244" s="12"/>
      <c r="Q244" s="230"/>
      <c r="R244" s="232"/>
      <c r="S244" s="230"/>
      <c r="T244" s="230"/>
    </row>
    <row r="245" ht="15" customHeight="1" spans="2:20">
      <c r="B245" s="12">
        <v>604</v>
      </c>
      <c r="C245" s="230">
        <v>7.24221e-6</v>
      </c>
      <c r="D245" s="230">
        <v>0.252012</v>
      </c>
      <c r="E245" s="230">
        <v>0.7539</v>
      </c>
      <c r="F245" s="232">
        <v>0.02487</v>
      </c>
      <c r="G245" s="230">
        <v>0.00360872</v>
      </c>
      <c r="H245" s="12"/>
      <c r="J245" s="12">
        <v>604</v>
      </c>
      <c r="K245" s="231">
        <v>5.36487602729455e-6</v>
      </c>
      <c r="L245" s="231">
        <v>0.225549854516332</v>
      </c>
      <c r="M245" s="231">
        <v>0.707357954871734</v>
      </c>
      <c r="N245" s="231">
        <v>0.0208148950161743</v>
      </c>
      <c r="O245" s="231">
        <v>0.00292147414603533</v>
      </c>
      <c r="P245" s="12"/>
      <c r="Q245" s="230"/>
      <c r="R245" s="232"/>
      <c r="S245" s="230"/>
      <c r="T245" s="230"/>
    </row>
    <row r="246" ht="15" customHeight="1" spans="2:20">
      <c r="B246" s="12">
        <v>605</v>
      </c>
      <c r="C246" s="230">
        <v>6.66657e-6</v>
      </c>
      <c r="D246" s="230">
        <v>0.239837</v>
      </c>
      <c r="E246" s="230">
        <v>0.74068</v>
      </c>
      <c r="F246" s="232">
        <v>0.02312</v>
      </c>
      <c r="G246" s="230">
        <v>0.00331766</v>
      </c>
      <c r="H246" s="12"/>
      <c r="J246" s="12">
        <v>605</v>
      </c>
      <c r="K246" s="231">
        <v>4.93029135350521e-6</v>
      </c>
      <c r="L246" s="231">
        <v>0.214298473497921</v>
      </c>
      <c r="M246" s="231">
        <v>0.693805407624036</v>
      </c>
      <c r="N246" s="231">
        <v>0.0193182522774936</v>
      </c>
      <c r="O246" s="231">
        <v>0.00268140429951339</v>
      </c>
      <c r="P246" s="12"/>
      <c r="Q246" s="230"/>
      <c r="R246" s="232"/>
      <c r="S246" s="230"/>
      <c r="T246" s="230"/>
    </row>
    <row r="247" ht="15" customHeight="1" spans="2:20">
      <c r="B247" s="12">
        <v>606</v>
      </c>
      <c r="C247" s="230">
        <v>6.1397e-6</v>
      </c>
      <c r="D247" s="230">
        <v>0.228065</v>
      </c>
      <c r="E247" s="230">
        <v>0.726995</v>
      </c>
      <c r="F247" s="232">
        <v>0.02147</v>
      </c>
      <c r="G247" s="230">
        <v>0.00305109</v>
      </c>
      <c r="H247" s="12"/>
      <c r="J247" s="12">
        <v>606</v>
      </c>
      <c r="K247" s="231">
        <v>4.53314950368393e-6</v>
      </c>
      <c r="L247" s="231">
        <v>0.20344371895933</v>
      </c>
      <c r="M247" s="231">
        <v>0.679862734959276</v>
      </c>
      <c r="N247" s="231">
        <v>0.0179099675263414</v>
      </c>
      <c r="O247" s="231">
        <v>0.00246188744612932</v>
      </c>
      <c r="P247" s="12"/>
      <c r="Q247" s="230"/>
      <c r="R247" s="232"/>
      <c r="S247" s="230"/>
      <c r="T247" s="230"/>
    </row>
    <row r="248" ht="15" customHeight="1" spans="2:20">
      <c r="B248" s="12">
        <v>607</v>
      </c>
      <c r="C248" s="230">
        <v>5.65727e-6</v>
      </c>
      <c r="D248" s="230">
        <v>0.216703</v>
      </c>
      <c r="E248" s="230">
        <v>0.712905</v>
      </c>
      <c r="F248" s="232">
        <v>0.01994</v>
      </c>
      <c r="G248" s="230">
        <v>0.00280374</v>
      </c>
      <c r="H248" s="12"/>
      <c r="J248" s="12">
        <v>607</v>
      </c>
      <c r="K248" s="231">
        <v>4.17007370315944e-6</v>
      </c>
      <c r="L248" s="231">
        <v>0.19298986464966</v>
      </c>
      <c r="M248" s="231">
        <v>0.665587882673953</v>
      </c>
      <c r="N248" s="231">
        <v>0.0166062602965404</v>
      </c>
      <c r="O248" s="231">
        <v>0.00225857671248838</v>
      </c>
      <c r="P248" s="12"/>
      <c r="Q248" s="230"/>
      <c r="R248" s="232"/>
      <c r="S248" s="230"/>
      <c r="T248" s="230"/>
    </row>
    <row r="249" ht="15" customHeight="1" spans="2:20">
      <c r="B249" s="12">
        <v>608</v>
      </c>
      <c r="C249" s="230">
        <v>5.21535e-6</v>
      </c>
      <c r="D249" s="230">
        <v>0.205754</v>
      </c>
      <c r="E249" s="230">
        <v>0.698491</v>
      </c>
      <c r="F249" s="232">
        <v>0.01851</v>
      </c>
      <c r="G249" s="230">
        <v>0.0025756</v>
      </c>
      <c r="H249" s="12"/>
      <c r="J249" s="12">
        <v>608</v>
      </c>
      <c r="K249" s="231">
        <v>3.83800375500705e-6</v>
      </c>
      <c r="L249" s="231">
        <v>0.182937599767836</v>
      </c>
      <c r="M249" s="231">
        <v>0.651057989277713</v>
      </c>
      <c r="N249" s="231">
        <v>0.0153899857467138</v>
      </c>
      <c r="O249" s="231">
        <v>0.0020713840918478</v>
      </c>
      <c r="P249" s="12"/>
      <c r="Q249" s="230"/>
      <c r="R249" s="232"/>
      <c r="S249" s="230"/>
      <c r="T249" s="230"/>
    </row>
    <row r="250" ht="15" customHeight="1" spans="2:20">
      <c r="B250" s="12">
        <v>609</v>
      </c>
      <c r="C250" s="230">
        <v>4.81036e-6</v>
      </c>
      <c r="D250" s="230">
        <v>0.195221</v>
      </c>
      <c r="E250" s="230">
        <v>0.683829</v>
      </c>
      <c r="F250" s="232">
        <v>0.01718</v>
      </c>
      <c r="G250" s="230">
        <v>0.00236668</v>
      </c>
      <c r="H250" s="12"/>
      <c r="J250" s="12">
        <v>609</v>
      </c>
      <c r="K250" s="231">
        <v>3.53415670604185e-6</v>
      </c>
      <c r="L250" s="231">
        <v>0.173287608986026</v>
      </c>
      <c r="M250" s="231">
        <v>0.636345033815136</v>
      </c>
      <c r="N250" s="231">
        <v>0.0142607131740048</v>
      </c>
      <c r="O250" s="231">
        <v>0.00190023821376649</v>
      </c>
      <c r="P250" s="12"/>
      <c r="Q250" s="230"/>
      <c r="R250" s="232"/>
      <c r="S250" s="230"/>
      <c r="T250" s="230"/>
    </row>
    <row r="251" ht="15" customHeight="1" spans="2:20">
      <c r="B251" s="12">
        <v>610</v>
      </c>
      <c r="C251" s="230">
        <v>4.43906e-6</v>
      </c>
      <c r="D251" s="230">
        <v>0.185104</v>
      </c>
      <c r="E251" s="230">
        <v>0.668991</v>
      </c>
      <c r="F251" s="232">
        <v>0.01593</v>
      </c>
      <c r="G251" s="230">
        <v>0.00217698</v>
      </c>
      <c r="H251" s="12"/>
      <c r="J251" s="12">
        <v>610</v>
      </c>
      <c r="K251" s="231">
        <v>3.25601723940398e-6</v>
      </c>
      <c r="L251" s="231">
        <v>0.164037913907016</v>
      </c>
      <c r="M251" s="231">
        <v>0.621516807192562</v>
      </c>
      <c r="N251" s="231">
        <v>0.013201440386734</v>
      </c>
      <c r="O251" s="231">
        <v>0.0017450601598384</v>
      </c>
      <c r="P251" s="12"/>
      <c r="Q251" s="230"/>
      <c r="R251" s="232"/>
      <c r="S251" s="230"/>
      <c r="T251" s="230"/>
    </row>
    <row r="252" ht="15" customHeight="1" spans="2:20">
      <c r="B252" s="12">
        <v>611</v>
      </c>
      <c r="C252" s="230">
        <v>4.0985e-6</v>
      </c>
      <c r="D252" s="230">
        <v>0.175398</v>
      </c>
      <c r="E252" s="230">
        <v>0.654037</v>
      </c>
      <c r="F252" s="232">
        <v>0.01477</v>
      </c>
      <c r="G252" s="230">
        <v>0.00200317</v>
      </c>
      <c r="H252" s="12"/>
      <c r="J252" s="12">
        <v>611</v>
      </c>
      <c r="K252" s="231">
        <v>3.00129886980735e-6</v>
      </c>
      <c r="L252" s="231">
        <v>0.155182125371236</v>
      </c>
      <c r="M252" s="231">
        <v>0.606629526326036</v>
      </c>
      <c r="N252" s="231">
        <v>0.0122200972803845</v>
      </c>
      <c r="O252" s="231">
        <v>0.00160310657979632</v>
      </c>
      <c r="P252" s="12"/>
      <c r="Q252" s="230"/>
      <c r="R252" s="232"/>
      <c r="S252" s="230"/>
      <c r="T252" s="230"/>
    </row>
    <row r="253" ht="15" customHeight="1" spans="2:20">
      <c r="B253" s="12">
        <v>612</v>
      </c>
      <c r="C253" s="230">
        <v>3.78599e-6</v>
      </c>
      <c r="D253" s="230">
        <v>0.166091</v>
      </c>
      <c r="E253" s="230">
        <v>0.638979</v>
      </c>
      <c r="F253" s="232">
        <v>0.01369</v>
      </c>
      <c r="G253" s="230">
        <v>0.0018419</v>
      </c>
      <c r="H253" s="12"/>
      <c r="J253" s="12">
        <v>612</v>
      </c>
      <c r="K253" s="231">
        <v>2.76792014113656e-6</v>
      </c>
      <c r="L253" s="231">
        <v>0.146707712898029</v>
      </c>
      <c r="M253" s="231">
        <v>0.591694592697874</v>
      </c>
      <c r="N253" s="231">
        <v>0.011308041772376</v>
      </c>
      <c r="O253" s="231">
        <v>0.00147163607422325</v>
      </c>
      <c r="P253" s="12"/>
      <c r="Q253" s="230"/>
      <c r="R253" s="232"/>
      <c r="S253" s="230"/>
      <c r="T253" s="230"/>
    </row>
    <row r="254" ht="15" customHeight="1" spans="2:20">
      <c r="B254" s="12">
        <v>613</v>
      </c>
      <c r="C254" s="230">
        <v>3.49911e-6</v>
      </c>
      <c r="D254" s="230">
        <v>0.157169</v>
      </c>
      <c r="E254" s="230">
        <v>0.623825</v>
      </c>
      <c r="F254" s="232">
        <v>0.01269</v>
      </c>
      <c r="G254" s="230">
        <v>0.00169317</v>
      </c>
      <c r="H254" s="12"/>
      <c r="J254" s="12">
        <v>613</v>
      </c>
      <c r="K254" s="231">
        <v>2.55401025313268e-6</v>
      </c>
      <c r="L254" s="231">
        <v>0.138600464059211</v>
      </c>
      <c r="M254" s="231">
        <v>0.576719635434635</v>
      </c>
      <c r="N254" s="231">
        <v>0.0104649347716886</v>
      </c>
      <c r="O254" s="231">
        <v>0.00135059733932898</v>
      </c>
      <c r="P254" s="12"/>
      <c r="Q254" s="230"/>
      <c r="R254" s="232"/>
      <c r="S254" s="230"/>
      <c r="T254" s="230"/>
    </row>
    <row r="255" ht="15" customHeight="1" spans="2:20">
      <c r="B255" s="12">
        <v>614</v>
      </c>
      <c r="C255" s="230">
        <v>3.23563e-6</v>
      </c>
      <c r="D255" s="230">
        <v>0.14862</v>
      </c>
      <c r="E255" s="230">
        <v>0.608579</v>
      </c>
      <c r="F255" s="232">
        <v>0.01175</v>
      </c>
      <c r="G255" s="230">
        <v>0.00155692</v>
      </c>
      <c r="H255" s="12"/>
      <c r="J255" s="12">
        <v>614</v>
      </c>
      <c r="K255" s="231">
        <v>2.35784904883058e-6</v>
      </c>
      <c r="L255" s="231">
        <v>0.130848019855701</v>
      </c>
      <c r="M255" s="231">
        <v>0.561708542026635</v>
      </c>
      <c r="N255" s="231">
        <v>0.00967397305924288</v>
      </c>
      <c r="O255" s="231">
        <v>0.00123989162307081</v>
      </c>
      <c r="P255" s="12"/>
      <c r="Q255" s="230"/>
      <c r="R255" s="232"/>
      <c r="S255" s="230"/>
      <c r="T255" s="230"/>
    </row>
    <row r="256" ht="15" customHeight="1" spans="2:20">
      <c r="B256" s="12">
        <v>615</v>
      </c>
      <c r="C256" s="230">
        <v>2.99354e-6</v>
      </c>
      <c r="D256" s="230">
        <v>0.140431</v>
      </c>
      <c r="E256" s="230">
        <v>0.593248</v>
      </c>
      <c r="F256" s="232">
        <v>0.01088</v>
      </c>
      <c r="G256" s="230">
        <v>0.00143314</v>
      </c>
      <c r="H256" s="12"/>
      <c r="J256" s="12">
        <v>615</v>
      </c>
      <c r="K256" s="231">
        <v>2.17788761569117e-6</v>
      </c>
      <c r="L256" s="231">
        <v>0.123437222683732</v>
      </c>
      <c r="M256" s="231">
        <v>0.546667939128661</v>
      </c>
      <c r="N256" s="231">
        <v>0.00894312204907405</v>
      </c>
      <c r="O256" s="231">
        <v>0.00113946056968245</v>
      </c>
      <c r="P256" s="12"/>
      <c r="Q256" s="230"/>
      <c r="R256" s="232"/>
      <c r="S256" s="230"/>
      <c r="T256" s="230"/>
    </row>
    <row r="257" ht="15" customHeight="1" spans="2:20">
      <c r="B257" s="12">
        <v>616</v>
      </c>
      <c r="C257" s="230"/>
      <c r="D257" s="230">
        <v>0.132591</v>
      </c>
      <c r="E257" s="230">
        <v>0.577857</v>
      </c>
      <c r="F257" s="232">
        <v>0.01007</v>
      </c>
      <c r="G257" s="230">
        <v>0.00131972</v>
      </c>
      <c r="H257" s="12"/>
      <c r="J257" s="12">
        <v>616</v>
      </c>
      <c r="K257" s="231" t="s">
        <v>387</v>
      </c>
      <c r="L257" s="231">
        <v>0.116356755501501</v>
      </c>
      <c r="M257" s="231">
        <v>0.531620970132589</v>
      </c>
      <c r="N257" s="231">
        <v>0.00826388255676119</v>
      </c>
      <c r="O257" s="231">
        <v>0.00104757924538928</v>
      </c>
      <c r="P257" s="12"/>
      <c r="Q257" s="230"/>
      <c r="R257" s="232"/>
      <c r="S257" s="230"/>
      <c r="T257" s="230"/>
    </row>
    <row r="258" ht="15" customHeight="1" spans="2:20">
      <c r="B258" s="12">
        <v>617</v>
      </c>
      <c r="C258" s="230"/>
      <c r="D258" s="230">
        <v>0.125092</v>
      </c>
      <c r="E258" s="230">
        <v>0.562493</v>
      </c>
      <c r="F258" s="231">
        <v>0.00932</v>
      </c>
      <c r="G258" s="230">
        <v>0.00121451</v>
      </c>
      <c r="H258" s="12"/>
      <c r="J258" s="12">
        <v>617</v>
      </c>
      <c r="K258" s="231" t="s">
        <v>387</v>
      </c>
      <c r="L258" s="231">
        <v>0.109598003052946</v>
      </c>
      <c r="M258" s="231">
        <v>0.516647575144609</v>
      </c>
      <c r="N258" s="231">
        <v>0.00763600363489171</v>
      </c>
      <c r="O258" s="231">
        <v>0.000962502199032011</v>
      </c>
      <c r="P258" s="12"/>
      <c r="Q258" s="230"/>
      <c r="R258" s="231"/>
      <c r="S258" s="230"/>
      <c r="T258" s="230"/>
    </row>
    <row r="259" ht="15" customHeight="1" spans="2:20">
      <c r="B259" s="12">
        <v>618</v>
      </c>
      <c r="C259" s="230"/>
      <c r="D259" s="230">
        <v>0.117928</v>
      </c>
      <c r="E259" s="230">
        <v>0.547248</v>
      </c>
      <c r="F259" s="231">
        <v>0.00862</v>
      </c>
      <c r="G259" s="230">
        <v>0.00111743</v>
      </c>
      <c r="H259" s="12"/>
      <c r="J259" s="12">
        <v>618</v>
      </c>
      <c r="K259" s="231" t="s">
        <v>387</v>
      </c>
      <c r="L259" s="231">
        <v>0.103154155287148</v>
      </c>
      <c r="M259" s="231">
        <v>0.501831761908064</v>
      </c>
      <c r="N259" s="231">
        <v>0.00705105608086395</v>
      </c>
      <c r="O259" s="231">
        <v>0.000884133102525344</v>
      </c>
      <c r="P259" s="12"/>
      <c r="Q259" s="230"/>
      <c r="R259" s="231"/>
      <c r="S259" s="230"/>
      <c r="T259" s="230"/>
    </row>
    <row r="260" ht="15" customHeight="1" spans="2:20">
      <c r="B260" s="12">
        <v>619</v>
      </c>
      <c r="C260" s="230"/>
      <c r="D260" s="230">
        <v>0.111091</v>
      </c>
      <c r="E260" s="230">
        <v>0.532209</v>
      </c>
      <c r="F260" s="231">
        <v>0.00797</v>
      </c>
      <c r="G260" s="230">
        <v>0.00102839</v>
      </c>
      <c r="H260" s="12"/>
      <c r="J260" s="12">
        <v>619</v>
      </c>
      <c r="K260" s="231" t="s">
        <v>387</v>
      </c>
      <c r="L260" s="231">
        <v>0.0970166995432495</v>
      </c>
      <c r="M260" s="231">
        <v>0.487252417663616</v>
      </c>
      <c r="N260" s="231">
        <v>0.0065088318266593</v>
      </c>
      <c r="O260" s="231">
        <v>0.000812368350840496</v>
      </c>
      <c r="P260" s="12"/>
      <c r="Q260" s="230"/>
      <c r="R260" s="231"/>
      <c r="S260" s="230"/>
      <c r="T260" s="230"/>
    </row>
    <row r="261" ht="15" customHeight="1" spans="2:20">
      <c r="B261" s="12">
        <v>620</v>
      </c>
      <c r="C261" s="230"/>
      <c r="D261" s="230">
        <v>0.104573</v>
      </c>
      <c r="E261" s="230">
        <v>0.517449</v>
      </c>
      <c r="F261" s="231">
        <v>0.00737</v>
      </c>
      <c r="G261" s="230">
        <v>0.000947313</v>
      </c>
      <c r="H261" s="12"/>
      <c r="J261" s="12">
        <v>620</v>
      </c>
      <c r="K261" s="231" t="s">
        <v>387</v>
      </c>
      <c r="L261" s="231">
        <v>0.0911771780807877</v>
      </c>
      <c r="M261" s="231">
        <v>0.472975123978572</v>
      </c>
      <c r="N261" s="231">
        <v>0.00600912414663345</v>
      </c>
      <c r="O261" s="231">
        <v>0.000747115260049632</v>
      </c>
      <c r="P261" s="12"/>
      <c r="Q261" s="230"/>
      <c r="R261" s="231"/>
      <c r="S261" s="230"/>
      <c r="T261" s="230"/>
    </row>
    <row r="262" ht="15" customHeight="1" spans="2:20">
      <c r="B262" s="12">
        <v>621</v>
      </c>
      <c r="C262" s="230"/>
      <c r="D262" s="230">
        <v>0.0983663</v>
      </c>
      <c r="E262" s="230">
        <v>0.502993</v>
      </c>
      <c r="F262" s="231">
        <v>0.00682</v>
      </c>
      <c r="G262" s="230">
        <v>0.000872814</v>
      </c>
      <c r="H262" s="12"/>
      <c r="J262" s="12">
        <v>621</v>
      </c>
      <c r="K262" s="231" t="s">
        <v>387</v>
      </c>
      <c r="L262" s="231">
        <v>0.0856274487862307</v>
      </c>
      <c r="M262" s="231">
        <v>0.459021236165729</v>
      </c>
      <c r="N262" s="231">
        <v>0.00555172764670824</v>
      </c>
      <c r="O262" s="231">
        <v>0.000687251826895214</v>
      </c>
      <c r="P262" s="12"/>
      <c r="Q262" s="230"/>
      <c r="R262" s="231"/>
      <c r="S262" s="230"/>
      <c r="T262" s="230"/>
    </row>
    <row r="263" ht="15" customHeight="1" spans="2:20">
      <c r="B263" s="12">
        <v>622</v>
      </c>
      <c r="C263" s="230"/>
      <c r="D263" s="230">
        <v>0.0924685</v>
      </c>
      <c r="E263" s="230">
        <v>0.488692</v>
      </c>
      <c r="F263" s="231">
        <v>0.0063</v>
      </c>
      <c r="G263" s="230">
        <v>0.000803576</v>
      </c>
      <c r="H263" s="12"/>
      <c r="J263" s="12">
        <v>622</v>
      </c>
      <c r="K263" s="231" t="s">
        <v>387</v>
      </c>
      <c r="L263" s="231">
        <v>0.0803640281171183</v>
      </c>
      <c r="M263" s="231">
        <v>0.445253438612324</v>
      </c>
      <c r="N263" s="231">
        <v>0.0051201837022321</v>
      </c>
      <c r="O263" s="231">
        <v>0.000631716720543335</v>
      </c>
      <c r="P263" s="12"/>
      <c r="Q263" s="230"/>
      <c r="R263" s="231"/>
      <c r="S263" s="230"/>
      <c r="T263" s="230"/>
    </row>
    <row r="264" ht="15" customHeight="1" spans="2:20">
      <c r="B264" s="12">
        <v>623</v>
      </c>
      <c r="C264" s="230"/>
      <c r="D264" s="230">
        <v>0.0868759</v>
      </c>
      <c r="E264" s="230">
        <v>0.474376</v>
      </c>
      <c r="F264" s="231">
        <v>0.00582</v>
      </c>
      <c r="G264" s="230">
        <v>0.00073962</v>
      </c>
      <c r="H264" s="12"/>
      <c r="J264" s="12">
        <v>623</v>
      </c>
      <c r="K264" s="231" t="s">
        <v>387</v>
      </c>
      <c r="L264" s="231">
        <v>0.0753823268856109</v>
      </c>
      <c r="M264" s="231">
        <v>0.431516194693833</v>
      </c>
      <c r="N264" s="231">
        <v>0.00472248205290027</v>
      </c>
      <c r="O264" s="231">
        <v>0.000580505580599701</v>
      </c>
      <c r="P264" s="12"/>
      <c r="Q264" s="230"/>
      <c r="R264" s="231"/>
      <c r="S264" s="230"/>
      <c r="T264" s="230"/>
    </row>
    <row r="265" ht="15" customHeight="1" spans="2:20">
      <c r="B265" s="12">
        <v>624</v>
      </c>
      <c r="C265" s="230"/>
      <c r="D265" s="230">
        <v>0.0815834</v>
      </c>
      <c r="E265" s="230">
        <v>0.459896</v>
      </c>
      <c r="F265" s="231">
        <v>0.00538</v>
      </c>
      <c r="G265" s="230">
        <v>0.00068097</v>
      </c>
      <c r="H265" s="12"/>
      <c r="J265" s="12">
        <v>624</v>
      </c>
      <c r="K265" s="231" t="s">
        <v>387</v>
      </c>
      <c r="L265" s="231">
        <v>0.0706765724867576</v>
      </c>
      <c r="M265" s="231">
        <v>0.417674036855083</v>
      </c>
      <c r="N265" s="231">
        <v>0.00435845999537073</v>
      </c>
      <c r="O265" s="231">
        <v>0.000533616425457974</v>
      </c>
      <c r="P265" s="12"/>
      <c r="Q265" s="230"/>
      <c r="R265" s="231"/>
      <c r="S265" s="230"/>
      <c r="T265" s="230"/>
    </row>
    <row r="266" ht="15" customHeight="1" spans="2:20">
      <c r="B266" s="12">
        <v>625</v>
      </c>
      <c r="C266" s="230"/>
      <c r="D266" s="230">
        <v>0.0765841</v>
      </c>
      <c r="E266" s="230">
        <v>0.445125</v>
      </c>
      <c r="F266" s="231">
        <v>0.00497</v>
      </c>
      <c r="G266" s="230">
        <v>0.000627648</v>
      </c>
      <c r="H266" s="12"/>
      <c r="J266" s="12">
        <v>625</v>
      </c>
      <c r="K266" s="231" t="s">
        <v>387</v>
      </c>
      <c r="L266" s="231">
        <v>0.0662394723959913</v>
      </c>
      <c r="M266" s="231">
        <v>0.40361231279696</v>
      </c>
      <c r="N266" s="231">
        <v>0.00401986760280842</v>
      </c>
      <c r="O266" s="231">
        <v>0.000491045721477182</v>
      </c>
      <c r="P266" s="12"/>
      <c r="Q266" s="230"/>
      <c r="R266" s="231"/>
      <c r="S266" s="230"/>
      <c r="T266" s="230"/>
    </row>
    <row r="267" ht="15" customHeight="1" spans="2:20">
      <c r="B267" s="12">
        <v>626</v>
      </c>
      <c r="C267" s="230"/>
      <c r="D267" s="230">
        <v>0.0718683</v>
      </c>
      <c r="E267" s="230">
        <v>0.430007</v>
      </c>
      <c r="F267" s="231">
        <v>0.00459</v>
      </c>
      <c r="G267" s="230">
        <v>0.000578753</v>
      </c>
      <c r="H267" s="12"/>
      <c r="J267" s="12">
        <v>626</v>
      </c>
      <c r="K267" s="231" t="s">
        <v>387</v>
      </c>
      <c r="L267" s="231">
        <v>0.0620613627661261</v>
      </c>
      <c r="M267" s="231">
        <v>0.389281378469276</v>
      </c>
      <c r="N267" s="231">
        <v>0.00370658300780937</v>
      </c>
      <c r="O267" s="231">
        <v>0.000452068994280056</v>
      </c>
      <c r="P267" s="12"/>
      <c r="Q267" s="230"/>
      <c r="R267" s="231"/>
      <c r="S267" s="230"/>
      <c r="T267" s="230"/>
    </row>
    <row r="268" ht="15" customHeight="1" spans="2:20">
      <c r="B268" s="12">
        <v>627</v>
      </c>
      <c r="C268" s="230"/>
      <c r="D268" s="230">
        <v>0.0674186</v>
      </c>
      <c r="E268" s="230">
        <v>0.414687</v>
      </c>
      <c r="F268" s="231">
        <v>0.00424</v>
      </c>
      <c r="G268" s="230">
        <v>0.000533358</v>
      </c>
      <c r="H268" s="12"/>
      <c r="J268" s="12">
        <v>627</v>
      </c>
      <c r="K268" s="231" t="s">
        <v>387</v>
      </c>
      <c r="L268" s="231">
        <v>0.0581260027256218</v>
      </c>
      <c r="M268" s="231">
        <v>0.37481357976706</v>
      </c>
      <c r="N268" s="231">
        <v>0.00341848512043307</v>
      </c>
      <c r="O268" s="231">
        <v>0.000415946114900116</v>
      </c>
      <c r="P268" s="12"/>
      <c r="Q268" s="230"/>
      <c r="R268" s="231"/>
      <c r="S268" s="230"/>
      <c r="T268" s="230"/>
    </row>
    <row r="269" ht="15" customHeight="1" spans="2:20">
      <c r="B269" s="12">
        <v>628</v>
      </c>
      <c r="C269" s="230"/>
      <c r="D269" s="230">
        <v>0.0632176</v>
      </c>
      <c r="E269" s="230">
        <v>0.39934</v>
      </c>
      <c r="F269" s="232">
        <v>0.003913</v>
      </c>
      <c r="G269" s="230">
        <v>0.00049144</v>
      </c>
      <c r="H269" s="12"/>
      <c r="J269" s="12">
        <v>628</v>
      </c>
      <c r="K269" s="231" t="s">
        <v>387</v>
      </c>
      <c r="L269" s="231">
        <v>0.0544172548479803</v>
      </c>
      <c r="M269" s="231">
        <v>0.360367491848927</v>
      </c>
      <c r="N269" s="231">
        <v>0.0031498188834018</v>
      </c>
      <c r="O269" s="231">
        <v>0.000382645542021618</v>
      </c>
      <c r="P269" s="12"/>
      <c r="Q269" s="230"/>
      <c r="R269" s="232"/>
      <c r="S269" s="230"/>
      <c r="T269" s="230"/>
    </row>
    <row r="270" ht="15" customHeight="1" spans="2:20">
      <c r="B270" s="12">
        <v>629</v>
      </c>
      <c r="C270" s="230"/>
      <c r="D270" s="230">
        <v>0.0592492</v>
      </c>
      <c r="E270" s="230">
        <v>0.384122</v>
      </c>
      <c r="F270" s="232">
        <v>0.003613</v>
      </c>
      <c r="G270" s="230">
        <v>0.00045298</v>
      </c>
      <c r="H270" s="12"/>
      <c r="J270" s="12">
        <v>629</v>
      </c>
      <c r="K270" s="231" t="s">
        <v>387</v>
      </c>
      <c r="L270" s="231">
        <v>0.0509202015810227</v>
      </c>
      <c r="M270" s="231">
        <v>0.346083562958802</v>
      </c>
      <c r="N270" s="231">
        <v>0.00290370634957336</v>
      </c>
      <c r="O270" s="231">
        <v>0.000352139044442348</v>
      </c>
      <c r="P270" s="12"/>
      <c r="Q270" s="230"/>
      <c r="R270" s="232"/>
      <c r="S270" s="230"/>
      <c r="T270" s="230"/>
    </row>
    <row r="271" ht="15" customHeight="1" spans="2:20">
      <c r="B271" s="12">
        <v>630</v>
      </c>
      <c r="C271" s="230"/>
      <c r="D271" s="230">
        <v>0.055499</v>
      </c>
      <c r="E271" s="230">
        <v>0.369168</v>
      </c>
      <c r="F271" s="232">
        <v>0.003335</v>
      </c>
      <c r="G271" s="230">
        <v>0.000417955</v>
      </c>
      <c r="H271" s="12"/>
      <c r="J271" s="12">
        <v>630</v>
      </c>
      <c r="K271" s="231" t="s">
        <v>387</v>
      </c>
      <c r="L271" s="231">
        <v>0.0476214787893973</v>
      </c>
      <c r="M271" s="231">
        <v>0.332082459204495</v>
      </c>
      <c r="N271" s="231">
        <v>0.00267602808425276</v>
      </c>
      <c r="O271" s="231">
        <v>0.000324395465608762</v>
      </c>
      <c r="P271" s="12"/>
      <c r="Q271" s="230"/>
      <c r="R271" s="232"/>
      <c r="S271" s="230"/>
      <c r="T271" s="230"/>
    </row>
    <row r="272" ht="15" customHeight="1" spans="2:20">
      <c r="B272" s="12">
        <v>631</v>
      </c>
      <c r="C272" s="230"/>
      <c r="D272" s="230">
        <v>0.051955</v>
      </c>
      <c r="E272" s="230">
        <v>0.35458</v>
      </c>
      <c r="F272" s="232">
        <v>0.003079</v>
      </c>
      <c r="G272" s="230">
        <v>0.000385789</v>
      </c>
      <c r="H272" s="12"/>
      <c r="J272" s="12">
        <v>631</v>
      </c>
      <c r="K272" s="231" t="s">
        <v>387</v>
      </c>
      <c r="L272" s="231">
        <v>0.0445098631356096</v>
      </c>
      <c r="M272" s="231">
        <v>0.318454443901969</v>
      </c>
      <c r="N272" s="231">
        <v>0.00246669644432505</v>
      </c>
      <c r="O272" s="231">
        <v>0.00029895531613713</v>
      </c>
      <c r="P272" s="12"/>
      <c r="Q272" s="230"/>
      <c r="R272" s="232"/>
      <c r="S272" s="230"/>
      <c r="T272" s="230"/>
    </row>
    <row r="273" ht="15" customHeight="1" spans="2:20">
      <c r="B273" s="12">
        <v>632</v>
      </c>
      <c r="C273" s="230"/>
      <c r="D273" s="230">
        <v>0.0486103</v>
      </c>
      <c r="E273" s="230">
        <v>0.340389</v>
      </c>
      <c r="F273" s="232">
        <v>0.002842</v>
      </c>
      <c r="G273" s="230">
        <v>0.000355905</v>
      </c>
      <c r="H273" s="12"/>
      <c r="J273" s="12">
        <v>632</v>
      </c>
      <c r="K273" s="231" t="s">
        <v>387</v>
      </c>
      <c r="L273" s="231">
        <v>0.0415785645741373</v>
      </c>
      <c r="M273" s="231">
        <v>0.305225543645835</v>
      </c>
      <c r="N273" s="231">
        <v>0.00227322473750365</v>
      </c>
      <c r="O273" s="231">
        <v>0.000275361241111281</v>
      </c>
      <c r="P273" s="12"/>
      <c r="Q273" s="230"/>
      <c r="R273" s="232"/>
      <c r="S273" s="230"/>
      <c r="T273" s="230"/>
    </row>
    <row r="274" ht="15" customHeight="1" spans="2:20">
      <c r="B274" s="12">
        <v>633</v>
      </c>
      <c r="C274" s="230"/>
      <c r="D274" s="230">
        <v>0.0454591</v>
      </c>
      <c r="E274" s="230">
        <v>0.326609</v>
      </c>
      <c r="F274" s="232">
        <v>0.002623</v>
      </c>
      <c r="G274" s="230">
        <v>0.000328289</v>
      </c>
      <c r="H274" s="12"/>
      <c r="J274" s="12">
        <v>633</v>
      </c>
      <c r="K274" s="231" t="s">
        <v>387</v>
      </c>
      <c r="L274" s="231">
        <v>0.0388217753593758</v>
      </c>
      <c r="M274" s="231">
        <v>0.2924064008111</v>
      </c>
      <c r="N274" s="231">
        <v>0.00209473919388497</v>
      </c>
      <c r="O274" s="231">
        <v>0.000253593676771586</v>
      </c>
      <c r="P274" s="12"/>
      <c r="Q274" s="230"/>
      <c r="R274" s="232"/>
      <c r="S274" s="230"/>
      <c r="T274" s="230"/>
    </row>
    <row r="275" ht="15" customHeight="1" spans="2:20">
      <c r="B275" s="12">
        <v>634</v>
      </c>
      <c r="C275" s="230"/>
      <c r="D275" s="230">
        <v>0.0424945</v>
      </c>
      <c r="E275" s="230">
        <v>0.313249</v>
      </c>
      <c r="F275" s="232">
        <v>0.002421</v>
      </c>
      <c r="G275" s="230">
        <v>0.000302926</v>
      </c>
      <c r="H275" s="12"/>
      <c r="J275" s="12">
        <v>634</v>
      </c>
      <c r="K275" s="231" t="s">
        <v>387</v>
      </c>
      <c r="L275" s="231">
        <v>0.0362327864765036</v>
      </c>
      <c r="M275" s="231">
        <v>0.280003121290618</v>
      </c>
      <c r="N275" s="231">
        <v>0.00193037155630931</v>
      </c>
      <c r="O275" s="231">
        <v>0.000233632411536652</v>
      </c>
      <c r="P275" s="12"/>
      <c r="Q275" s="230"/>
      <c r="R275" s="232"/>
      <c r="S275" s="230"/>
      <c r="T275" s="230"/>
    </row>
    <row r="276" ht="15" customHeight="1" spans="2:20">
      <c r="B276" s="12">
        <v>635</v>
      </c>
      <c r="C276" s="230"/>
      <c r="D276" s="230">
        <v>0.0397097</v>
      </c>
      <c r="E276" s="230">
        <v>0.300316</v>
      </c>
      <c r="F276" s="232">
        <v>0.002235</v>
      </c>
      <c r="G276" s="230">
        <v>0.000279801</v>
      </c>
      <c r="H276" s="12"/>
      <c r="J276" s="12">
        <v>635</v>
      </c>
      <c r="K276" s="231" t="s">
        <v>387</v>
      </c>
      <c r="L276" s="231">
        <v>0.033805016302585</v>
      </c>
      <c r="M276" s="231">
        <v>0.268019987595123</v>
      </c>
      <c r="N276" s="231">
        <v>0.00177925903695338</v>
      </c>
      <c r="O276" s="231">
        <v>0.000215457361142135</v>
      </c>
      <c r="P276" s="12"/>
      <c r="Q276" s="230"/>
      <c r="R276" s="232"/>
      <c r="S276" s="230"/>
      <c r="T276" s="230"/>
    </row>
    <row r="277" ht="15" customHeight="1" spans="2:20">
      <c r="B277" s="12">
        <v>636</v>
      </c>
      <c r="C277" s="230"/>
      <c r="D277" s="230">
        <v>0.0370952</v>
      </c>
      <c r="E277" s="230">
        <v>0.287817</v>
      </c>
      <c r="F277" s="232">
        <v>0.002062</v>
      </c>
      <c r="G277" s="230">
        <v>0.000258544</v>
      </c>
      <c r="H277" s="12"/>
      <c r="J277" s="12">
        <v>636</v>
      </c>
      <c r="K277" s="231" t="s">
        <v>387</v>
      </c>
      <c r="L277" s="231">
        <v>0.0315296297024538</v>
      </c>
      <c r="M277" s="231">
        <v>0.256461255301322</v>
      </c>
      <c r="N277" s="231">
        <v>0.001638954599648</v>
      </c>
      <c r="O277" s="231">
        <v>0.000198775634018941</v>
      </c>
      <c r="P277" s="12"/>
      <c r="Q277" s="230"/>
      <c r="R277" s="232"/>
      <c r="S277" s="230"/>
      <c r="T277" s="230"/>
    </row>
    <row r="278" ht="15" customHeight="1" spans="2:20">
      <c r="B278" s="12">
        <v>637</v>
      </c>
      <c r="C278" s="230"/>
      <c r="D278" s="230">
        <v>0.0346347</v>
      </c>
      <c r="E278" s="230">
        <v>0.275762</v>
      </c>
      <c r="F278" s="232">
        <v>0.001903</v>
      </c>
      <c r="G278" s="230">
        <v>0.000238785</v>
      </c>
      <c r="H278" s="12"/>
      <c r="J278" s="12">
        <v>637</v>
      </c>
      <c r="K278" s="231" t="s">
        <v>387</v>
      </c>
      <c r="L278" s="231">
        <v>0.0293920763305393</v>
      </c>
      <c r="M278" s="231">
        <v>0.245333822236789</v>
      </c>
      <c r="N278" s="231">
        <v>0.00151020093246773</v>
      </c>
      <c r="O278" s="231">
        <v>0.000183296177791498</v>
      </c>
      <c r="P278" s="12"/>
      <c r="Q278" s="230"/>
      <c r="R278" s="232"/>
      <c r="S278" s="230"/>
      <c r="T278" s="230"/>
    </row>
    <row r="279" ht="15" customHeight="1" spans="2:20">
      <c r="B279" s="12">
        <v>638</v>
      </c>
      <c r="C279" s="230"/>
      <c r="D279" s="230">
        <v>0.0323125</v>
      </c>
      <c r="E279" s="230">
        <v>0.264158</v>
      </c>
      <c r="F279" s="232">
        <v>0.001757</v>
      </c>
      <c r="G279" s="230">
        <v>0.000220508</v>
      </c>
      <c r="H279" s="12"/>
      <c r="J279" s="12">
        <v>638</v>
      </c>
      <c r="K279" s="231" t="s">
        <v>387</v>
      </c>
      <c r="L279" s="231">
        <v>0.0273784054464567</v>
      </c>
      <c r="M279" s="231">
        <v>0.234641878192389</v>
      </c>
      <c r="N279" s="231">
        <v>0.00139215137575737</v>
      </c>
      <c r="O279" s="231">
        <v>0.00016900107647663</v>
      </c>
      <c r="P279" s="12"/>
      <c r="Q279" s="230"/>
      <c r="R279" s="232"/>
      <c r="S279" s="230"/>
      <c r="T279" s="230"/>
    </row>
    <row r="280" ht="15" customHeight="1" spans="2:20">
      <c r="B280" s="12">
        <v>639</v>
      </c>
      <c r="C280" s="230"/>
      <c r="D280" s="230">
        <v>0.0301151</v>
      </c>
      <c r="E280" s="230">
        <v>0.253009</v>
      </c>
      <c r="F280" s="232">
        <v>0.001621</v>
      </c>
      <c r="G280" s="230">
        <v>0.000203699</v>
      </c>
      <c r="H280" s="12"/>
      <c r="J280" s="12">
        <v>639</v>
      </c>
      <c r="K280" s="231" t="s">
        <v>387</v>
      </c>
      <c r="L280" s="231">
        <v>0.0254766147828931</v>
      </c>
      <c r="M280" s="231">
        <v>0.224386926111922</v>
      </c>
      <c r="N280" s="231">
        <v>0.00128238235834263</v>
      </c>
      <c r="O280" s="231">
        <v>0.000155874056676455</v>
      </c>
      <c r="P280" s="12"/>
      <c r="Q280" s="230"/>
      <c r="R280" s="232"/>
      <c r="S280" s="230"/>
      <c r="T280" s="230"/>
    </row>
    <row r="281" ht="15" customHeight="1" spans="2:20">
      <c r="B281" s="12">
        <v>640</v>
      </c>
      <c r="C281" s="230"/>
      <c r="D281" s="230">
        <v>0.0280314</v>
      </c>
      <c r="E281" s="230">
        <v>0.242316</v>
      </c>
      <c r="F281" s="232">
        <v>0.001497</v>
      </c>
      <c r="G281" s="230">
        <v>0.000188341</v>
      </c>
      <c r="H281" s="12"/>
      <c r="J281" s="12">
        <v>640</v>
      </c>
      <c r="K281" s="231" t="s">
        <v>387</v>
      </c>
      <c r="L281" s="231">
        <v>0.0236768042537473</v>
      </c>
      <c r="M281" s="231">
        <v>0.214567803083114</v>
      </c>
      <c r="N281" s="231">
        <v>0.00118243480441324</v>
      </c>
      <c r="O281" s="231">
        <v>0.000143896654636035</v>
      </c>
      <c r="P281" s="12"/>
      <c r="Q281" s="230"/>
      <c r="R281" s="232"/>
      <c r="S281" s="230"/>
      <c r="T281" s="230"/>
    </row>
    <row r="282" ht="15" customHeight="1" spans="2:20">
      <c r="B282" s="12">
        <v>641</v>
      </c>
      <c r="C282" s="230"/>
      <c r="D282" s="230">
        <v>0.0260564</v>
      </c>
      <c r="E282" s="230">
        <v>0.232061</v>
      </c>
      <c r="F282" s="232">
        <v>0.001382</v>
      </c>
      <c r="G282" s="230">
        <v>0.000174192</v>
      </c>
      <c r="H282" s="12"/>
      <c r="J282" s="12">
        <v>641</v>
      </c>
      <c r="K282" s="231" t="s">
        <v>387</v>
      </c>
      <c r="L282" s="231">
        <v>0.0219742798967853</v>
      </c>
      <c r="M282" s="231">
        <v>0.205166555433856</v>
      </c>
      <c r="N282" s="231">
        <v>0.00108989683559258</v>
      </c>
      <c r="O282" s="231">
        <v>0.000132878885066666</v>
      </c>
      <c r="P282" s="12"/>
      <c r="Q282" s="230"/>
      <c r="R282" s="232"/>
      <c r="S282" s="230"/>
      <c r="T282" s="230"/>
    </row>
    <row r="283" ht="15" customHeight="1" spans="2:20">
      <c r="B283" s="12">
        <v>642</v>
      </c>
      <c r="C283" s="230"/>
      <c r="D283" s="230">
        <v>0.0242011</v>
      </c>
      <c r="E283" s="230">
        <v>0.222158</v>
      </c>
      <c r="F283" s="232">
        <v>0.001276</v>
      </c>
      <c r="G283" s="230">
        <v>0.00016102</v>
      </c>
      <c r="H283" s="12"/>
      <c r="J283" s="12">
        <v>642</v>
      </c>
      <c r="K283" s="231" t="s">
        <v>387</v>
      </c>
      <c r="L283" s="231">
        <v>0.0203778493415068</v>
      </c>
      <c r="M283" s="231">
        <v>0.196105315778906</v>
      </c>
      <c r="N283" s="231">
        <v>0.00100473382765118</v>
      </c>
      <c r="O283" s="231">
        <v>0.000122639562806619</v>
      </c>
      <c r="P283" s="12"/>
      <c r="Q283" s="230"/>
      <c r="R283" s="232"/>
      <c r="S283" s="230"/>
      <c r="T283" s="230"/>
    </row>
    <row r="284" ht="15" customHeight="1" spans="2:20">
      <c r="B284" s="12">
        <v>643</v>
      </c>
      <c r="C284" s="230"/>
      <c r="D284" s="230">
        <v>0.022476</v>
      </c>
      <c r="E284" s="230">
        <v>0.212516</v>
      </c>
      <c r="F284" s="232">
        <v>0.001178</v>
      </c>
      <c r="G284" s="230">
        <v>0.000148821</v>
      </c>
      <c r="H284" s="12"/>
      <c r="J284" s="12">
        <v>643</v>
      </c>
      <c r="K284" s="231" t="s">
        <v>387</v>
      </c>
      <c r="L284" s="231">
        <v>0.018895845070511</v>
      </c>
      <c r="M284" s="231">
        <v>0.187302294352545</v>
      </c>
      <c r="N284" s="231">
        <v>0.000926125187381741</v>
      </c>
      <c r="O284" s="231">
        <v>0.00011317201407973</v>
      </c>
      <c r="P284" s="12"/>
      <c r="Q284" s="230"/>
      <c r="R284" s="232"/>
      <c r="S284" s="230"/>
      <c r="T284" s="230"/>
    </row>
    <row r="285" ht="15" customHeight="1" spans="2:20">
      <c r="B285" s="12">
        <v>644</v>
      </c>
      <c r="C285" s="230"/>
      <c r="D285" s="230">
        <v>0.020887</v>
      </c>
      <c r="E285" s="230">
        <v>0.20306</v>
      </c>
      <c r="F285" s="232">
        <v>0.001088</v>
      </c>
      <c r="G285" s="230">
        <v>0.000137594</v>
      </c>
      <c r="H285" s="12"/>
      <c r="J285" s="12">
        <v>644</v>
      </c>
      <c r="K285" s="231" t="s">
        <v>387</v>
      </c>
      <c r="L285" s="231">
        <v>0.0175326865412915</v>
      </c>
      <c r="M285" s="231">
        <v>0.178690289202189</v>
      </c>
      <c r="N285" s="231">
        <v>0.000854040382015612</v>
      </c>
      <c r="O285" s="231">
        <v>0.000104471884391223</v>
      </c>
      <c r="P285" s="12"/>
      <c r="Q285" s="230"/>
      <c r="R285" s="232"/>
      <c r="S285" s="230"/>
      <c r="T285" s="230"/>
    </row>
    <row r="286" ht="15" customHeight="1" spans="2:20">
      <c r="B286" s="12">
        <v>645</v>
      </c>
      <c r="C286" s="230"/>
      <c r="D286" s="230">
        <v>0.0194366</v>
      </c>
      <c r="E286" s="230">
        <v>0.19373</v>
      </c>
      <c r="F286" s="232">
        <v>0.001005</v>
      </c>
      <c r="G286" s="230">
        <v>0.000127337</v>
      </c>
      <c r="H286" s="12"/>
      <c r="J286" s="12">
        <v>645</v>
      </c>
      <c r="K286" s="231" t="s">
        <v>387</v>
      </c>
      <c r="L286" s="231">
        <v>0.0162899162460484</v>
      </c>
      <c r="M286" s="231">
        <v>0.170215694481245</v>
      </c>
      <c r="N286" s="231">
        <v>0.000787665321546033</v>
      </c>
      <c r="O286" s="231">
        <v>9.65340881516601e-5</v>
      </c>
      <c r="P286" s="12"/>
      <c r="Q286" s="230"/>
      <c r="R286" s="232"/>
      <c r="S286" s="230"/>
      <c r="T286" s="230"/>
    </row>
    <row r="287" ht="15" customHeight="1" spans="2:20">
      <c r="B287" s="12">
        <v>646</v>
      </c>
      <c r="C287" s="230"/>
      <c r="D287" s="230">
        <v>0.01812</v>
      </c>
      <c r="E287" s="230">
        <v>0.184495</v>
      </c>
      <c r="F287" s="231">
        <v>0.000928</v>
      </c>
      <c r="G287" s="230">
        <v>0.000117891</v>
      </c>
      <c r="H287" s="12"/>
      <c r="J287" s="12">
        <v>646</v>
      </c>
      <c r="K287" s="231" t="s">
        <v>387</v>
      </c>
      <c r="L287" s="231">
        <v>0.0151629584285663</v>
      </c>
      <c r="M287" s="231">
        <v>0.16185067690111</v>
      </c>
      <c r="N287" s="231">
        <v>0.000726190956771243</v>
      </c>
      <c r="O287" s="231">
        <v>8.92347339181383e-5</v>
      </c>
      <c r="P287" s="12"/>
      <c r="Q287" s="230"/>
      <c r="R287" s="231"/>
      <c r="S287" s="230"/>
      <c r="T287" s="230"/>
    </row>
    <row r="288" ht="15" customHeight="1" spans="2:20">
      <c r="B288" s="12">
        <v>647</v>
      </c>
      <c r="C288" s="230"/>
      <c r="D288" s="230">
        <v>0.0169149</v>
      </c>
      <c r="E288" s="230">
        <v>0.175402</v>
      </c>
      <c r="F288" s="231">
        <v>0.000857</v>
      </c>
      <c r="G288" s="230">
        <v>0.000109096</v>
      </c>
      <c r="H288" s="12"/>
      <c r="J288" s="12">
        <v>647</v>
      </c>
      <c r="K288" s="231" t="s">
        <v>387</v>
      </c>
      <c r="L288" s="231">
        <v>0.014132644118046</v>
      </c>
      <c r="M288" s="231">
        <v>0.153635896020239</v>
      </c>
      <c r="N288" s="231">
        <v>0.000669594564218157</v>
      </c>
      <c r="O288" s="231">
        <v>8.24499404359078e-5</v>
      </c>
      <c r="P288" s="12"/>
      <c r="Q288" s="230"/>
      <c r="R288" s="231"/>
      <c r="S288" s="230"/>
      <c r="T288" s="230"/>
    </row>
    <row r="289" ht="15" customHeight="1" spans="2:20">
      <c r="B289" s="12">
        <v>648</v>
      </c>
      <c r="C289" s="230"/>
      <c r="D289" s="230">
        <v>0.0157991</v>
      </c>
      <c r="E289" s="230">
        <v>0.166509</v>
      </c>
      <c r="F289" s="231">
        <v>0.000792</v>
      </c>
      <c r="G289" s="230">
        <v>0.000100949</v>
      </c>
      <c r="H289" s="12"/>
      <c r="J289" s="12">
        <v>648</v>
      </c>
      <c r="K289" s="231" t="s">
        <v>387</v>
      </c>
      <c r="L289" s="231">
        <v>0.0131800060931803</v>
      </c>
      <c r="M289" s="231">
        <v>0.145621380523896</v>
      </c>
      <c r="N289" s="231">
        <v>0.000617853560682046</v>
      </c>
      <c r="O289" s="231">
        <v>7.61750617105818e-5</v>
      </c>
      <c r="P289" s="12"/>
      <c r="Q289" s="230"/>
      <c r="R289" s="231"/>
      <c r="S289" s="230"/>
      <c r="T289" s="230"/>
    </row>
    <row r="290" ht="15" customHeight="1" spans="2:20">
      <c r="B290" s="12">
        <v>649</v>
      </c>
      <c r="C290" s="230"/>
      <c r="D290" s="230">
        <v>0.0147543</v>
      </c>
      <c r="E290" s="230">
        <v>0.157865</v>
      </c>
      <c r="F290" s="231">
        <v>0.000732</v>
      </c>
      <c r="G290" s="230">
        <v>9.34437e-5</v>
      </c>
      <c r="H290" s="12"/>
      <c r="J290" s="12">
        <v>649</v>
      </c>
      <c r="K290" s="231" t="s">
        <v>387</v>
      </c>
      <c r="L290" s="231">
        <v>0.012289442498777</v>
      </c>
      <c r="M290" s="231">
        <v>0.137848991881516</v>
      </c>
      <c r="N290" s="231">
        <v>0.000570166586044729</v>
      </c>
      <c r="O290" s="231">
        <v>7.04029940739025e-5</v>
      </c>
      <c r="P290" s="12"/>
      <c r="Q290" s="230"/>
      <c r="R290" s="231"/>
      <c r="S290" s="230"/>
      <c r="T290" s="230"/>
    </row>
    <row r="291" ht="15" customHeight="1" spans="2:20">
      <c r="B291" s="12">
        <v>650</v>
      </c>
      <c r="C291" s="230"/>
      <c r="D291" s="230">
        <v>0.013766</v>
      </c>
      <c r="E291" s="230">
        <v>0.149509</v>
      </c>
      <c r="F291" s="231">
        <v>0.000677</v>
      </c>
      <c r="G291" s="230">
        <v>8.65751e-5</v>
      </c>
      <c r="H291" s="12"/>
      <c r="J291" s="12">
        <v>650</v>
      </c>
      <c r="K291" s="231" t="s">
        <v>387</v>
      </c>
      <c r="L291" s="231">
        <v>0.0114486077924994</v>
      </c>
      <c r="M291" s="231">
        <v>0.130351615306765</v>
      </c>
      <c r="N291" s="231">
        <v>0.000526514929403595</v>
      </c>
      <c r="O291" s="231">
        <v>6.51276555205662e-5</v>
      </c>
      <c r="P291" s="12"/>
      <c r="Q291" s="230"/>
      <c r="R291" s="231"/>
      <c r="S291" s="230"/>
      <c r="T291" s="230"/>
    </row>
    <row r="292" ht="15" customHeight="1" spans="2:20">
      <c r="B292" s="12">
        <v>651</v>
      </c>
      <c r="C292" s="230"/>
      <c r="D292" s="230">
        <v>0.0128246</v>
      </c>
      <c r="E292" s="230">
        <v>0.14147</v>
      </c>
      <c r="F292" s="231">
        <v>0.000626</v>
      </c>
      <c r="G292" s="230">
        <v>8.02405e-5</v>
      </c>
      <c r="H292" s="12"/>
      <c r="J292" s="12">
        <v>651</v>
      </c>
      <c r="K292" s="231" t="s">
        <v>387</v>
      </c>
      <c r="L292" s="231">
        <v>0.0106493011536245</v>
      </c>
      <c r="M292" s="231">
        <v>0.1231532286996</v>
      </c>
      <c r="N292" s="231">
        <v>0.000486103471705439</v>
      </c>
      <c r="O292" s="231">
        <v>6.02696177544501e-5</v>
      </c>
      <c r="P292" s="12"/>
      <c r="Q292" s="230"/>
      <c r="R292" s="231"/>
      <c r="S292" s="230"/>
      <c r="T292" s="230"/>
    </row>
    <row r="293" ht="15" customHeight="1" spans="2:20">
      <c r="B293" s="12">
        <v>652</v>
      </c>
      <c r="C293" s="230"/>
      <c r="D293" s="230">
        <v>0.0119304</v>
      </c>
      <c r="E293" s="230">
        <v>0.13376</v>
      </c>
      <c r="F293" s="231">
        <v>0.000579</v>
      </c>
      <c r="G293" s="230">
        <v>7.43383e-5</v>
      </c>
      <c r="H293" s="12"/>
      <c r="J293" s="12">
        <v>652</v>
      </c>
      <c r="K293" s="231" t="s">
        <v>387</v>
      </c>
      <c r="L293" s="231">
        <v>0.00989158023423973</v>
      </c>
      <c r="M293" s="231">
        <v>0.116262886622203</v>
      </c>
      <c r="N293" s="231">
        <v>0.000448917304059417</v>
      </c>
      <c r="O293" s="231">
        <v>5.57507647257878e-5</v>
      </c>
      <c r="P293" s="12"/>
      <c r="Q293" s="230"/>
      <c r="R293" s="231"/>
      <c r="S293" s="230"/>
      <c r="T293" s="230"/>
    </row>
    <row r="294" ht="15" customHeight="1" spans="2:20">
      <c r="B294" s="12">
        <v>653</v>
      </c>
      <c r="C294" s="230"/>
      <c r="D294" s="230">
        <v>0.011085</v>
      </c>
      <c r="E294" s="230">
        <v>0.126383</v>
      </c>
      <c r="F294" s="231">
        <v>0.000536</v>
      </c>
      <c r="G294" s="230">
        <v>6.8865e-5</v>
      </c>
      <c r="H294" s="12"/>
      <c r="J294" s="12">
        <v>653</v>
      </c>
      <c r="K294" s="231" t="s">
        <v>387</v>
      </c>
      <c r="L294" s="231">
        <v>0.00917657852201124</v>
      </c>
      <c r="M294" s="231">
        <v>0.109682645299013</v>
      </c>
      <c r="N294" s="231">
        <v>0.000414941608900208</v>
      </c>
      <c r="O294" s="231">
        <v>5.15669173176735e-5</v>
      </c>
      <c r="P294" s="12"/>
      <c r="Q294" s="230"/>
      <c r="R294" s="231"/>
      <c r="S294" s="230"/>
      <c r="T294" s="230"/>
    </row>
    <row r="295" ht="15" customHeight="1" spans="2:20">
      <c r="B295" s="12">
        <v>654</v>
      </c>
      <c r="C295" s="230"/>
      <c r="D295" s="230">
        <v>0.0102892</v>
      </c>
      <c r="E295" s="230">
        <v>0.119343</v>
      </c>
      <c r="F295" s="231">
        <v>0.000496</v>
      </c>
      <c r="G295" s="230">
        <v>6.38172e-5</v>
      </c>
      <c r="H295" s="12"/>
      <c r="J295" s="12">
        <v>654</v>
      </c>
      <c r="K295" s="231" t="s">
        <v>387</v>
      </c>
      <c r="L295" s="231">
        <v>0.00850476131461597</v>
      </c>
      <c r="M295" s="231">
        <v>0.103414548378173</v>
      </c>
      <c r="N295" s="231">
        <v>0.000383388698204706</v>
      </c>
      <c r="O295" s="231">
        <v>4.77139967402221e-5</v>
      </c>
      <c r="P295" s="12"/>
      <c r="Q295" s="230"/>
      <c r="R295" s="231"/>
      <c r="S295" s="230"/>
      <c r="T295" s="230"/>
    </row>
    <row r="296" ht="15" customHeight="1" spans="2:20">
      <c r="B296" s="12">
        <v>655</v>
      </c>
      <c r="C296" s="230"/>
      <c r="D296" s="230">
        <v>0.00954315</v>
      </c>
      <c r="E296" s="230">
        <v>0.112638</v>
      </c>
      <c r="F296" s="231">
        <v>0.000459</v>
      </c>
      <c r="G296" s="230">
        <v>5.91914e-5</v>
      </c>
      <c r="H296" s="12"/>
      <c r="J296" s="12">
        <v>655</v>
      </c>
      <c r="K296" s="231" t="s">
        <v>387</v>
      </c>
      <c r="L296" s="231">
        <v>0.00787605461688927</v>
      </c>
      <c r="M296" s="231">
        <v>0.0974554357722313</v>
      </c>
      <c r="N296" s="231">
        <v>0.000354247475250178</v>
      </c>
      <c r="O296" s="231">
        <v>4.41878744596641e-5</v>
      </c>
      <c r="P296" s="12"/>
      <c r="Q296" s="230"/>
      <c r="R296" s="231"/>
      <c r="S296" s="230"/>
      <c r="T296" s="230"/>
    </row>
    <row r="297" ht="15" customHeight="1" spans="2:20">
      <c r="B297" s="12">
        <v>656</v>
      </c>
      <c r="C297" s="230"/>
      <c r="D297" s="230">
        <v>0.00884609</v>
      </c>
      <c r="E297" s="230">
        <v>0.106264</v>
      </c>
      <c r="F297" s="231">
        <v>0.000425</v>
      </c>
      <c r="G297" s="230">
        <v>5.49203e-5</v>
      </c>
      <c r="H297" s="12"/>
      <c r="J297" s="12">
        <v>656</v>
      </c>
      <c r="K297" s="231" t="s">
        <v>387</v>
      </c>
      <c r="L297" s="231">
        <v>0.00728963499786149</v>
      </c>
      <c r="M297" s="231">
        <v>0.09180043888196</v>
      </c>
      <c r="N297" s="231">
        <v>0.000327506910976833</v>
      </c>
      <c r="O297" s="231">
        <v>4.09368914096392e-5</v>
      </c>
      <c r="P297" s="12"/>
      <c r="Q297" s="230"/>
      <c r="R297" s="231"/>
      <c r="S297" s="230"/>
      <c r="T297" s="230"/>
    </row>
    <row r="298" ht="15" customHeight="1" spans="2:20">
      <c r="B298" s="12">
        <v>657</v>
      </c>
      <c r="C298" s="230"/>
      <c r="D298" s="230">
        <v>0.008196</v>
      </c>
      <c r="E298" s="230">
        <v>0.100208</v>
      </c>
      <c r="F298" s="232">
        <v>0.0003935</v>
      </c>
      <c r="G298" s="230">
        <v>5.09374e-5</v>
      </c>
      <c r="H298" s="12"/>
      <c r="J298" s="12">
        <v>657</v>
      </c>
      <c r="K298" s="231" t="s">
        <v>387</v>
      </c>
      <c r="L298" s="231">
        <v>0.00674364731514427</v>
      </c>
      <c r="M298" s="231">
        <v>0.0864369555709381</v>
      </c>
      <c r="N298" s="231">
        <v>0.000302771327681675</v>
      </c>
      <c r="O298" s="231">
        <v>3.79102984408259e-5</v>
      </c>
      <c r="P298" s="12"/>
      <c r="Q298" s="230"/>
      <c r="R298" s="232"/>
      <c r="S298" s="230"/>
      <c r="T298" s="230"/>
    </row>
    <row r="299" ht="15" customHeight="1" spans="2:20">
      <c r="B299" s="12">
        <v>658</v>
      </c>
      <c r="C299" s="230"/>
      <c r="D299" s="230">
        <v>0.00759059</v>
      </c>
      <c r="E299" s="230">
        <v>0.0944558</v>
      </c>
      <c r="F299" s="232">
        <v>0.0003645</v>
      </c>
      <c r="G299" s="230">
        <v>4.72404e-5</v>
      </c>
      <c r="H299" s="12"/>
      <c r="J299" s="12">
        <v>658</v>
      </c>
      <c r="K299" s="231" t="s">
        <v>387</v>
      </c>
      <c r="L299" s="231">
        <v>0.00623602588614037</v>
      </c>
      <c r="M299" s="231">
        <v>0.0813514267940835</v>
      </c>
      <c r="N299" s="231">
        <v>0.000280031584114044</v>
      </c>
      <c r="O299" s="231">
        <v>3.51053633183807e-5</v>
      </c>
      <c r="P299" s="12"/>
      <c r="Q299" s="230"/>
      <c r="R299" s="232"/>
      <c r="S299" s="230"/>
      <c r="T299" s="230"/>
    </row>
    <row r="300" ht="15" customHeight="1" spans="2:20">
      <c r="B300" s="12">
        <v>659</v>
      </c>
      <c r="C300" s="230"/>
      <c r="D300" s="230">
        <v>0.00702754</v>
      </c>
      <c r="E300" s="230">
        <v>0.0889934</v>
      </c>
      <c r="F300" s="232">
        <v>0.0003377</v>
      </c>
      <c r="G300" s="230">
        <v>4.38269e-5</v>
      </c>
      <c r="H300" s="12"/>
      <c r="J300" s="12">
        <v>659</v>
      </c>
      <c r="K300" s="231" t="s">
        <v>387</v>
      </c>
      <c r="L300" s="231">
        <v>0.00576469295753033</v>
      </c>
      <c r="M300" s="231">
        <v>0.0765305477985565</v>
      </c>
      <c r="N300" s="231">
        <v>0.000259048465578831</v>
      </c>
      <c r="O300" s="231">
        <v>3.25192961921878e-5</v>
      </c>
      <c r="P300" s="12"/>
      <c r="Q300" s="230"/>
      <c r="R300" s="232"/>
      <c r="S300" s="230"/>
      <c r="T300" s="230"/>
    </row>
    <row r="301" ht="15" customHeight="1" spans="2:20">
      <c r="B301" s="12">
        <v>660</v>
      </c>
      <c r="C301" s="230"/>
      <c r="D301" s="230">
        <v>0.00650455</v>
      </c>
      <c r="E301" s="230">
        <v>0.0838077</v>
      </c>
      <c r="F301" s="232">
        <v>0.0003129</v>
      </c>
      <c r="G301" s="230">
        <v>4.06945e-5</v>
      </c>
      <c r="H301" s="12"/>
      <c r="J301" s="12">
        <v>660</v>
      </c>
      <c r="K301" s="231" t="s">
        <v>387</v>
      </c>
      <c r="L301" s="231">
        <v>0.00532759974958685</v>
      </c>
      <c r="M301" s="231">
        <v>0.0719618672555244</v>
      </c>
      <c r="N301" s="231">
        <v>0.000239660800583569</v>
      </c>
      <c r="O301" s="231">
        <v>3.01493241203143e-5</v>
      </c>
      <c r="P301" s="12"/>
      <c r="Q301" s="230"/>
      <c r="R301" s="232"/>
      <c r="S301" s="230"/>
      <c r="T301" s="230"/>
    </row>
    <row r="302" ht="15" customHeight="1" spans="2:20">
      <c r="B302" s="12">
        <v>661</v>
      </c>
      <c r="C302" s="230"/>
      <c r="D302" s="230">
        <v>0.00601952</v>
      </c>
      <c r="E302" s="230">
        <v>0.0788866</v>
      </c>
      <c r="F302" s="232">
        <v>0.0002901</v>
      </c>
      <c r="G302" s="230">
        <v>3.7799e-5</v>
      </c>
      <c r="H302" s="12"/>
      <c r="J302" s="12">
        <v>661</v>
      </c>
      <c r="K302" s="231" t="s">
        <v>387</v>
      </c>
      <c r="L302" s="231">
        <v>0.00492287344429895</v>
      </c>
      <c r="M302" s="231">
        <v>0.0676338665401673</v>
      </c>
      <c r="N302" s="231">
        <v>0.000221861348038063</v>
      </c>
      <c r="O302" s="231">
        <v>2.7961769436245e-5</v>
      </c>
      <c r="P302" s="12"/>
      <c r="Q302" s="230"/>
      <c r="R302" s="232"/>
      <c r="S302" s="230"/>
      <c r="T302" s="230"/>
    </row>
    <row r="303" ht="15" customHeight="1" spans="2:20">
      <c r="B303" s="12">
        <v>662</v>
      </c>
      <c r="C303" s="230"/>
      <c r="D303" s="230">
        <v>0.00557093</v>
      </c>
      <c r="E303" s="230">
        <v>0.0742192</v>
      </c>
      <c r="F303" s="232">
        <v>0.0002689</v>
      </c>
      <c r="G303" s="230">
        <v>3.50966e-5</v>
      </c>
      <c r="H303" s="12"/>
      <c r="J303" s="12">
        <v>662</v>
      </c>
      <c r="K303" s="231" t="s">
        <v>387</v>
      </c>
      <c r="L303" s="231">
        <v>0.00454912615785671</v>
      </c>
      <c r="M303" s="231">
        <v>0.0635361238991816</v>
      </c>
      <c r="N303" s="231">
        <v>0.000205337462538673</v>
      </c>
      <c r="O303" s="231">
        <v>2.59234534164866e-5</v>
      </c>
      <c r="P303" s="12"/>
      <c r="Q303" s="230"/>
      <c r="R303" s="232"/>
      <c r="S303" s="230"/>
      <c r="T303" s="230"/>
    </row>
    <row r="304" ht="15" customHeight="1" spans="2:20">
      <c r="B304" s="12">
        <v>663</v>
      </c>
      <c r="C304" s="230"/>
      <c r="D304" s="230">
        <v>0.00515728</v>
      </c>
      <c r="E304" s="230">
        <v>0.0697953</v>
      </c>
      <c r="F304" s="232">
        <v>0.0002493</v>
      </c>
      <c r="G304" s="230">
        <v>3.25857e-5</v>
      </c>
      <c r="H304" s="12"/>
      <c r="J304" s="12">
        <v>663</v>
      </c>
      <c r="K304" s="231" t="s">
        <v>387</v>
      </c>
      <c r="L304" s="231">
        <v>0.00420499468683154</v>
      </c>
      <c r="M304" s="231">
        <v>0.059658878794104</v>
      </c>
      <c r="N304" s="231">
        <v>0.000190083372288812</v>
      </c>
      <c r="O304" s="231">
        <v>2.40325207451252e-5</v>
      </c>
      <c r="P304" s="12"/>
      <c r="Q304" s="230"/>
      <c r="R304" s="232"/>
      <c r="S304" s="230"/>
      <c r="T304" s="230"/>
    </row>
    <row r="305" ht="15" customHeight="1" spans="2:20">
      <c r="B305" s="12">
        <v>664</v>
      </c>
      <c r="C305" s="230"/>
      <c r="D305" s="230">
        <v>0.00477687</v>
      </c>
      <c r="E305" s="230">
        <v>0.065605</v>
      </c>
      <c r="F305" s="232">
        <v>0.0002313</v>
      </c>
      <c r="G305" s="230">
        <v>3.02647e-5</v>
      </c>
      <c r="H305" s="12"/>
      <c r="J305" s="12">
        <v>664</v>
      </c>
      <c r="K305" s="231" t="s">
        <v>387</v>
      </c>
      <c r="L305" s="231">
        <v>0.0038889612152017</v>
      </c>
      <c r="M305" s="231">
        <v>0.0559926855294906</v>
      </c>
      <c r="N305" s="231">
        <v>0.000176093340261749</v>
      </c>
      <c r="O305" s="231">
        <v>2.22871272828486e-5</v>
      </c>
      <c r="P305" s="12"/>
      <c r="Q305" s="230"/>
      <c r="R305" s="232"/>
      <c r="S305" s="230"/>
      <c r="T305" s="230"/>
    </row>
    <row r="306" ht="15" customHeight="1" spans="2:20">
      <c r="B306" s="12">
        <v>665</v>
      </c>
      <c r="C306" s="230"/>
      <c r="D306" s="230">
        <v>0.00442794</v>
      </c>
      <c r="E306" s="230">
        <v>0.0616384</v>
      </c>
      <c r="F306" s="232">
        <v>0.0002146</v>
      </c>
      <c r="G306" s="230">
        <v>2.8132e-5</v>
      </c>
      <c r="H306" s="12"/>
      <c r="J306" s="12">
        <v>665</v>
      </c>
      <c r="K306" s="231" t="s">
        <v>387</v>
      </c>
      <c r="L306" s="231">
        <v>0.00359946828272205</v>
      </c>
      <c r="M306" s="231">
        <v>0.052528155226111</v>
      </c>
      <c r="N306" s="231">
        <v>0.000163133611360397</v>
      </c>
      <c r="O306" s="231">
        <v>2.06854399829121e-5</v>
      </c>
      <c r="P306" s="12"/>
      <c r="Q306" s="230"/>
      <c r="R306" s="232"/>
      <c r="S306" s="230"/>
      <c r="T306" s="230"/>
    </row>
    <row r="307" ht="15" customHeight="1" spans="2:20">
      <c r="B307" s="12">
        <v>666</v>
      </c>
      <c r="C307" s="230"/>
      <c r="D307" s="230">
        <v>0.00410832</v>
      </c>
      <c r="E307" s="230">
        <v>0.0578857</v>
      </c>
      <c r="F307" s="232">
        <v>0.0001991</v>
      </c>
      <c r="G307" s="230">
        <v>2.61587e-5</v>
      </c>
      <c r="H307" s="12"/>
      <c r="J307" s="12">
        <v>666</v>
      </c>
      <c r="K307" s="231" t="s">
        <v>387</v>
      </c>
      <c r="L307" s="231">
        <v>0.00333463499508001</v>
      </c>
      <c r="M307" s="231">
        <v>0.0492560404862971</v>
      </c>
      <c r="N307" s="231">
        <v>0.000151123641193852</v>
      </c>
      <c r="O307" s="231">
        <v>1.92055932775446e-5</v>
      </c>
      <c r="P307" s="12"/>
      <c r="Q307" s="230"/>
      <c r="R307" s="232"/>
      <c r="S307" s="230"/>
      <c r="T307" s="230"/>
    </row>
    <row r="308" ht="15" customHeight="1" spans="2:20">
      <c r="B308" s="12">
        <v>667</v>
      </c>
      <c r="C308" s="230"/>
      <c r="D308" s="230">
        <v>0.0038147</v>
      </c>
      <c r="E308" s="230">
        <v>0.0543366</v>
      </c>
      <c r="F308" s="232">
        <v>0.0001848</v>
      </c>
      <c r="G308" s="230">
        <v>2.43158e-5</v>
      </c>
      <c r="H308" s="12"/>
      <c r="J308" s="12">
        <v>667</v>
      </c>
      <c r="K308" s="231" t="s">
        <v>387</v>
      </c>
      <c r="L308" s="231">
        <v>0.00309166781148118</v>
      </c>
      <c r="M308" s="231">
        <v>0.0461667245474215</v>
      </c>
      <c r="N308" s="231">
        <v>0.000140059157983696</v>
      </c>
      <c r="O308" s="231">
        <v>1.7825779417367e-5</v>
      </c>
      <c r="P308" s="12"/>
      <c r="Q308" s="230"/>
      <c r="R308" s="232"/>
      <c r="S308" s="230"/>
      <c r="T308" s="230"/>
    </row>
    <row r="309" ht="15" customHeight="1" spans="2:20">
      <c r="B309" s="12">
        <v>668</v>
      </c>
      <c r="C309" s="230"/>
      <c r="D309" s="230">
        <v>0.00354392</v>
      </c>
      <c r="E309" s="230">
        <v>0.0509811</v>
      </c>
      <c r="F309" s="232">
        <v>0.0001716</v>
      </c>
      <c r="G309" s="230">
        <v>2.26017e-5</v>
      </c>
      <c r="H309" s="12"/>
      <c r="J309" s="12">
        <v>668</v>
      </c>
      <c r="K309" s="231" t="s">
        <v>387</v>
      </c>
      <c r="L309" s="231">
        <v>0.00286791130616833</v>
      </c>
      <c r="M309" s="231">
        <v>0.0432509027436557</v>
      </c>
      <c r="N309" s="231">
        <v>0.000129860239400837</v>
      </c>
      <c r="O309" s="231">
        <v>1.65443779577781e-5</v>
      </c>
      <c r="P309" s="12"/>
      <c r="Q309" s="230"/>
      <c r="R309" s="232"/>
      <c r="S309" s="230"/>
      <c r="T309" s="230"/>
    </row>
    <row r="310" ht="15" customHeight="1" spans="2:20">
      <c r="B310" s="12">
        <v>669</v>
      </c>
      <c r="C310" s="230"/>
      <c r="D310" s="230">
        <v>0.00329329</v>
      </c>
      <c r="E310" s="230">
        <v>0.0478096</v>
      </c>
      <c r="F310" s="232">
        <v>0.0001593</v>
      </c>
      <c r="G310" s="230">
        <v>2.10148e-5</v>
      </c>
      <c r="H310" s="12"/>
      <c r="J310" s="12">
        <v>669</v>
      </c>
      <c r="K310" s="231" t="s">
        <v>387</v>
      </c>
      <c r="L310" s="231">
        <v>0.00266110570854952</v>
      </c>
      <c r="M310" s="231">
        <v>0.0404996648837273</v>
      </c>
      <c r="N310" s="231">
        <v>0.000120371877965736</v>
      </c>
      <c r="O310" s="231">
        <v>1.53597781429337e-5</v>
      </c>
      <c r="P310" s="12"/>
      <c r="Q310" s="230"/>
      <c r="R310" s="232"/>
      <c r="S310" s="230"/>
      <c r="T310" s="230"/>
    </row>
    <row r="311" ht="15" customHeight="1" spans="2:20">
      <c r="B311" s="12">
        <v>670</v>
      </c>
      <c r="C311" s="230"/>
      <c r="D311" s="230">
        <v>0.0030605</v>
      </c>
      <c r="E311" s="230">
        <v>0.0448132</v>
      </c>
      <c r="F311" s="232">
        <v>0.000148</v>
      </c>
      <c r="G311" s="230">
        <v>1.95535e-5</v>
      </c>
      <c r="H311" s="12"/>
      <c r="J311" s="12">
        <v>670</v>
      </c>
      <c r="K311" s="231" t="s">
        <v>387</v>
      </c>
      <c r="L311" s="231">
        <v>0.00246931133560881</v>
      </c>
      <c r="M311" s="231">
        <v>0.037904746058739</v>
      </c>
      <c r="N311" s="231">
        <v>0.000111666342310514</v>
      </c>
      <c r="O311" s="231">
        <v>1.42703788334422e-5</v>
      </c>
      <c r="P311" s="12"/>
      <c r="Q311" s="230"/>
      <c r="R311" s="232"/>
      <c r="S311" s="230"/>
      <c r="T311" s="230"/>
    </row>
    <row r="312" ht="15" customHeight="1" spans="2:20">
      <c r="B312" s="12">
        <v>671</v>
      </c>
      <c r="C312" s="230"/>
      <c r="D312" s="230">
        <v>0.00284369</v>
      </c>
      <c r="E312" s="230">
        <v>0.0419831</v>
      </c>
      <c r="F312" s="232">
        <v>0.0001375</v>
      </c>
      <c r="G312" s="230">
        <v>1.81982e-5</v>
      </c>
      <c r="H312" s="12"/>
      <c r="J312" s="12">
        <v>671</v>
      </c>
      <c r="K312" s="231" t="s">
        <v>387</v>
      </c>
      <c r="L312" s="231">
        <v>0.00229096260086832</v>
      </c>
      <c r="M312" s="231">
        <v>0.0354580150868262</v>
      </c>
      <c r="N312" s="231">
        <v>0.000103589456895276</v>
      </c>
      <c r="O312" s="231">
        <v>1.32614713964763e-5</v>
      </c>
      <c r="P312" s="12"/>
      <c r="Q312" s="230"/>
      <c r="R312" s="232"/>
      <c r="S312" s="230"/>
      <c r="T312" s="230"/>
    </row>
    <row r="313" ht="15" customHeight="1" spans="2:20">
      <c r="B313" s="12">
        <v>672</v>
      </c>
      <c r="C313" s="230"/>
      <c r="D313" s="230">
        <v>0.00264175</v>
      </c>
      <c r="E313" s="230">
        <v>0.0393111</v>
      </c>
      <c r="F313" s="232">
        <v>0.0001277</v>
      </c>
      <c r="G313" s="230">
        <v>1.69302e-5</v>
      </c>
      <c r="H313" s="12"/>
      <c r="J313" s="12">
        <v>672</v>
      </c>
      <c r="K313" s="231" t="s">
        <v>387</v>
      </c>
      <c r="L313" s="231">
        <v>0.00212510656034158</v>
      </c>
      <c r="M313" s="231">
        <v>0.0331518951789069</v>
      </c>
      <c r="N313" s="231">
        <v>9.60631895687061e-5</v>
      </c>
      <c r="O313" s="231">
        <v>1.23190896265361e-5</v>
      </c>
      <c r="P313" s="12"/>
      <c r="Q313" s="230"/>
      <c r="R313" s="232"/>
      <c r="S313" s="230"/>
      <c r="T313" s="230"/>
    </row>
    <row r="314" ht="15" customHeight="1" spans="2:20">
      <c r="B314" s="12">
        <v>673</v>
      </c>
      <c r="C314" s="230"/>
      <c r="D314" s="230">
        <v>0.00245374</v>
      </c>
      <c r="E314" s="230">
        <v>0.0367892</v>
      </c>
      <c r="F314" s="232">
        <v>0.0001187</v>
      </c>
      <c r="G314" s="230">
        <v>1.57493e-5</v>
      </c>
      <c r="H314" s="12"/>
      <c r="J314" s="12">
        <v>673</v>
      </c>
      <c r="K314" s="231" t="s">
        <v>387</v>
      </c>
      <c r="L314" s="231">
        <v>0.00197093248403197</v>
      </c>
      <c r="M314" s="231">
        <v>0.030979022992502</v>
      </c>
      <c r="N314" s="231">
        <v>8.91601997672065e-5</v>
      </c>
      <c r="O314" s="231">
        <v>1.14427916635793e-5</v>
      </c>
      <c r="P314" s="12"/>
      <c r="Q314" s="230"/>
      <c r="R314" s="232"/>
      <c r="S314" s="230"/>
      <c r="T314" s="230"/>
    </row>
    <row r="315" ht="15" customHeight="1" spans="2:20">
      <c r="B315" s="12">
        <v>674</v>
      </c>
      <c r="C315" s="230"/>
      <c r="D315" s="230">
        <v>0.00227875</v>
      </c>
      <c r="E315" s="230">
        <v>0.0344098</v>
      </c>
      <c r="F315" s="232">
        <v>0.0001104</v>
      </c>
      <c r="G315" s="230">
        <v>1.46553e-5</v>
      </c>
      <c r="H315" s="12"/>
      <c r="J315" s="12">
        <v>674</v>
      </c>
      <c r="K315" s="231" t="s">
        <v>387</v>
      </c>
      <c r="L315" s="231">
        <v>0.00182765851472672</v>
      </c>
      <c r="M315" s="231">
        <v>0.0289324152121125</v>
      </c>
      <c r="N315" s="231">
        <v>8.28027108030322e-5</v>
      </c>
      <c r="O315" s="231">
        <v>1.06321382698787e-5</v>
      </c>
      <c r="P315" s="12"/>
      <c r="Q315" s="230"/>
      <c r="R315" s="232"/>
      <c r="S315" s="230"/>
      <c r="T315" s="230"/>
    </row>
    <row r="316" ht="15" customHeight="1" spans="2:20">
      <c r="B316" s="12">
        <v>675</v>
      </c>
      <c r="C316" s="230"/>
      <c r="D316" s="230">
        <v>0.00211596</v>
      </c>
      <c r="E316" s="230">
        <v>0.032166</v>
      </c>
      <c r="F316" s="232">
        <v>0.0001026</v>
      </c>
      <c r="G316" s="230">
        <v>1.3648e-5</v>
      </c>
      <c r="H316" s="12"/>
      <c r="J316" s="12">
        <v>675</v>
      </c>
      <c r="K316" s="231" t="s">
        <v>387</v>
      </c>
      <c r="L316" s="231">
        <v>0.00169457950549137</v>
      </c>
      <c r="M316" s="231">
        <v>0.0270057176062217</v>
      </c>
      <c r="N316" s="231">
        <v>7.68385155466399e-5</v>
      </c>
      <c r="O316" s="231">
        <v>9.88669281059723e-6</v>
      </c>
      <c r="P316" s="12"/>
      <c r="Q316" s="230"/>
      <c r="R316" s="232"/>
      <c r="S316" s="230"/>
      <c r="T316" s="230"/>
    </row>
    <row r="317" ht="15" customHeight="1" spans="2:20">
      <c r="B317" s="12">
        <v>676</v>
      </c>
      <c r="C317" s="230"/>
      <c r="D317" s="230">
        <v>0.00196456</v>
      </c>
      <c r="E317" s="230">
        <v>0.0300509</v>
      </c>
      <c r="F317" s="231">
        <v>9.54e-5</v>
      </c>
      <c r="G317" s="230">
        <v>1.27143e-5</v>
      </c>
      <c r="H317" s="12"/>
      <c r="J317" s="12">
        <v>676</v>
      </c>
      <c r="K317" s="231" t="s">
        <v>387</v>
      </c>
      <c r="L317" s="231">
        <v>0.00157100247857267</v>
      </c>
      <c r="M317" s="231">
        <v>0.0251926135423161</v>
      </c>
      <c r="N317" s="231">
        <v>7.13406491664342e-5</v>
      </c>
      <c r="O317" s="231">
        <v>9.19669022112166e-6</v>
      </c>
      <c r="P317" s="12"/>
      <c r="Q317" s="230"/>
      <c r="R317" s="231"/>
      <c r="S317" s="230"/>
      <c r="T317" s="230"/>
    </row>
    <row r="318" ht="15" customHeight="1" spans="2:20">
      <c r="B318" s="12">
        <v>677</v>
      </c>
      <c r="C318" s="230"/>
      <c r="D318" s="230">
        <v>0.00182378</v>
      </c>
      <c r="E318" s="230">
        <v>0.0280594</v>
      </c>
      <c r="F318" s="231">
        <v>8.88e-5</v>
      </c>
      <c r="G318" s="230">
        <v>1.18407e-5</v>
      </c>
      <c r="H318" s="12"/>
      <c r="J318" s="12">
        <v>677</v>
      </c>
      <c r="K318" s="231" t="s">
        <v>387</v>
      </c>
      <c r="L318" s="231">
        <v>0.00145627049022939</v>
      </c>
      <c r="M318" s="231">
        <v>0.0234883304767988</v>
      </c>
      <c r="N318" s="231">
        <v>6.63070452124468e-5</v>
      </c>
      <c r="O318" s="231">
        <v>8.55213422656395e-6</v>
      </c>
      <c r="P318" s="12"/>
      <c r="Q318" s="230"/>
      <c r="R318" s="231"/>
      <c r="S318" s="230"/>
      <c r="T318" s="230"/>
    </row>
    <row r="319" ht="15" customHeight="1" spans="2:20">
      <c r="B319" s="12">
        <v>678</v>
      </c>
      <c r="C319" s="230"/>
      <c r="D319" s="230">
        <v>0.00169287</v>
      </c>
      <c r="E319" s="230">
        <v>0.0261861</v>
      </c>
      <c r="F319" s="231">
        <v>8.26e-5</v>
      </c>
      <c r="G319" s="230">
        <v>1.10269e-5</v>
      </c>
      <c r="H319" s="12"/>
      <c r="J319" s="12">
        <v>678</v>
      </c>
      <c r="K319" s="231" t="s">
        <v>387</v>
      </c>
      <c r="L319" s="231">
        <v>0.00134974641874465</v>
      </c>
      <c r="M319" s="231">
        <v>0.021887873265134</v>
      </c>
      <c r="N319" s="231">
        <v>6.15865295000044e-5</v>
      </c>
      <c r="O319" s="231">
        <v>7.95260737560311e-6</v>
      </c>
      <c r="P319" s="12"/>
      <c r="Q319" s="230"/>
      <c r="R319" s="231"/>
      <c r="S319" s="230"/>
      <c r="T319" s="230"/>
    </row>
    <row r="320" ht="15" customHeight="1" spans="2:20">
      <c r="B320" s="12">
        <v>679</v>
      </c>
      <c r="C320" s="230"/>
      <c r="D320" s="230">
        <v>0.00157115</v>
      </c>
      <c r="E320" s="230">
        <v>0.024426</v>
      </c>
      <c r="F320" s="231">
        <v>7.69e-5</v>
      </c>
      <c r="G320" s="230">
        <v>1.02723e-5</v>
      </c>
      <c r="H320" s="12"/>
      <c r="J320" s="12">
        <v>679</v>
      </c>
      <c r="K320" s="231" t="s">
        <v>387</v>
      </c>
      <c r="L320" s="231">
        <v>0.00125085262537405</v>
      </c>
      <c r="M320" s="231">
        <v>0.0203866100402423</v>
      </c>
      <c r="N320" s="231">
        <v>5.72521688777673e-5</v>
      </c>
      <c r="O320" s="231">
        <v>7.39747863458295e-6</v>
      </c>
      <c r="P320" s="12"/>
      <c r="Q320" s="230"/>
      <c r="R320" s="231"/>
      <c r="S320" s="230"/>
      <c r="T320" s="230"/>
    </row>
    <row r="321" ht="15" customHeight="1" spans="2:20">
      <c r="B321" s="12">
        <v>680</v>
      </c>
      <c r="C321" s="230"/>
      <c r="D321" s="230">
        <v>0.00145798</v>
      </c>
      <c r="E321" s="230">
        <v>0.0227738</v>
      </c>
      <c r="F321" s="231">
        <v>7.15e-5</v>
      </c>
      <c r="G321" s="230">
        <v>9.57637e-6</v>
      </c>
      <c r="H321" s="12"/>
      <c r="J321" s="12">
        <v>680</v>
      </c>
      <c r="K321" s="231" t="s">
        <v>387</v>
      </c>
      <c r="L321" s="231">
        <v>0.00115904666794686</v>
      </c>
      <c r="M321" s="231">
        <v>0.0189796861613051</v>
      </c>
      <c r="N321" s="231">
        <v>5.31535783822054e-5</v>
      </c>
      <c r="O321" s="231">
        <v>6.88617101737249e-6</v>
      </c>
      <c r="P321" s="12"/>
      <c r="Q321" s="230"/>
      <c r="R321" s="231"/>
      <c r="S321" s="230"/>
      <c r="T321" s="230"/>
    </row>
    <row r="322" ht="15" customHeight="1" spans="2:20">
      <c r="B322" s="12">
        <v>681</v>
      </c>
      <c r="C322" s="230"/>
      <c r="D322" s="230">
        <v>0.00135274</v>
      </c>
      <c r="E322" s="230">
        <v>0.0212238</v>
      </c>
      <c r="F322" s="231">
        <v>6.66e-5</v>
      </c>
      <c r="G322" s="230">
        <v>8.93033e-6</v>
      </c>
      <c r="H322" s="12"/>
      <c r="J322" s="12">
        <v>681</v>
      </c>
      <c r="K322" s="231" t="s">
        <v>387</v>
      </c>
      <c r="L322" s="231">
        <v>0.0010738051664454</v>
      </c>
      <c r="M322" s="231">
        <v>0.0176619426317743</v>
      </c>
      <c r="N322" s="231">
        <v>4.94381823885754e-5</v>
      </c>
      <c r="O322" s="231">
        <v>6.41218723262083e-6</v>
      </c>
      <c r="P322" s="12"/>
      <c r="Q322" s="230"/>
      <c r="R322" s="231"/>
      <c r="S322" s="230"/>
      <c r="T322" s="230"/>
    </row>
    <row r="323" ht="15" customHeight="1" spans="2:20">
      <c r="B323" s="12">
        <v>682</v>
      </c>
      <c r="C323" s="230"/>
      <c r="D323" s="230">
        <v>0.00125476</v>
      </c>
      <c r="E323" s="230">
        <v>0.0197679</v>
      </c>
      <c r="F323" s="231">
        <v>6.2e-5</v>
      </c>
      <c r="G323" s="230">
        <v>8.32543e-6</v>
      </c>
      <c r="H323" s="12"/>
      <c r="J323" s="12">
        <v>682</v>
      </c>
      <c r="K323" s="231" t="s">
        <v>387</v>
      </c>
      <c r="L323" s="231">
        <v>0.000994568178720295</v>
      </c>
      <c r="M323" s="231">
        <v>0.0164262564185878</v>
      </c>
      <c r="N323" s="231">
        <v>4.59560499680861e-5</v>
      </c>
      <c r="O323" s="231">
        <v>5.96908960537955e-6</v>
      </c>
      <c r="P323" s="12"/>
      <c r="Q323" s="230"/>
      <c r="R323" s="231"/>
      <c r="S323" s="230"/>
      <c r="T323" s="230"/>
    </row>
    <row r="324" ht="15" customHeight="1" spans="2:20">
      <c r="B324" s="12">
        <v>683</v>
      </c>
      <c r="C324" s="230"/>
      <c r="D324" s="230">
        <v>0.0011634</v>
      </c>
      <c r="E324" s="230">
        <v>0.0183986</v>
      </c>
      <c r="F324" s="231">
        <v>5.78e-5</v>
      </c>
      <c r="G324" s="230">
        <v>7.76135e-6</v>
      </c>
      <c r="H324" s="12"/>
      <c r="J324" s="12">
        <v>683</v>
      </c>
      <c r="K324" s="231" t="s">
        <v>387</v>
      </c>
      <c r="L324" s="231">
        <v>0.000920802786201876</v>
      </c>
      <c r="M324" s="231">
        <v>0.0152660440484995</v>
      </c>
      <c r="N324" s="231">
        <v>4.27801706730734e-5</v>
      </c>
      <c r="O324" s="231">
        <v>5.55651337698957e-6</v>
      </c>
      <c r="P324" s="12"/>
      <c r="Q324" s="230"/>
      <c r="R324" s="231"/>
      <c r="S324" s="230"/>
      <c r="T324" s="230"/>
    </row>
    <row r="325" ht="15" customHeight="1" spans="2:20">
      <c r="B325" s="12">
        <v>684</v>
      </c>
      <c r="C325" s="230"/>
      <c r="D325" s="230">
        <v>0.00107812</v>
      </c>
      <c r="E325" s="230">
        <v>0.0171092</v>
      </c>
      <c r="F325" s="231">
        <v>5.38e-5</v>
      </c>
      <c r="G325" s="230">
        <v>7.23773e-6</v>
      </c>
      <c r="H325" s="12"/>
      <c r="J325" s="12">
        <v>684</v>
      </c>
      <c r="K325" s="231" t="s">
        <v>387</v>
      </c>
      <c r="L325" s="231">
        <v>0.000852058218656797</v>
      </c>
      <c r="M325" s="231">
        <v>0.014175423369203</v>
      </c>
      <c r="N325" s="231">
        <v>3.97613894314522e-5</v>
      </c>
      <c r="O325" s="231">
        <v>5.17406732691053e-6</v>
      </c>
      <c r="P325" s="12"/>
      <c r="Q325" s="230"/>
      <c r="R325" s="231"/>
      <c r="S325" s="230"/>
      <c r="T325" s="230"/>
    </row>
    <row r="326" ht="15" customHeight="1" spans="2:20">
      <c r="B326" s="12">
        <v>685</v>
      </c>
      <c r="C326" s="230"/>
      <c r="D326" s="230">
        <v>0.000998424</v>
      </c>
      <c r="E326" s="230">
        <v>0.0158939</v>
      </c>
      <c r="F326" s="231">
        <v>5.01e-5</v>
      </c>
      <c r="G326" s="230">
        <v>6.75425e-6</v>
      </c>
      <c r="H326" s="12"/>
      <c r="J326" s="12">
        <v>685</v>
      </c>
      <c r="K326" s="231" t="s">
        <v>387</v>
      </c>
      <c r="L326" s="231">
        <v>0.000787921061337197</v>
      </c>
      <c r="M326" s="231">
        <v>0.0131492911618847</v>
      </c>
      <c r="N326" s="231">
        <v>3.6972816258996e-5</v>
      </c>
      <c r="O326" s="231">
        <v>4.82139107232995e-6</v>
      </c>
      <c r="P326" s="12"/>
      <c r="Q326" s="230"/>
      <c r="R326" s="231"/>
      <c r="S326" s="230"/>
      <c r="T326" s="230"/>
    </row>
    <row r="327" ht="15" customHeight="1" spans="2:20">
      <c r="B327" s="12">
        <v>686</v>
      </c>
      <c r="C327" s="230"/>
      <c r="D327" s="230">
        <v>0.000923962</v>
      </c>
      <c r="E327" s="230">
        <v>0.0147492</v>
      </c>
      <c r="F327" s="231">
        <v>4.67e-5</v>
      </c>
      <c r="G327" s="230">
        <v>6.30499e-6</v>
      </c>
      <c r="H327" s="12"/>
      <c r="J327" s="12">
        <v>686</v>
      </c>
      <c r="K327" s="231" t="s">
        <v>387</v>
      </c>
      <c r="L327" s="231">
        <v>0.000728095360179098</v>
      </c>
      <c r="M327" s="231">
        <v>0.0121844740190436</v>
      </c>
      <c r="N327" s="231">
        <v>3.44134444148773e-5</v>
      </c>
      <c r="O327" s="231">
        <v>4.49413470700691e-6</v>
      </c>
      <c r="P327" s="12"/>
      <c r="Q327" s="230"/>
      <c r="R327" s="231"/>
      <c r="S327" s="230"/>
      <c r="T327" s="230"/>
    </row>
    <row r="328" ht="15" customHeight="1" spans="2:20">
      <c r="B328" s="12">
        <v>687</v>
      </c>
      <c r="C328" s="230"/>
      <c r="D328" s="230">
        <v>0.000854713</v>
      </c>
      <c r="E328" s="230">
        <v>0.0136773</v>
      </c>
      <c r="F328" s="231">
        <v>4.36e-5</v>
      </c>
      <c r="G328" s="230">
        <v>5.88407e-6</v>
      </c>
      <c r="H328" s="12"/>
      <c r="J328" s="12">
        <v>687</v>
      </c>
      <c r="K328" s="231" t="s">
        <v>387</v>
      </c>
      <c r="L328" s="231">
        <v>0.000672545763648414</v>
      </c>
      <c r="M328" s="231">
        <v>0.0112825189876784</v>
      </c>
      <c r="N328" s="231">
        <v>3.20822730199332e-5</v>
      </c>
      <c r="O328" s="231">
        <v>4.1880021217695e-6</v>
      </c>
      <c r="P328" s="12"/>
      <c r="Q328" s="230"/>
      <c r="R328" s="231"/>
      <c r="S328" s="230"/>
      <c r="T328" s="230"/>
    </row>
    <row r="329" ht="15" customHeight="1" spans="2:20">
      <c r="B329" s="12">
        <v>688</v>
      </c>
      <c r="C329" s="230"/>
      <c r="D329" s="230">
        <v>0.000790652</v>
      </c>
      <c r="E329" s="230">
        <v>0.0126804</v>
      </c>
      <c r="F329" s="231">
        <v>4.06e-5</v>
      </c>
      <c r="G329" s="230">
        <v>5.49115e-6</v>
      </c>
      <c r="H329" s="12"/>
      <c r="J329" s="12">
        <v>688</v>
      </c>
      <c r="K329" s="231" t="s">
        <v>387</v>
      </c>
      <c r="L329" s="231">
        <v>0.000621233982848595</v>
      </c>
      <c r="M329" s="231">
        <v>0.0104449641203284</v>
      </c>
      <c r="N329" s="231">
        <v>2.98313545287024e-5</v>
      </c>
      <c r="O329" s="231">
        <v>3.90265956296571e-6</v>
      </c>
      <c r="P329" s="12"/>
      <c r="Q329" s="230"/>
      <c r="R329" s="231"/>
      <c r="S329" s="230"/>
      <c r="T329" s="230"/>
    </row>
    <row r="330" ht="15" customHeight="1" spans="2:20">
      <c r="B330" s="12">
        <v>689</v>
      </c>
      <c r="C330" s="230"/>
      <c r="D330" s="230">
        <v>0.000731684</v>
      </c>
      <c r="E330" s="230">
        <v>0.011759</v>
      </c>
      <c r="F330" s="232">
        <v>3.789e-5</v>
      </c>
      <c r="G330" s="230">
        <v>5.12592e-6</v>
      </c>
      <c r="H330" s="12"/>
      <c r="J330" s="12">
        <v>689</v>
      </c>
      <c r="K330" s="231" t="s">
        <v>387</v>
      </c>
      <c r="L330" s="231">
        <v>0.000574067030340485</v>
      </c>
      <c r="M330" s="231">
        <v>0.00967194026681455</v>
      </c>
      <c r="N330" s="231">
        <v>2.77997417506511e-5</v>
      </c>
      <c r="O330" s="231">
        <v>3.63779650515205e-6</v>
      </c>
      <c r="P330" s="12"/>
      <c r="Q330" s="230"/>
      <c r="R330" s="232"/>
      <c r="S330" s="230"/>
      <c r="T330" s="230"/>
    </row>
    <row r="331" ht="15" customHeight="1" spans="2:20">
      <c r="B331" s="12">
        <v>690</v>
      </c>
      <c r="C331" s="230"/>
      <c r="D331" s="230">
        <v>0.000677653</v>
      </c>
      <c r="E331" s="230">
        <v>0.0109123</v>
      </c>
      <c r="F331" s="232">
        <v>3.533e-5</v>
      </c>
      <c r="G331" s="230">
        <v>4.78804e-6</v>
      </c>
      <c r="H331" s="12"/>
      <c r="J331" s="12">
        <v>690</v>
      </c>
      <c r="K331" s="231" t="s">
        <v>387</v>
      </c>
      <c r="L331" s="231">
        <v>0.000530904667524366</v>
      </c>
      <c r="M331" s="231">
        <v>0.00896250980007705</v>
      </c>
      <c r="N331" s="231">
        <v>2.58839126073874e-5</v>
      </c>
      <c r="O331" s="231">
        <v>3.39308296329186e-6</v>
      </c>
      <c r="P331" s="12"/>
      <c r="Q331" s="230"/>
      <c r="R331" s="232"/>
      <c r="S331" s="230"/>
      <c r="T331" s="230"/>
    </row>
    <row r="332" ht="15" customHeight="1" spans="2:20">
      <c r="B332" s="12">
        <v>691</v>
      </c>
      <c r="C332" s="230"/>
      <c r="D332" s="230">
        <v>0.000628297</v>
      </c>
      <c r="E332" s="230">
        <v>0.0101373</v>
      </c>
      <c r="F332" s="232">
        <v>3.295e-5</v>
      </c>
      <c r="G332" s="230">
        <v>4.47347e-6</v>
      </c>
      <c r="H332" s="12"/>
      <c r="J332" s="12">
        <v>691</v>
      </c>
      <c r="K332" s="231" t="s">
        <v>387</v>
      </c>
      <c r="L332" s="231">
        <v>0.000491524542485555</v>
      </c>
      <c r="M332" s="231">
        <v>0.00831393622768247</v>
      </c>
      <c r="N332" s="231">
        <v>2.41053115932457e-5</v>
      </c>
      <c r="O332" s="231">
        <v>3.16557262240044e-6</v>
      </c>
      <c r="P332" s="12"/>
      <c r="Q332" s="230"/>
      <c r="R332" s="232"/>
      <c r="S332" s="230"/>
      <c r="T332" s="230"/>
    </row>
    <row r="333" ht="15" customHeight="1" spans="2:20">
      <c r="B333" s="12">
        <v>692</v>
      </c>
      <c r="C333" s="230"/>
      <c r="D333" s="230">
        <v>0.000583108</v>
      </c>
      <c r="E333" s="230">
        <v>0.00942568</v>
      </c>
      <c r="F333" s="232">
        <v>3.075e-5</v>
      </c>
      <c r="G333" s="230">
        <v>4.17829e-6</v>
      </c>
      <c r="H333" s="12"/>
      <c r="J333" s="12">
        <v>692</v>
      </c>
      <c r="K333" s="231" t="s">
        <v>387</v>
      </c>
      <c r="L333" s="231">
        <v>0.000455513417832102</v>
      </c>
      <c r="M333" s="231">
        <v>0.00771914207155076</v>
      </c>
      <c r="N333" s="231">
        <v>2.24633437885912e-5</v>
      </c>
      <c r="O333" s="231">
        <v>2.952420991401e-6</v>
      </c>
      <c r="P333" s="12"/>
      <c r="Q333" s="230"/>
      <c r="R333" s="232"/>
      <c r="S333" s="230"/>
      <c r="T333" s="230"/>
    </row>
    <row r="334" ht="15" customHeight="1" spans="2:20">
      <c r="B334" s="12">
        <v>693</v>
      </c>
      <c r="C334" s="230"/>
      <c r="D334" s="230">
        <v>0.000541584</v>
      </c>
      <c r="E334" s="230">
        <v>0.00876917</v>
      </c>
      <c r="F334" s="232">
        <v>2.87e-5</v>
      </c>
      <c r="G334" s="230">
        <v>3.90243e-6</v>
      </c>
      <c r="H334" s="12"/>
      <c r="J334" s="12">
        <v>693</v>
      </c>
      <c r="K334" s="231" t="s">
        <v>387</v>
      </c>
      <c r="L334" s="231">
        <v>0.000422465121708613</v>
      </c>
      <c r="M334" s="231">
        <v>0.00717113159316054</v>
      </c>
      <c r="N334" s="231">
        <v>2.09355338743503e-5</v>
      </c>
      <c r="O334" s="231">
        <v>2.75351652005947e-6</v>
      </c>
      <c r="P334" s="12"/>
      <c r="Q334" s="230"/>
      <c r="R334" s="232"/>
      <c r="S334" s="230"/>
      <c r="T334" s="230"/>
    </row>
    <row r="335" ht="15" customHeight="1" spans="2:20">
      <c r="B335" s="12">
        <v>694</v>
      </c>
      <c r="C335" s="230"/>
      <c r="D335" s="230">
        <v>0.000503294</v>
      </c>
      <c r="E335" s="230">
        <v>0.00816076</v>
      </c>
      <c r="F335" s="232">
        <v>2.679e-5</v>
      </c>
      <c r="G335" s="230">
        <v>3.64583e-6</v>
      </c>
      <c r="H335" s="12"/>
      <c r="J335" s="12">
        <v>694</v>
      </c>
      <c r="K335" s="231" t="s">
        <v>387</v>
      </c>
      <c r="L335" s="231">
        <v>0.000392031127384684</v>
      </c>
      <c r="M335" s="231">
        <v>0.00666397827606652</v>
      </c>
      <c r="N335" s="231">
        <v>1.95141042724716e-5</v>
      </c>
      <c r="O335" s="231">
        <v>2.56875534681801e-6</v>
      </c>
      <c r="P335" s="12"/>
      <c r="Q335" s="230"/>
      <c r="R335" s="232"/>
      <c r="S335" s="230"/>
      <c r="T335" s="230"/>
    </row>
    <row r="336" ht="15" customHeight="1" spans="2:20">
      <c r="B336" s="12">
        <v>695</v>
      </c>
      <c r="C336" s="230"/>
      <c r="D336" s="230">
        <v>0.00046787</v>
      </c>
      <c r="E336" s="230">
        <v>0.00759453</v>
      </c>
      <c r="F336" s="232">
        <v>2.501e-5</v>
      </c>
      <c r="G336" s="230">
        <v>3.40841e-6</v>
      </c>
      <c r="H336" s="12"/>
      <c r="J336" s="12">
        <v>695</v>
      </c>
      <c r="K336" s="231" t="s">
        <v>387</v>
      </c>
      <c r="L336" s="231">
        <v>0.000363913916062602</v>
      </c>
      <c r="M336" s="231">
        <v>0.00619267851344379</v>
      </c>
      <c r="N336" s="231">
        <v>1.81913221679427e-5</v>
      </c>
      <c r="O336" s="231">
        <v>2.39802013668782e-6</v>
      </c>
      <c r="P336" s="12"/>
      <c r="Q336" s="230"/>
      <c r="R336" s="232"/>
      <c r="S336" s="230"/>
      <c r="T336" s="230"/>
    </row>
    <row r="337" ht="15" customHeight="1" spans="2:20">
      <c r="B337" s="12">
        <v>696</v>
      </c>
      <c r="C337" s="230"/>
      <c r="D337" s="230">
        <v>0.000435007</v>
      </c>
      <c r="E337" s="230">
        <v>0.00706588</v>
      </c>
      <c r="F337" s="232">
        <v>2.336e-5</v>
      </c>
      <c r="G337" s="230">
        <v>3.18739e-6</v>
      </c>
      <c r="H337" s="12"/>
      <c r="J337" s="12">
        <v>696</v>
      </c>
      <c r="K337" s="231" t="s">
        <v>387</v>
      </c>
      <c r="L337" s="231">
        <v>0.000337866610441044</v>
      </c>
      <c r="M337" s="231">
        <v>0.00575333225351949</v>
      </c>
      <c r="N337" s="231">
        <v>1.69667623560336e-5</v>
      </c>
      <c r="O337" s="231">
        <v>2.23929734698185e-6</v>
      </c>
      <c r="P337" s="12"/>
      <c r="Q337" s="230"/>
      <c r="R337" s="232"/>
      <c r="S337" s="230"/>
      <c r="T337" s="230"/>
    </row>
    <row r="338" ht="15" customHeight="1" spans="2:20">
      <c r="B338" s="12">
        <v>697</v>
      </c>
      <c r="C338" s="230"/>
      <c r="D338" s="230">
        <v>0.00040449</v>
      </c>
      <c r="E338" s="230">
        <v>0.00657252</v>
      </c>
      <c r="F338" s="232">
        <v>2.182e-5</v>
      </c>
      <c r="G338" s="230">
        <v>2.97998e-6</v>
      </c>
      <c r="H338" s="12"/>
      <c r="J338" s="12">
        <v>697</v>
      </c>
      <c r="K338" s="231" t="s">
        <v>387</v>
      </c>
      <c r="L338" s="231">
        <v>0.000313713552039641</v>
      </c>
      <c r="M338" s="231">
        <v>0.0053439400256007</v>
      </c>
      <c r="N338" s="231">
        <v>1.58254965758106e-5</v>
      </c>
      <c r="O338" s="231">
        <v>2.09057797508534e-6</v>
      </c>
      <c r="P338" s="12"/>
      <c r="Q338" s="230"/>
      <c r="R338" s="232"/>
      <c r="S338" s="230"/>
      <c r="T338" s="230"/>
    </row>
    <row r="339" ht="15" customHeight="1" spans="2:20">
      <c r="B339" s="12">
        <v>698</v>
      </c>
      <c r="C339" s="230"/>
      <c r="D339" s="230">
        <v>0.000376138</v>
      </c>
      <c r="E339" s="230">
        <v>0.00611262</v>
      </c>
      <c r="F339" s="232">
        <v>2.038e-5</v>
      </c>
      <c r="G339" s="230">
        <v>2.78604e-6</v>
      </c>
      <c r="H339" s="12"/>
      <c r="J339" s="12">
        <v>698</v>
      </c>
      <c r="K339" s="231" t="s">
        <v>387</v>
      </c>
      <c r="L339" s="231">
        <v>0.00029130642089058</v>
      </c>
      <c r="M339" s="231">
        <v>0.00496288729512603</v>
      </c>
      <c r="N339" s="231">
        <v>1.47599244725581e-5</v>
      </c>
      <c r="O339" s="231">
        <v>1.95172095134425e-6</v>
      </c>
      <c r="P339" s="12"/>
      <c r="Q339" s="230"/>
      <c r="R339" s="232"/>
      <c r="S339" s="230"/>
      <c r="T339" s="230"/>
    </row>
    <row r="340" ht="15" customHeight="1" spans="2:20">
      <c r="B340" s="12">
        <v>699</v>
      </c>
      <c r="C340" s="230"/>
      <c r="D340" s="230">
        <v>0.000349784</v>
      </c>
      <c r="E340" s="230">
        <v>0.0056844</v>
      </c>
      <c r="F340" s="232">
        <v>1.905e-5</v>
      </c>
      <c r="G340" s="230">
        <v>2.60548e-6</v>
      </c>
      <c r="H340" s="12"/>
      <c r="J340" s="12">
        <v>699</v>
      </c>
      <c r="K340" s="231" t="s">
        <v>387</v>
      </c>
      <c r="L340" s="231">
        <v>0.00027050857280596</v>
      </c>
      <c r="M340" s="231">
        <v>0.00460860930398631</v>
      </c>
      <c r="N340" s="231">
        <v>1.3776953177128e-5</v>
      </c>
      <c r="O340" s="231">
        <v>1.82262099005367e-6</v>
      </c>
      <c r="P340" s="12"/>
      <c r="Q340" s="230"/>
      <c r="R340" s="232"/>
      <c r="S340" s="230"/>
      <c r="T340" s="230"/>
    </row>
    <row r="341" ht="15" customHeight="1" spans="2:20">
      <c r="B341" s="12">
        <v>700</v>
      </c>
      <c r="C341" s="230"/>
      <c r="D341" s="230">
        <v>0.000325278</v>
      </c>
      <c r="E341" s="230">
        <v>0.00528607</v>
      </c>
      <c r="F341" s="232">
        <v>1.78e-5</v>
      </c>
      <c r="G341" s="230">
        <v>2.43819e-6</v>
      </c>
      <c r="H341" s="12"/>
      <c r="J341" s="12">
        <v>700</v>
      </c>
      <c r="K341" s="231" t="s">
        <v>387</v>
      </c>
      <c r="L341" s="231">
        <v>0.000251197272741704</v>
      </c>
      <c r="M341" s="231">
        <v>0.00427954213966106</v>
      </c>
      <c r="N341" s="231">
        <v>1.28545636910732e-5</v>
      </c>
      <c r="O341" s="231">
        <v>1.70315943645456e-6</v>
      </c>
      <c r="P341" s="12"/>
      <c r="Q341" s="230"/>
      <c r="R341" s="232"/>
      <c r="S341" s="230"/>
      <c r="T341" s="230"/>
    </row>
    <row r="342" ht="15" customHeight="1" spans="2:20">
      <c r="B342" s="12">
        <v>701</v>
      </c>
      <c r="C342" s="230"/>
      <c r="D342" s="230">
        <v>0.000302477</v>
      </c>
      <c r="E342" s="230">
        <v>0.00491573</v>
      </c>
      <c r="F342" s="232">
        <v>1.664e-5</v>
      </c>
      <c r="G342" s="230">
        <v>2.28225e-6</v>
      </c>
      <c r="H342" s="12"/>
      <c r="J342" s="12">
        <v>701</v>
      </c>
      <c r="K342" s="231" t="s">
        <v>387</v>
      </c>
      <c r="L342" s="231">
        <v>0.000233255884063602</v>
      </c>
      <c r="M342" s="231">
        <v>0.00397404188581522</v>
      </c>
      <c r="N342" s="231">
        <v>1.19997081114957e-5</v>
      </c>
      <c r="O342" s="231">
        <v>1.59195576933045e-6</v>
      </c>
      <c r="P342" s="12"/>
      <c r="Q342" s="230"/>
      <c r="R342" s="232"/>
      <c r="S342" s="230"/>
      <c r="T342" s="230"/>
    </row>
    <row r="343" ht="15" customHeight="1" spans="2:20">
      <c r="B343" s="12">
        <v>702</v>
      </c>
      <c r="C343" s="230"/>
      <c r="D343" s="230">
        <v>0.000281237</v>
      </c>
      <c r="E343" s="230">
        <v>0.00457086</v>
      </c>
      <c r="F343" s="232">
        <v>1.556e-5</v>
      </c>
      <c r="G343" s="230">
        <v>2.1358e-6</v>
      </c>
      <c r="H343" s="12"/>
      <c r="J343" s="12">
        <v>702</v>
      </c>
      <c r="K343" s="231" t="s">
        <v>387</v>
      </c>
      <c r="L343" s="231">
        <v>0.000216567664679696</v>
      </c>
      <c r="M343" s="231">
        <v>0.00368997347825387</v>
      </c>
      <c r="N343" s="231">
        <v>1.12048967415066e-5</v>
      </c>
      <c r="O343" s="231">
        <v>1.48767912633533e-6</v>
      </c>
      <c r="P343" s="12"/>
      <c r="Q343" s="230"/>
      <c r="R343" s="232"/>
      <c r="S343" s="230"/>
      <c r="T343" s="230"/>
    </row>
    <row r="344" ht="15" customHeight="1" spans="2:20">
      <c r="B344" s="12">
        <v>703</v>
      </c>
      <c r="C344" s="230"/>
      <c r="D344" s="230">
        <v>0.000261427</v>
      </c>
      <c r="E344" s="230">
        <v>0.00424908</v>
      </c>
      <c r="F344" s="232">
        <v>1.454e-5</v>
      </c>
      <c r="G344" s="230">
        <v>1.99874e-6</v>
      </c>
      <c r="H344" s="12"/>
      <c r="J344" s="12">
        <v>703</v>
      </c>
      <c r="K344" s="231" t="s">
        <v>387</v>
      </c>
      <c r="L344" s="231">
        <v>0.000201026533210375</v>
      </c>
      <c r="M344" s="231">
        <v>0.00342532685981191</v>
      </c>
      <c r="N344" s="231">
        <v>1.04554916527677e-5</v>
      </c>
      <c r="O344" s="231">
        <v>1.39023039157159e-6</v>
      </c>
      <c r="P344" s="12"/>
      <c r="Q344" s="230"/>
      <c r="R344" s="232"/>
      <c r="S344" s="230"/>
      <c r="T344" s="230"/>
    </row>
    <row r="345" ht="15" customHeight="1" spans="2:20">
      <c r="B345" s="12">
        <v>704</v>
      </c>
      <c r="C345" s="230"/>
      <c r="D345" s="230">
        <v>0.00024293</v>
      </c>
      <c r="E345" s="230">
        <v>0.00394832</v>
      </c>
      <c r="F345" s="232">
        <v>1.36e-5</v>
      </c>
      <c r="G345" s="230">
        <v>1.87101e-6</v>
      </c>
      <c r="H345" s="12"/>
      <c r="J345" s="12">
        <v>704</v>
      </c>
      <c r="K345" s="231" t="s">
        <v>387</v>
      </c>
      <c r="L345" s="231">
        <v>0.000186537761139385</v>
      </c>
      <c r="M345" s="231">
        <v>0.00317835294059718</v>
      </c>
      <c r="N345" s="231">
        <v>9.76566061821829e-6</v>
      </c>
      <c r="O345" s="231">
        <v>1.29953879491584e-6</v>
      </c>
      <c r="P345" s="12"/>
      <c r="Q345" s="230"/>
      <c r="R345" s="232"/>
      <c r="S345" s="230"/>
      <c r="T345" s="230"/>
    </row>
    <row r="346" ht="15" customHeight="1" spans="2:20">
      <c r="B346" s="12">
        <v>705</v>
      </c>
      <c r="C346" s="230"/>
      <c r="D346" s="230">
        <v>0.000225641</v>
      </c>
      <c r="E346" s="230">
        <v>0.00366675</v>
      </c>
      <c r="F346" s="232">
        <v>1.273e-5</v>
      </c>
      <c r="G346" s="230">
        <v>1.75252e-6</v>
      </c>
      <c r="H346" s="12"/>
      <c r="J346" s="12">
        <v>705</v>
      </c>
      <c r="K346" s="231" t="s">
        <v>387</v>
      </c>
      <c r="L346" s="231">
        <v>0.000173016358742815</v>
      </c>
      <c r="M346" s="231">
        <v>0.00294750547787846</v>
      </c>
      <c r="N346" s="231">
        <v>9.12797968373205e-6</v>
      </c>
      <c r="O346" s="231">
        <v>1.21551316037149e-6</v>
      </c>
      <c r="P346" s="12"/>
      <c r="Q346" s="230"/>
      <c r="R346" s="232"/>
      <c r="S346" s="230"/>
      <c r="T346" s="230"/>
    </row>
    <row r="347" ht="15" customHeight="1" spans="2:20">
      <c r="B347" s="12">
        <v>706</v>
      </c>
      <c r="C347" s="230"/>
      <c r="D347" s="230">
        <v>0.000209478</v>
      </c>
      <c r="E347" s="230">
        <v>0.00340297</v>
      </c>
      <c r="F347" s="232">
        <v>1.191e-5</v>
      </c>
      <c r="G347" s="230">
        <v>1.64197e-6</v>
      </c>
      <c r="H347" s="12"/>
      <c r="J347" s="12">
        <v>706</v>
      </c>
      <c r="K347" s="231" t="s">
        <v>387</v>
      </c>
      <c r="L347" s="231">
        <v>0.000160395428718966</v>
      </c>
      <c r="M347" s="231">
        <v>0.00273159215406173</v>
      </c>
      <c r="N347" s="231">
        <v>8.52790666617416e-6</v>
      </c>
      <c r="O347" s="231">
        <v>1.13722478519988e-6</v>
      </c>
      <c r="P347" s="12"/>
      <c r="Q347" s="230"/>
      <c r="R347" s="232"/>
      <c r="S347" s="230"/>
      <c r="T347" s="230"/>
    </row>
    <row r="348" ht="15" customHeight="1" spans="2:20">
      <c r="B348" s="12">
        <v>707</v>
      </c>
      <c r="C348" s="230"/>
      <c r="D348" s="230">
        <v>0.0001944</v>
      </c>
      <c r="E348" s="230">
        <v>0.00315632</v>
      </c>
      <c r="F348" s="232">
        <v>1.114e-5</v>
      </c>
      <c r="G348" s="230">
        <v>1.53806e-6</v>
      </c>
      <c r="H348" s="12"/>
      <c r="J348" s="12">
        <v>707</v>
      </c>
      <c r="K348" s="231" t="s">
        <v>387</v>
      </c>
      <c r="L348" s="231">
        <v>0.000148639801180843</v>
      </c>
      <c r="M348" s="231">
        <v>0.00253002056128112</v>
      </c>
      <c r="N348" s="231">
        <v>7.96528198456756e-6</v>
      </c>
      <c r="O348" s="231">
        <v>1.06375022099184e-6</v>
      </c>
      <c r="P348" s="12"/>
      <c r="Q348" s="230"/>
      <c r="R348" s="232"/>
      <c r="S348" s="230"/>
      <c r="T348" s="230"/>
    </row>
    <row r="349" ht="15" customHeight="1" spans="2:20">
      <c r="B349" s="12">
        <v>708</v>
      </c>
      <c r="C349" s="230"/>
      <c r="D349" s="230">
        <v>0.00018037</v>
      </c>
      <c r="E349" s="230">
        <v>0.00292624</v>
      </c>
      <c r="F349" s="232">
        <v>1.043e-5</v>
      </c>
      <c r="G349" s="230">
        <v>1.44073e-6</v>
      </c>
      <c r="H349" s="12"/>
      <c r="J349" s="12">
        <v>708</v>
      </c>
      <c r="K349" s="231" t="s">
        <v>387</v>
      </c>
      <c r="L349" s="231">
        <v>0.000137717559053679</v>
      </c>
      <c r="M349" s="231">
        <v>0.00234228168268089</v>
      </c>
      <c r="N349" s="231">
        <v>7.44708702378321e-6</v>
      </c>
      <c r="O349" s="231">
        <v>9.95027631765641e-7</v>
      </c>
      <c r="P349" s="12"/>
      <c r="Q349" s="230"/>
      <c r="R349" s="232"/>
      <c r="S349" s="230"/>
      <c r="T349" s="230"/>
    </row>
    <row r="350" ht="15" customHeight="1" spans="2:20">
      <c r="B350" s="12">
        <v>709</v>
      </c>
      <c r="C350" s="230"/>
      <c r="D350" s="230">
        <v>0.000167347</v>
      </c>
      <c r="E350" s="230">
        <v>0.00271213</v>
      </c>
      <c r="F350" s="231">
        <v>9.76e-6</v>
      </c>
      <c r="G350" s="230">
        <v>1.34993e-6</v>
      </c>
      <c r="H350" s="12"/>
      <c r="J350" s="12">
        <v>709</v>
      </c>
      <c r="K350" s="231" t="s">
        <v>387</v>
      </c>
      <c r="L350" s="231">
        <v>0.000127593915526163</v>
      </c>
      <c r="M350" s="231">
        <v>0.00216783740068026</v>
      </c>
      <c r="N350" s="231">
        <v>6.95887380052711e-6</v>
      </c>
      <c r="O350" s="231">
        <v>9.31002427074507e-7</v>
      </c>
      <c r="P350" s="12"/>
      <c r="Q350" s="230"/>
      <c r="R350" s="231"/>
      <c r="S350" s="230"/>
      <c r="T350" s="230"/>
    </row>
    <row r="351" ht="15" customHeight="1" spans="2:20">
      <c r="B351" s="12">
        <v>710</v>
      </c>
      <c r="C351" s="230"/>
      <c r="D351" s="230">
        <v>0.000155286</v>
      </c>
      <c r="E351" s="230">
        <v>0.00251327</v>
      </c>
      <c r="F351" s="231">
        <v>9.14e-6</v>
      </c>
      <c r="G351" s="230">
        <v>1.2656e-6</v>
      </c>
      <c r="H351" s="12"/>
      <c r="J351" s="12">
        <v>710</v>
      </c>
      <c r="K351" s="231" t="s">
        <v>387</v>
      </c>
      <c r="L351" s="231">
        <v>0.000118231234259846</v>
      </c>
      <c r="M351" s="231">
        <v>0.00200605684703065</v>
      </c>
      <c r="N351" s="231">
        <v>6.50763558280475e-6</v>
      </c>
      <c r="O351" s="231">
        <v>8.71613437065225e-7</v>
      </c>
      <c r="P351" s="12"/>
      <c r="Q351" s="230"/>
      <c r="R351" s="231"/>
      <c r="S351" s="230"/>
      <c r="T351" s="230"/>
    </row>
    <row r="352" ht="15" customHeight="1" spans="2:20">
      <c r="B352" s="12">
        <v>711</v>
      </c>
      <c r="C352" s="230"/>
      <c r="D352" s="230">
        <v>0.000144135</v>
      </c>
      <c r="E352" s="230">
        <v>0.00232895</v>
      </c>
      <c r="F352" s="231">
        <v>8.56e-6</v>
      </c>
      <c r="G352" s="230">
        <v>1.18683e-6</v>
      </c>
      <c r="H352" s="12"/>
      <c r="J352" s="12">
        <v>711</v>
      </c>
      <c r="K352" s="231" t="s">
        <v>387</v>
      </c>
      <c r="L352" s="231">
        <v>0.0001095867685087</v>
      </c>
      <c r="M352" s="231">
        <v>0.00185632067330539</v>
      </c>
      <c r="N352" s="231">
        <v>6.0861064205274e-6</v>
      </c>
      <c r="O352" s="231">
        <v>8.16215267902269e-7</v>
      </c>
      <c r="P352" s="12"/>
      <c r="Q352" s="230"/>
      <c r="R352" s="231"/>
      <c r="S352" s="230"/>
      <c r="T352" s="230"/>
    </row>
    <row r="353" ht="15" customHeight="1" spans="2:20">
      <c r="B353" s="12">
        <v>712</v>
      </c>
      <c r="C353" s="230"/>
      <c r="D353" s="230">
        <v>0.00013383</v>
      </c>
      <c r="E353" s="230">
        <v>0.00215836</v>
      </c>
      <c r="F353" s="231">
        <v>8.02e-6</v>
      </c>
      <c r="G353" s="230">
        <v>1.11273e-6</v>
      </c>
      <c r="H353" s="12"/>
      <c r="J353" s="12">
        <v>712</v>
      </c>
      <c r="K353" s="231" t="s">
        <v>387</v>
      </c>
      <c r="L353" s="231">
        <v>0.000101608900813846</v>
      </c>
      <c r="M353" s="231">
        <v>0.00171793341617611</v>
      </c>
      <c r="N353" s="231">
        <v>5.69416113509066e-6</v>
      </c>
      <c r="O353" s="231">
        <v>7.64179886783912e-7</v>
      </c>
      <c r="P353" s="12"/>
      <c r="Q353" s="230"/>
      <c r="R353" s="231"/>
      <c r="S353" s="230"/>
      <c r="T353" s="230"/>
    </row>
    <row r="354" ht="15" customHeight="1" spans="2:20">
      <c r="B354" s="12">
        <v>713</v>
      </c>
      <c r="C354" s="230"/>
      <c r="D354" s="230">
        <v>0.000124309</v>
      </c>
      <c r="E354" s="230">
        <v>0.00200071</v>
      </c>
      <c r="F354" s="231">
        <v>7.51e-6</v>
      </c>
      <c r="G354" s="230">
        <v>1.04326e-6</v>
      </c>
      <c r="H354" s="12"/>
      <c r="J354" s="12">
        <v>713</v>
      </c>
      <c r="K354" s="231" t="s">
        <v>387</v>
      </c>
      <c r="L354" s="231">
        <v>9.42478196429009e-5</v>
      </c>
      <c r="M354" s="231">
        <v>0.00159021941048283</v>
      </c>
      <c r="N354" s="231">
        <v>5.32458525647067e-6</v>
      </c>
      <c r="O354" s="231">
        <v>7.15465712608352e-7</v>
      </c>
      <c r="P354" s="12"/>
      <c r="Q354" s="230"/>
      <c r="R354" s="231"/>
      <c r="S354" s="230"/>
      <c r="T354" s="230"/>
    </row>
    <row r="355" ht="15" customHeight="1" spans="2:20">
      <c r="B355" s="12">
        <v>714</v>
      </c>
      <c r="C355" s="230"/>
      <c r="D355" s="230">
        <v>0.000115513</v>
      </c>
      <c r="E355" s="230">
        <v>0.00185521</v>
      </c>
      <c r="F355" s="231">
        <v>7.04e-6</v>
      </c>
      <c r="G355" s="230">
        <v>9.78385e-7</v>
      </c>
      <c r="H355" s="12"/>
      <c r="J355" s="12">
        <v>714</v>
      </c>
      <c r="K355" s="231" t="s">
        <v>387</v>
      </c>
      <c r="L355" s="231">
        <v>8.7456263855305e-5</v>
      </c>
      <c r="M355" s="231">
        <v>0.00147250677630455</v>
      </c>
      <c r="N355" s="231">
        <v>4.98436485928373e-6</v>
      </c>
      <c r="O355" s="231">
        <v>6.70034821409065e-7</v>
      </c>
      <c r="P355" s="12"/>
      <c r="Q355" s="230"/>
      <c r="R355" s="231"/>
      <c r="S355" s="230"/>
      <c r="T355" s="230"/>
    </row>
    <row r="356" ht="15" customHeight="1" spans="2:20">
      <c r="B356" s="12">
        <v>715</v>
      </c>
      <c r="C356" s="230"/>
      <c r="D356" s="230">
        <v>0.000107388</v>
      </c>
      <c r="E356" s="230">
        <v>0.00172108</v>
      </c>
      <c r="F356" s="231">
        <v>6.6e-6</v>
      </c>
      <c r="G356" s="230">
        <v>9.18078e-7</v>
      </c>
      <c r="H356" s="12"/>
      <c r="J356" s="12">
        <v>715</v>
      </c>
      <c r="K356" s="231" t="s">
        <v>387</v>
      </c>
      <c r="L356" s="231">
        <v>8.11910169733683e-5</v>
      </c>
      <c r="M356" s="231">
        <v>0.00136413531853155</v>
      </c>
      <c r="N356" s="231">
        <v>4.66630661214412e-6</v>
      </c>
      <c r="O356" s="231">
        <v>6.27854972419745e-7</v>
      </c>
      <c r="P356" s="12"/>
      <c r="Q356" s="230"/>
      <c r="R356" s="231"/>
      <c r="S356" s="230"/>
      <c r="T356" s="230"/>
    </row>
    <row r="357" ht="15" customHeight="1" spans="2:20">
      <c r="B357" s="12">
        <v>716</v>
      </c>
      <c r="C357" s="230"/>
      <c r="D357" s="230">
        <v>9.988e-5</v>
      </c>
      <c r="E357" s="230">
        <v>0.0015975</v>
      </c>
      <c r="F357" s="231">
        <v>6.18e-6</v>
      </c>
      <c r="G357" s="230">
        <v>8.61705e-7</v>
      </c>
      <c r="H357" s="12"/>
      <c r="J357" s="12">
        <v>716</v>
      </c>
      <c r="K357" s="231" t="s">
        <v>387</v>
      </c>
      <c r="L357" s="231">
        <v>7.54091039522367e-5</v>
      </c>
      <c r="M357" s="231">
        <v>0.0012644168704046</v>
      </c>
      <c r="N357" s="231">
        <v>4.36325736987499e-6</v>
      </c>
      <c r="O357" s="231">
        <v>5.88479569738674e-7</v>
      </c>
      <c r="P357" s="12"/>
      <c r="Q357" s="230"/>
      <c r="R357" s="231"/>
      <c r="S357" s="230"/>
      <c r="T357" s="230"/>
    </row>
    <row r="358" ht="15" customHeight="1" spans="2:20">
      <c r="B358" s="12">
        <v>717</v>
      </c>
      <c r="C358" s="230"/>
      <c r="D358" s="230">
        <v>9.2932e-5</v>
      </c>
      <c r="E358" s="230">
        <v>0.00148342</v>
      </c>
      <c r="F358" s="231">
        <v>5.8e-6</v>
      </c>
      <c r="G358" s="230">
        <v>8.0864e-7</v>
      </c>
      <c r="H358" s="12"/>
      <c r="J358" s="12">
        <v>717</v>
      </c>
      <c r="K358" s="231" t="s">
        <v>387</v>
      </c>
      <c r="L358" s="231">
        <v>7.00655276641357e-5</v>
      </c>
      <c r="M358" s="231">
        <v>0.00117248531383743</v>
      </c>
      <c r="N358" s="231">
        <v>4.08925521333876e-6</v>
      </c>
      <c r="O358" s="231">
        <v>5.51469964710848e-7</v>
      </c>
      <c r="P358" s="12"/>
      <c r="Q358" s="230"/>
      <c r="R358" s="231"/>
      <c r="S358" s="230"/>
      <c r="T358" s="230"/>
    </row>
    <row r="359" ht="15" customHeight="1" spans="2:20">
      <c r="B359" s="12">
        <v>718</v>
      </c>
      <c r="C359" s="230"/>
      <c r="D359" s="230">
        <v>8.64907e-5</v>
      </c>
      <c r="E359" s="230">
        <v>0.00137787</v>
      </c>
      <c r="F359" s="231">
        <v>5.44e-6</v>
      </c>
      <c r="G359" s="230">
        <v>7.58853e-7</v>
      </c>
      <c r="H359" s="12"/>
      <c r="J359" s="12">
        <v>718</v>
      </c>
      <c r="K359" s="231" t="s">
        <v>387</v>
      </c>
      <c r="L359" s="231">
        <v>6.51183273693952e-5</v>
      </c>
      <c r="M359" s="231">
        <v>0.00108754249931662</v>
      </c>
      <c r="N359" s="231">
        <v>3.83009753494467e-6</v>
      </c>
      <c r="O359" s="231">
        <v>5.16795841717816e-7</v>
      </c>
      <c r="P359" s="12"/>
      <c r="Q359" s="230"/>
      <c r="R359" s="231"/>
      <c r="S359" s="230"/>
      <c r="T359" s="230"/>
    </row>
    <row r="360" ht="15" customHeight="1" spans="2:20">
      <c r="B360" s="12">
        <v>719</v>
      </c>
      <c r="C360" s="230"/>
      <c r="D360" s="230">
        <v>8.0509e-5</v>
      </c>
      <c r="E360" s="230">
        <v>0.00127998</v>
      </c>
      <c r="F360" s="231">
        <v>5.1e-6</v>
      </c>
      <c r="G360" s="230">
        <v>7.12313e-7</v>
      </c>
      <c r="H360" s="12"/>
      <c r="J360" s="12">
        <v>719</v>
      </c>
      <c r="K360" s="231" t="s">
        <v>387</v>
      </c>
      <c r="L360" s="231">
        <v>6.05304372181929e-5</v>
      </c>
      <c r="M360" s="231">
        <v>0.0010088735371365</v>
      </c>
      <c r="N360" s="231">
        <v>3.58572239667542e-6</v>
      </c>
      <c r="O360" s="231">
        <v>4.84426373720317e-7</v>
      </c>
      <c r="P360" s="12"/>
      <c r="Q360" s="230"/>
      <c r="R360" s="231"/>
      <c r="S360" s="230"/>
      <c r="T360" s="230"/>
    </row>
    <row r="361" ht="15" customHeight="1" spans="2:20">
      <c r="B361" s="12">
        <v>720</v>
      </c>
      <c r="C361" s="230"/>
      <c r="D361" s="230">
        <v>7.49453e-5</v>
      </c>
      <c r="E361" s="230">
        <v>0.001189</v>
      </c>
      <c r="F361" s="231">
        <v>4.78e-6</v>
      </c>
      <c r="G361" s="230">
        <v>6.68991e-7</v>
      </c>
      <c r="H361" s="12"/>
      <c r="J361" s="12">
        <v>720</v>
      </c>
      <c r="K361" s="231" t="s">
        <v>387</v>
      </c>
      <c r="L361" s="231">
        <v>5.62691266964385e-5</v>
      </c>
      <c r="M361" s="231">
        <v>0.000935861961207029</v>
      </c>
      <c r="N361" s="231">
        <v>3.35606820461384e-6</v>
      </c>
      <c r="O361" s="231">
        <v>4.54332263201631e-7</v>
      </c>
      <c r="P361" s="12"/>
      <c r="Q361" s="230"/>
      <c r="R361" s="231"/>
      <c r="S361" s="230"/>
      <c r="T361" s="230"/>
    </row>
    <row r="362" ht="15" customHeight="1" spans="2:20">
      <c r="B362" s="12">
        <v>721</v>
      </c>
      <c r="C362" s="230"/>
      <c r="D362" s="230">
        <v>6.97652e-5</v>
      </c>
      <c r="E362" s="230">
        <v>0.00110433</v>
      </c>
      <c r="F362" s="231">
        <v>4.49e-6</v>
      </c>
      <c r="G362" s="230">
        <v>6.28444e-7</v>
      </c>
      <c r="H362" s="12"/>
      <c r="J362" s="12">
        <v>721</v>
      </c>
      <c r="K362" s="231" t="s">
        <v>387</v>
      </c>
      <c r="L362" s="231">
        <v>5.23072451551957e-5</v>
      </c>
      <c r="M362" s="231">
        <v>0.000868012626755693</v>
      </c>
      <c r="N362" s="231">
        <v>3.14808503179441e-6</v>
      </c>
      <c r="O362" s="231">
        <v>4.26203605070899e-7</v>
      </c>
      <c r="P362" s="12"/>
      <c r="Q362" s="230"/>
      <c r="R362" s="231"/>
      <c r="S362" s="230"/>
      <c r="T362" s="230"/>
    </row>
    <row r="363" ht="15" customHeight="1" spans="2:20">
      <c r="B363" s="12">
        <v>722</v>
      </c>
      <c r="C363" s="230"/>
      <c r="D363" s="230">
        <v>6.4947e-5</v>
      </c>
      <c r="E363" s="230">
        <v>0.00102563</v>
      </c>
      <c r="F363" s="231">
        <v>4.21e-6</v>
      </c>
      <c r="G363" s="230">
        <v>5.90239e-7</v>
      </c>
      <c r="H363" s="12"/>
      <c r="J363" s="12">
        <v>722</v>
      </c>
      <c r="K363" s="231" t="s">
        <v>387</v>
      </c>
      <c r="L363" s="231">
        <v>4.86273011444802e-5</v>
      </c>
      <c r="M363" s="231">
        <v>0.000805037211321219</v>
      </c>
      <c r="N363" s="231">
        <v>2.94767960390868e-6</v>
      </c>
      <c r="O363" s="231">
        <v>3.99738983656552e-7</v>
      </c>
      <c r="P363" s="12"/>
      <c r="Q363" s="230"/>
      <c r="R363" s="231"/>
      <c r="S363" s="230"/>
      <c r="T363" s="230"/>
    </row>
    <row r="364" ht="15" customHeight="1" spans="2:20">
      <c r="B364" s="12">
        <v>723</v>
      </c>
      <c r="C364" s="230"/>
      <c r="D364" s="230">
        <v>6.04718e-5</v>
      </c>
      <c r="E364" s="230">
        <v>0.000952602</v>
      </c>
      <c r="F364" s="232">
        <v>3.951e-6</v>
      </c>
      <c r="G364" s="230">
        <v>5.54363e-7</v>
      </c>
      <c r="H364" s="12"/>
      <c r="J364" s="12">
        <v>723</v>
      </c>
      <c r="K364" s="231" t="s">
        <v>387</v>
      </c>
      <c r="L364" s="231">
        <v>4.52139935100996e-5</v>
      </c>
      <c r="M364" s="231">
        <v>0.000746681908618551</v>
      </c>
      <c r="N364" s="231">
        <v>2.76251160119362e-6</v>
      </c>
      <c r="O364" s="231">
        <v>3.74922702177648e-7</v>
      </c>
      <c r="P364" s="12"/>
      <c r="Q364" s="230"/>
      <c r="R364" s="232"/>
      <c r="S364" s="230"/>
      <c r="T364" s="230"/>
    </row>
    <row r="365" ht="15" customHeight="1" spans="2:20">
      <c r="B365" s="12">
        <v>724</v>
      </c>
      <c r="C365" s="230"/>
      <c r="D365" s="230">
        <v>5.63207e-5</v>
      </c>
      <c r="E365" s="230">
        <v>0.000884959</v>
      </c>
      <c r="F365" s="232">
        <v>3.709e-6</v>
      </c>
      <c r="G365" s="230">
        <v>5.20798e-7</v>
      </c>
      <c r="H365" s="12"/>
      <c r="J365" s="12">
        <v>724</v>
      </c>
      <c r="K365" s="231" t="s">
        <v>387</v>
      </c>
      <c r="L365" s="231">
        <v>4.20521056346251e-5</v>
      </c>
      <c r="M365" s="231">
        <v>0.000692702924873058</v>
      </c>
      <c r="N365" s="231">
        <v>2.58972497603307e-6</v>
      </c>
      <c r="O365" s="231">
        <v>3.51735773683277e-7</v>
      </c>
      <c r="P365" s="12"/>
      <c r="Q365" s="230"/>
      <c r="R365" s="232"/>
      <c r="S365" s="230"/>
      <c r="T365" s="230"/>
    </row>
    <row r="366" ht="15" customHeight="1" spans="2:20">
      <c r="B366" s="12">
        <v>725</v>
      </c>
      <c r="C366" s="230"/>
      <c r="D366" s="230">
        <v>5.24748e-5</v>
      </c>
      <c r="E366" s="230">
        <v>0.000822396</v>
      </c>
      <c r="F366" s="232">
        <v>3.482e-6</v>
      </c>
      <c r="G366" s="230">
        <v>4.89531e-7</v>
      </c>
      <c r="H366" s="12"/>
      <c r="J366" s="12">
        <v>725</v>
      </c>
      <c r="K366" s="231" t="s">
        <v>387</v>
      </c>
      <c r="L366" s="231">
        <v>3.9126504854379e-5</v>
      </c>
      <c r="M366" s="231">
        <v>0.000642843741287256</v>
      </c>
      <c r="N366" s="231">
        <v>2.42787396672777e-6</v>
      </c>
      <c r="O366" s="231">
        <v>3.30162688212851e-7</v>
      </c>
      <c r="P366" s="12"/>
      <c r="Q366" s="230"/>
      <c r="R366" s="232"/>
      <c r="S366" s="230"/>
      <c r="T366" s="230"/>
    </row>
    <row r="367" ht="15" customHeight="1" spans="2:20">
      <c r="B367" s="12">
        <v>726</v>
      </c>
      <c r="C367" s="230"/>
      <c r="D367" s="230">
        <v>4.89142e-5</v>
      </c>
      <c r="E367" s="230">
        <v>0.000764585</v>
      </c>
      <c r="F367" s="232">
        <v>3.27e-6</v>
      </c>
      <c r="G367" s="230">
        <v>4.60251e-7</v>
      </c>
      <c r="H367" s="12"/>
      <c r="J367" s="12">
        <v>726</v>
      </c>
      <c r="K367" s="231" t="s">
        <v>387</v>
      </c>
      <c r="L367" s="231">
        <v>3.64213972836135e-5</v>
      </c>
      <c r="M367" s="231">
        <v>0.000596831298703245</v>
      </c>
      <c r="N367" s="231">
        <v>2.27691338478245e-6</v>
      </c>
      <c r="O367" s="231">
        <v>3.09987312909133e-7</v>
      </c>
      <c r="P367" s="12"/>
      <c r="Q367" s="230"/>
      <c r="R367" s="232"/>
      <c r="S367" s="230"/>
      <c r="T367" s="230"/>
    </row>
    <row r="368" ht="15" customHeight="1" spans="2:20">
      <c r="B368" s="12">
        <v>727</v>
      </c>
      <c r="C368" s="230"/>
      <c r="D368" s="230">
        <v>4.56137e-5</v>
      </c>
      <c r="E368" s="230">
        <v>0.00071111</v>
      </c>
      <c r="F368" s="232">
        <v>3.07e-6</v>
      </c>
      <c r="G368" s="230">
        <v>4.32648e-7</v>
      </c>
      <c r="H368" s="12"/>
      <c r="J368" s="12">
        <v>727</v>
      </c>
      <c r="K368" s="231" t="s">
        <v>387</v>
      </c>
      <c r="L368" s="231">
        <v>3.39171349964033e-5</v>
      </c>
      <c r="M368" s="231">
        <v>0.000554325442471197</v>
      </c>
      <c r="N368" s="231">
        <v>2.13471225230023e-6</v>
      </c>
      <c r="O368" s="231">
        <v>2.90995376683062e-7</v>
      </c>
      <c r="P368" s="12"/>
      <c r="Q368" s="230"/>
      <c r="R368" s="232"/>
      <c r="S368" s="230"/>
      <c r="T368" s="230"/>
    </row>
    <row r="369" ht="15" customHeight="1" spans="2:20">
      <c r="B369" s="12">
        <v>728</v>
      </c>
      <c r="C369" s="230"/>
      <c r="D369" s="230">
        <v>4.2549e-5</v>
      </c>
      <c r="E369" s="230">
        <v>0.00066157</v>
      </c>
      <c r="F369" s="232">
        <v>2.884e-6</v>
      </c>
      <c r="G369" s="230">
        <v>4.0671e-7</v>
      </c>
      <c r="H369" s="12"/>
      <c r="J369" s="12">
        <v>728</v>
      </c>
      <c r="K369" s="231" t="s">
        <v>387</v>
      </c>
      <c r="L369" s="231">
        <v>3.15948463192867e-5</v>
      </c>
      <c r="M369" s="231">
        <v>0.000514999563681883</v>
      </c>
      <c r="N369" s="231">
        <v>2.00262325437852e-6</v>
      </c>
      <c r="O369" s="231">
        <v>2.73173942713666e-7</v>
      </c>
      <c r="P369" s="12"/>
      <c r="Q369" s="230"/>
      <c r="R369" s="232"/>
      <c r="S369" s="230"/>
      <c r="T369" s="230"/>
    </row>
    <row r="370" ht="15" customHeight="1" spans="2:20">
      <c r="B370" s="12">
        <v>729</v>
      </c>
      <c r="C370" s="230"/>
      <c r="D370" s="230">
        <v>3.96989e-5</v>
      </c>
      <c r="E370" s="230">
        <v>0.000615612</v>
      </c>
      <c r="F370" s="232">
        <v>2.71e-6</v>
      </c>
      <c r="G370" s="230">
        <v>3.8242e-7</v>
      </c>
      <c r="H370" s="12"/>
      <c r="J370" s="12">
        <v>729</v>
      </c>
      <c r="K370" s="231" t="s">
        <v>387</v>
      </c>
      <c r="L370" s="231">
        <v>2.94380618807431e-5</v>
      </c>
      <c r="M370" s="231">
        <v>0.000478566159891666</v>
      </c>
      <c r="N370" s="231">
        <v>1.87921790061543e-6</v>
      </c>
      <c r="O370" s="231">
        <v>2.56506791432512e-7</v>
      </c>
      <c r="P370" s="12"/>
      <c r="Q370" s="230"/>
      <c r="R370" s="232"/>
      <c r="S370" s="230"/>
      <c r="T370" s="230"/>
    </row>
    <row r="371" ht="15" customHeight="1" spans="2:20">
      <c r="B371" s="12">
        <v>730</v>
      </c>
      <c r="C371" s="230"/>
      <c r="D371" s="230">
        <v>3.70443e-5</v>
      </c>
      <c r="E371" s="230">
        <v>0.000572917</v>
      </c>
      <c r="F371" s="232">
        <v>2.546e-6</v>
      </c>
      <c r="G371" s="230">
        <v>3.59766e-7</v>
      </c>
      <c r="H371" s="12"/>
      <c r="J371" s="12">
        <v>730</v>
      </c>
      <c r="K371" s="231" t="s">
        <v>387</v>
      </c>
      <c r="L371" s="231">
        <v>2.74319576394289e-5</v>
      </c>
      <c r="M371" s="231">
        <v>0.000444765698819971</v>
      </c>
      <c r="N371" s="231">
        <v>1.76307552795372e-6</v>
      </c>
      <c r="O371" s="231">
        <v>2.4098114128275e-7</v>
      </c>
      <c r="P371" s="12"/>
      <c r="Q371" s="230"/>
      <c r="R371" s="232"/>
      <c r="S371" s="230"/>
      <c r="T371" s="230"/>
    </row>
    <row r="372" ht="15" customHeight="1" spans="2:20">
      <c r="B372" s="12">
        <v>731</v>
      </c>
      <c r="C372" s="230"/>
      <c r="D372" s="230">
        <v>3.45688e-5</v>
      </c>
      <c r="E372" s="230">
        <v>0.000533206</v>
      </c>
      <c r="F372" s="232">
        <v>2.393e-6</v>
      </c>
      <c r="G372" s="230">
        <v>3.38528e-7</v>
      </c>
      <c r="H372" s="12"/>
      <c r="J372" s="12">
        <v>731</v>
      </c>
      <c r="K372" s="231" t="s">
        <v>387</v>
      </c>
      <c r="L372" s="231">
        <v>2.55637873329818e-5</v>
      </c>
      <c r="M372" s="231">
        <v>0.000413371078570084</v>
      </c>
      <c r="N372" s="231">
        <v>1.65485787046502e-6</v>
      </c>
      <c r="O372" s="231">
        <v>2.26445147132541e-7</v>
      </c>
      <c r="P372" s="12"/>
      <c r="Q372" s="230"/>
      <c r="R372" s="232"/>
      <c r="S372" s="230"/>
      <c r="T372" s="230"/>
    </row>
    <row r="373" ht="15" customHeight="1" spans="2:20">
      <c r="B373" s="12">
        <v>732</v>
      </c>
      <c r="C373" s="230"/>
      <c r="D373" s="230">
        <v>3.22588e-5</v>
      </c>
      <c r="E373" s="230">
        <v>0.000496234</v>
      </c>
      <c r="F373" s="232">
        <v>2.25e-6</v>
      </c>
      <c r="G373" s="230">
        <v>3.1849e-7</v>
      </c>
      <c r="H373" s="12"/>
      <c r="J373" s="12">
        <v>732</v>
      </c>
      <c r="K373" s="231" t="s">
        <v>387</v>
      </c>
      <c r="L373" s="231">
        <v>2.38229421349784e-5</v>
      </c>
      <c r="M373" s="231">
        <v>0.000384182760929511</v>
      </c>
      <c r="N373" s="231">
        <v>1.55384185342914e-6</v>
      </c>
      <c r="O373" s="231">
        <v>2.1275046559413e-7</v>
      </c>
      <c r="P373" s="12"/>
      <c r="Q373" s="230"/>
      <c r="R373" s="232"/>
      <c r="S373" s="230"/>
      <c r="T373" s="230"/>
    </row>
    <row r="374" ht="15" customHeight="1" spans="2:20">
      <c r="B374" s="12">
        <v>733</v>
      </c>
      <c r="C374" s="230"/>
      <c r="D374" s="230">
        <v>3.01026e-5</v>
      </c>
      <c r="E374" s="230">
        <v>0.000461782</v>
      </c>
      <c r="F374" s="232">
        <v>2.115e-6</v>
      </c>
      <c r="G374" s="230">
        <v>2.99644e-7</v>
      </c>
      <c r="H374" s="12"/>
      <c r="J374" s="12">
        <v>733</v>
      </c>
      <c r="K374" s="231" t="s">
        <v>387</v>
      </c>
      <c r="L374" s="231">
        <v>2.22002723366941e-5</v>
      </c>
      <c r="M374" s="231">
        <v>0.000357022398225749</v>
      </c>
      <c r="N374" s="231">
        <v>1.45861869373468e-6</v>
      </c>
      <c r="O374" s="231">
        <v>1.9988831668099e-7</v>
      </c>
      <c r="P374" s="12"/>
      <c r="Q374" s="230"/>
      <c r="R374" s="232"/>
      <c r="S374" s="230"/>
      <c r="T374" s="230"/>
    </row>
    <row r="375" ht="15" customHeight="1" spans="2:20">
      <c r="B375" s="12">
        <v>734</v>
      </c>
      <c r="C375" s="230"/>
      <c r="D375" s="230">
        <v>2.80893e-5</v>
      </c>
      <c r="E375" s="230">
        <v>0.000429654</v>
      </c>
      <c r="F375" s="232">
        <v>1.989e-6</v>
      </c>
      <c r="G375" s="230">
        <v>2.81981e-7</v>
      </c>
      <c r="H375" s="12"/>
      <c r="J375" s="12">
        <v>734</v>
      </c>
      <c r="K375" s="231" t="s">
        <v>387</v>
      </c>
      <c r="L375" s="231">
        <v>2.06872672772753e-5</v>
      </c>
      <c r="M375" s="231">
        <v>0.000331730372714827</v>
      </c>
      <c r="N375" s="231">
        <v>1.3698534294983e-6</v>
      </c>
      <c r="O375" s="231">
        <v>1.87849302076767e-7</v>
      </c>
      <c r="P375" s="12"/>
      <c r="Q375" s="230"/>
      <c r="R375" s="232"/>
      <c r="S375" s="230"/>
      <c r="T375" s="230"/>
    </row>
    <row r="376" ht="15" customHeight="1" spans="2:20">
      <c r="B376" s="12">
        <v>735</v>
      </c>
      <c r="C376" s="230"/>
      <c r="D376" s="230">
        <v>2.62088e-5</v>
      </c>
      <c r="E376" s="230">
        <v>0.00039967</v>
      </c>
      <c r="F376" s="232">
        <v>1.87e-6</v>
      </c>
      <c r="G376" s="230">
        <v>2.65493e-7</v>
      </c>
      <c r="H376" s="12"/>
      <c r="J376" s="12">
        <v>735</v>
      </c>
      <c r="K376" s="231" t="s">
        <v>387</v>
      </c>
      <c r="L376" s="231">
        <v>1.92760509964744e-5</v>
      </c>
      <c r="M376" s="231">
        <v>0.000308160271909329</v>
      </c>
      <c r="N376" s="231">
        <v>1.28614414672589e-6</v>
      </c>
      <c r="O376" s="231">
        <v>1.76624739883208e-7</v>
      </c>
      <c r="P376" s="12"/>
      <c r="Q376" s="230"/>
      <c r="R376" s="232"/>
      <c r="S376" s="230"/>
      <c r="T376" s="230"/>
    </row>
    <row r="377" ht="15" customHeight="1" spans="2:20">
      <c r="B377" s="12">
        <v>736</v>
      </c>
      <c r="C377" s="230"/>
      <c r="D377" s="230">
        <v>2.44529e-5</v>
      </c>
      <c r="E377" s="230">
        <v>0.00037169</v>
      </c>
      <c r="F377" s="232">
        <v>1.759e-6</v>
      </c>
      <c r="G377" s="230">
        <v>2.50026e-7</v>
      </c>
      <c r="H377" s="12"/>
      <c r="J377" s="12">
        <v>736</v>
      </c>
      <c r="K377" s="231" t="s">
        <v>387</v>
      </c>
      <c r="L377" s="231">
        <v>1.7960185851719e-5</v>
      </c>
      <c r="M377" s="231">
        <v>0.000286197278609113</v>
      </c>
      <c r="N377" s="231">
        <v>1.20815707993546e-6</v>
      </c>
      <c r="O377" s="231">
        <v>1.66108997819308e-7</v>
      </c>
      <c r="P377" s="12"/>
      <c r="Q377" s="230"/>
      <c r="R377" s="232"/>
      <c r="S377" s="230"/>
      <c r="T377" s="230"/>
    </row>
    <row r="378" ht="15" customHeight="1" spans="2:20">
      <c r="B378" s="12">
        <v>737</v>
      </c>
      <c r="C378" s="230"/>
      <c r="D378" s="230">
        <v>2.28177e-5</v>
      </c>
      <c r="E378" s="230">
        <v>0.00034565</v>
      </c>
      <c r="F378" s="232">
        <v>1.655e-6</v>
      </c>
      <c r="G378" s="230">
        <v>2.35424e-7</v>
      </c>
      <c r="H378" s="12"/>
      <c r="J378" s="12">
        <v>737</v>
      </c>
      <c r="K378" s="231" t="s">
        <v>387</v>
      </c>
      <c r="L378" s="231">
        <v>1.67364231223422e-5</v>
      </c>
      <c r="M378" s="231">
        <v>0.000265785638549744</v>
      </c>
      <c r="N378" s="231">
        <v>1.13518302533108e-6</v>
      </c>
      <c r="O378" s="231">
        <v>1.56195689982695e-7</v>
      </c>
      <c r="P378" s="12"/>
      <c r="Q378" s="230"/>
      <c r="R378" s="232"/>
      <c r="S378" s="230"/>
      <c r="T378" s="230"/>
    </row>
    <row r="379" ht="15" customHeight="1" spans="2:20">
      <c r="B379" s="12">
        <v>738</v>
      </c>
      <c r="C379" s="230"/>
      <c r="D379" s="230">
        <v>2.12995e-5</v>
      </c>
      <c r="E379" s="230">
        <v>0.000321494</v>
      </c>
      <c r="F379" s="232">
        <v>1.557e-6</v>
      </c>
      <c r="G379" s="230">
        <v>2.21681e-7</v>
      </c>
      <c r="H379" s="12"/>
      <c r="J379" s="12">
        <v>738</v>
      </c>
      <c r="K379" s="231" t="s">
        <v>387</v>
      </c>
      <c r="L379" s="231">
        <v>1.56016781939894e-5</v>
      </c>
      <c r="M379" s="231">
        <v>0.000246876042877837</v>
      </c>
      <c r="N379" s="231">
        <v>1.06651662303985e-6</v>
      </c>
      <c r="O379" s="231">
        <v>1.46878392055077e-7</v>
      </c>
      <c r="P379" s="12"/>
      <c r="Q379" s="230"/>
      <c r="R379" s="232"/>
      <c r="S379" s="230"/>
      <c r="T379" s="230"/>
    </row>
    <row r="380" ht="15" customHeight="1" spans="2:20">
      <c r="B380" s="12">
        <v>739</v>
      </c>
      <c r="C380" s="230"/>
      <c r="D380" s="230">
        <v>1.98941e-5</v>
      </c>
      <c r="E380" s="230">
        <v>0.000299155</v>
      </c>
      <c r="F380" s="232">
        <v>1.466e-6</v>
      </c>
      <c r="G380" s="230">
        <v>2.08789e-7</v>
      </c>
      <c r="H380" s="12"/>
      <c r="J380" s="12">
        <v>739</v>
      </c>
      <c r="K380" s="231" t="s">
        <v>387</v>
      </c>
      <c r="L380" s="231">
        <v>1.45525173988802e-5</v>
      </c>
      <c r="M380" s="231">
        <v>0.000229411014137851</v>
      </c>
      <c r="N380" s="231">
        <v>1.00282444084622e-6</v>
      </c>
      <c r="O380" s="231">
        <v>1.3814939115145e-7</v>
      </c>
      <c r="P380" s="12"/>
      <c r="Q380" s="230"/>
      <c r="R380" s="232"/>
      <c r="S380" s="230"/>
      <c r="T380" s="230"/>
    </row>
    <row r="381" ht="15" customHeight="1" spans="2:20">
      <c r="B381" s="12">
        <v>740</v>
      </c>
      <c r="C381" s="230"/>
      <c r="D381" s="230">
        <v>1.85965e-5</v>
      </c>
      <c r="E381" s="230">
        <v>0.000278553</v>
      </c>
      <c r="F381" s="232">
        <v>1.379e-6</v>
      </c>
      <c r="G381" s="230">
        <v>1.9674e-7</v>
      </c>
      <c r="H381" s="12"/>
      <c r="J381" s="12">
        <v>740</v>
      </c>
      <c r="K381" s="231" t="s">
        <v>387</v>
      </c>
      <c r="L381" s="231">
        <v>1.35849412210843e-5</v>
      </c>
      <c r="M381" s="231">
        <v>0.000213323429811189</v>
      </c>
      <c r="N381" s="231">
        <v>9.42036921575538e-7</v>
      </c>
      <c r="O381" s="231">
        <v>1.30001016078082e-7</v>
      </c>
      <c r="P381" s="12"/>
      <c r="Q381" s="230"/>
      <c r="R381" s="232"/>
      <c r="S381" s="230"/>
      <c r="T381" s="230"/>
    </row>
    <row r="382" ht="15" customHeight="1" spans="2:20">
      <c r="B382" s="12">
        <v>741</v>
      </c>
      <c r="C382" s="230"/>
      <c r="D382" s="230">
        <v>1.74003e-5</v>
      </c>
      <c r="E382" s="230">
        <v>0.000259583</v>
      </c>
      <c r="F382" s="232">
        <v>1.299e-6</v>
      </c>
      <c r="G382" s="230">
        <v>1.85426e-7</v>
      </c>
      <c r="H382" s="12"/>
      <c r="J382" s="12">
        <v>741</v>
      </c>
      <c r="K382" s="231" t="s">
        <v>387</v>
      </c>
      <c r="L382" s="231">
        <v>1.2693950399779e-5</v>
      </c>
      <c r="M382" s="231">
        <v>0.000198527409874732</v>
      </c>
      <c r="N382" s="231">
        <v>8.86188931165967e-7</v>
      </c>
      <c r="O382" s="231">
        <v>1.22359648652234e-7</v>
      </c>
      <c r="P382" s="12"/>
      <c r="Q382" s="230"/>
      <c r="R382" s="232"/>
      <c r="S382" s="230"/>
      <c r="T382" s="230"/>
    </row>
    <row r="383" ht="15" customHeight="1" spans="2:20">
      <c r="B383" s="12">
        <v>742</v>
      </c>
      <c r="C383" s="230"/>
      <c r="D383" s="230">
        <v>1.62931e-5</v>
      </c>
      <c r="E383" s="230">
        <v>0.000242061</v>
      </c>
      <c r="F383" s="232">
        <v>1.223e-6</v>
      </c>
      <c r="G383" s="230">
        <v>1.74736e-7</v>
      </c>
      <c r="H383" s="12"/>
      <c r="J383" s="12">
        <v>742</v>
      </c>
      <c r="K383" s="231" t="s">
        <v>387</v>
      </c>
      <c r="L383" s="231">
        <v>1.18702013746496e-5</v>
      </c>
      <c r="M383" s="231">
        <v>0.000184877200005043</v>
      </c>
      <c r="N383" s="231">
        <v>8.33216631025151e-7</v>
      </c>
      <c r="O383" s="231">
        <v>1.15150090570713e-7</v>
      </c>
      <c r="P383" s="12"/>
      <c r="Q383" s="230"/>
      <c r="R383" s="232"/>
      <c r="S383" s="230"/>
      <c r="T383" s="230"/>
    </row>
    <row r="384" ht="15" customHeight="1" spans="2:20">
      <c r="B384" s="12">
        <v>743</v>
      </c>
      <c r="C384" s="230"/>
      <c r="D384" s="230">
        <v>1.52632e-5</v>
      </c>
      <c r="E384" s="230">
        <v>0.000225809</v>
      </c>
      <c r="F384" s="232">
        <v>1.151e-6</v>
      </c>
      <c r="G384" s="230">
        <v>1.64666e-7</v>
      </c>
      <c r="H384" s="12"/>
      <c r="J384" s="12">
        <v>743</v>
      </c>
      <c r="K384" s="231" t="s">
        <v>387</v>
      </c>
      <c r="L384" s="231">
        <v>1.11049101799379e-5</v>
      </c>
      <c r="M384" s="231">
        <v>0.000172232406968207</v>
      </c>
      <c r="N384" s="231">
        <v>7.83108410021451e-7</v>
      </c>
      <c r="O384" s="231">
        <v>1.08367965892499e-7</v>
      </c>
      <c r="P384" s="12"/>
      <c r="Q384" s="230"/>
      <c r="R384" s="232"/>
      <c r="S384" s="230"/>
      <c r="T384" s="230"/>
    </row>
    <row r="385" ht="15" customHeight="1" spans="2:20">
      <c r="B385" s="12">
        <v>744</v>
      </c>
      <c r="C385" s="230"/>
      <c r="D385" s="230">
        <v>1.43005e-5</v>
      </c>
      <c r="E385" s="230">
        <v>0.000210674</v>
      </c>
      <c r="F385" s="232">
        <v>1.084e-6</v>
      </c>
      <c r="G385" s="230">
        <v>1.55212e-7</v>
      </c>
      <c r="H385" s="12"/>
      <c r="J385" s="12">
        <v>744</v>
      </c>
      <c r="K385" s="231" t="s">
        <v>387</v>
      </c>
      <c r="L385" s="231">
        <v>1.03905026085789e-5</v>
      </c>
      <c r="M385" s="231">
        <v>0.000160472435075826</v>
      </c>
      <c r="N385" s="231">
        <v>7.36532177176691e-7</v>
      </c>
      <c r="O385" s="231">
        <v>1.02008922203136e-7</v>
      </c>
      <c r="P385" s="12"/>
      <c r="Q385" s="230"/>
      <c r="R385" s="232"/>
      <c r="S385" s="230"/>
      <c r="T385" s="230"/>
    </row>
    <row r="386" ht="15" customHeight="1" spans="2:20">
      <c r="B386" s="12">
        <v>745</v>
      </c>
      <c r="C386" s="230"/>
      <c r="D386" s="230">
        <v>1.33965e-5</v>
      </c>
      <c r="E386" s="230">
        <v>0.000196528</v>
      </c>
      <c r="F386" s="232">
        <v>1.022e-6</v>
      </c>
      <c r="G386" s="230">
        <v>1.4637e-7</v>
      </c>
      <c r="H386" s="12"/>
      <c r="J386" s="12">
        <v>745</v>
      </c>
      <c r="K386" s="231" t="s">
        <v>387</v>
      </c>
      <c r="L386" s="231">
        <v>9.7206060930141e-6</v>
      </c>
      <c r="M386" s="231">
        <v>0.000149496353315581</v>
      </c>
      <c r="N386" s="231">
        <v>6.93473709719763e-7</v>
      </c>
      <c r="O386" s="231">
        <v>9.60686304568365e-8</v>
      </c>
      <c r="P386" s="12"/>
      <c r="Q386" s="230"/>
      <c r="R386" s="232"/>
      <c r="S386" s="230"/>
      <c r="T386" s="230"/>
    </row>
    <row r="387" ht="15" customHeight="1" spans="2:20">
      <c r="B387" s="12">
        <v>746</v>
      </c>
      <c r="C387" s="230"/>
      <c r="D387" s="230">
        <v>1.25449e-5</v>
      </c>
      <c r="E387" s="230">
        <v>0.000183271</v>
      </c>
      <c r="F387" s="231">
        <v>9.62e-7</v>
      </c>
      <c r="G387" s="230">
        <v>1.38062e-7</v>
      </c>
      <c r="H387" s="12"/>
      <c r="J387" s="12">
        <v>746</v>
      </c>
      <c r="K387" s="231" t="s">
        <v>387</v>
      </c>
      <c r="L387" s="231">
        <v>9.09047643244301e-6</v>
      </c>
      <c r="M387" s="231">
        <v>0.000139225042553285</v>
      </c>
      <c r="N387" s="231">
        <v>6.5188595276446e-7</v>
      </c>
      <c r="O387" s="231">
        <v>9.04942806929312e-8</v>
      </c>
      <c r="P387" s="12"/>
      <c r="Q387" s="230"/>
      <c r="R387" s="231"/>
      <c r="S387" s="230"/>
      <c r="T387" s="230"/>
    </row>
    <row r="388" ht="15" customHeight="1" spans="2:20">
      <c r="B388" s="12">
        <v>747</v>
      </c>
      <c r="C388" s="230"/>
      <c r="D388" s="230">
        <v>1.17441e-5</v>
      </c>
      <c r="E388" s="230">
        <v>0.000170868</v>
      </c>
      <c r="F388" s="231">
        <v>9.07e-7</v>
      </c>
      <c r="G388" s="230">
        <v>1.30208e-7</v>
      </c>
      <c r="H388" s="12"/>
      <c r="J388" s="12">
        <v>747</v>
      </c>
      <c r="K388" s="231" t="s">
        <v>387</v>
      </c>
      <c r="L388" s="231">
        <v>8.49879605635774e-6</v>
      </c>
      <c r="M388" s="231">
        <v>0.000129629119610504</v>
      </c>
      <c r="N388" s="231">
        <v>6.13793186789284e-7</v>
      </c>
      <c r="O388" s="231">
        <v>8.52320365675789e-8</v>
      </c>
      <c r="P388" s="12"/>
      <c r="Q388" s="230"/>
      <c r="R388" s="231"/>
      <c r="S388" s="230"/>
      <c r="T388" s="230"/>
    </row>
    <row r="389" ht="15" customHeight="1" spans="2:20">
      <c r="B389" s="12">
        <v>748</v>
      </c>
      <c r="C389" s="230"/>
      <c r="D389" s="230">
        <v>1.09929e-5</v>
      </c>
      <c r="E389" s="230">
        <v>0.00015929</v>
      </c>
      <c r="F389" s="231">
        <v>8.55e-7</v>
      </c>
      <c r="G389" s="230">
        <v>1.22805e-7</v>
      </c>
      <c r="H389" s="12"/>
      <c r="J389" s="12">
        <v>748</v>
      </c>
      <c r="K389" s="231" t="s">
        <v>387</v>
      </c>
      <c r="L389" s="231">
        <v>7.94454351916102e-6</v>
      </c>
      <c r="M389" s="231">
        <v>0.000120683904256577</v>
      </c>
      <c r="N389" s="231">
        <v>5.77829745922259e-7</v>
      </c>
      <c r="O389" s="231">
        <v>8.02786851943831e-8</v>
      </c>
      <c r="P389" s="12"/>
      <c r="Q389" s="230"/>
      <c r="R389" s="231"/>
      <c r="S389" s="230"/>
      <c r="T389" s="230"/>
    </row>
    <row r="390" ht="15" customHeight="1" spans="2:20">
      <c r="B390" s="12">
        <v>749</v>
      </c>
      <c r="C390" s="230"/>
      <c r="D390" s="230">
        <v>1.029e-5</v>
      </c>
      <c r="E390" s="230">
        <v>0.000148506</v>
      </c>
      <c r="F390" s="231">
        <v>8.06e-7</v>
      </c>
      <c r="G390" s="230">
        <v>1.15848e-7</v>
      </c>
      <c r="H390" s="12"/>
      <c r="J390" s="12">
        <v>749</v>
      </c>
      <c r="K390" s="231" t="s">
        <v>387</v>
      </c>
      <c r="L390" s="231">
        <v>7.42663065695733e-6</v>
      </c>
      <c r="M390" s="231">
        <v>0.000112363334814716</v>
      </c>
      <c r="N390" s="231">
        <v>5.4398710149139e-7</v>
      </c>
      <c r="O390" s="231">
        <v>7.56297251735604e-8</v>
      </c>
      <c r="P390" s="12"/>
      <c r="Q390" s="230"/>
      <c r="R390" s="231"/>
      <c r="S390" s="230"/>
      <c r="T390" s="230"/>
    </row>
    <row r="391" ht="15" customHeight="1" spans="2:20">
      <c r="B391" s="12">
        <v>750</v>
      </c>
      <c r="C391" s="230"/>
      <c r="D391" s="230">
        <v>9.63397e-6</v>
      </c>
      <c r="E391" s="230">
        <v>0.000138482</v>
      </c>
      <c r="F391" s="231">
        <v>7.6e-7</v>
      </c>
      <c r="G391" s="230">
        <v>1.09332e-7</v>
      </c>
      <c r="H391" s="12"/>
      <c r="J391" s="12">
        <v>750</v>
      </c>
      <c r="K391" s="231" t="s">
        <v>387</v>
      </c>
      <c r="L391" s="231">
        <v>6.94388140922646e-6</v>
      </c>
      <c r="M391" s="231">
        <v>0.00010463922175559</v>
      </c>
      <c r="N391" s="231">
        <v>5.12256770310933e-7</v>
      </c>
      <c r="O391" s="231">
        <v>7.12806791127927e-8</v>
      </c>
      <c r="P391" s="12"/>
      <c r="Q391" s="230"/>
      <c r="R391" s="231"/>
      <c r="S391" s="230"/>
      <c r="T391" s="230"/>
    </row>
    <row r="392" ht="15" customHeight="1" spans="2:20">
      <c r="B392" s="12">
        <v>751</v>
      </c>
      <c r="C392" s="230"/>
      <c r="D392" s="230">
        <v>9.02263e-6</v>
      </c>
      <c r="E392" s="230">
        <v>0.000129179</v>
      </c>
      <c r="F392" s="231">
        <v>7.16e-7</v>
      </c>
      <c r="G392" s="230">
        <v>1.03202e-7</v>
      </c>
      <c r="H392" s="12"/>
      <c r="J392" s="12">
        <v>751</v>
      </c>
      <c r="K392" s="231" t="s">
        <v>387</v>
      </c>
      <c r="L392" s="231">
        <v>6.49458612135201e-6</v>
      </c>
      <c r="M392" s="231">
        <v>9.74797526443231e-5</v>
      </c>
      <c r="N392" s="231">
        <v>4.81957189811779e-7</v>
      </c>
      <c r="O392" s="231">
        <v>6.71945386047889e-8</v>
      </c>
      <c r="P392" s="12"/>
      <c r="Q392" s="230"/>
      <c r="R392" s="231"/>
      <c r="S392" s="230"/>
      <c r="T392" s="230"/>
    </row>
    <row r="393" ht="15" customHeight="1" spans="2:20">
      <c r="B393" s="12">
        <v>752</v>
      </c>
      <c r="C393" s="230"/>
      <c r="D393" s="230">
        <v>8.45301e-6</v>
      </c>
      <c r="E393" s="230">
        <v>0.000120542</v>
      </c>
      <c r="F393" s="231">
        <v>6.75e-7</v>
      </c>
      <c r="G393" s="230">
        <v>9.74005e-8</v>
      </c>
      <c r="H393" s="12"/>
      <c r="J393" s="12">
        <v>752</v>
      </c>
      <c r="K393" s="231" t="s">
        <v>387</v>
      </c>
      <c r="L393" s="231">
        <v>6.07647633831204e-6</v>
      </c>
      <c r="M393" s="231">
        <v>9.08412265581983e-5</v>
      </c>
      <c r="N393" s="231">
        <v>4.53754881666275e-7</v>
      </c>
      <c r="O393" s="231">
        <v>6.33328665169102e-8</v>
      </c>
      <c r="P393" s="12"/>
      <c r="Q393" s="230"/>
      <c r="R393" s="231"/>
      <c r="S393" s="230"/>
      <c r="T393" s="230"/>
    </row>
    <row r="394" ht="15" customHeight="1" spans="2:20">
      <c r="B394" s="12">
        <v>753</v>
      </c>
      <c r="C394" s="230"/>
      <c r="D394" s="230">
        <v>7.92207e-6</v>
      </c>
      <c r="E394" s="230">
        <v>0.000112519</v>
      </c>
      <c r="F394" s="231">
        <v>6.37e-7</v>
      </c>
      <c r="G394" s="230">
        <v>9.19274e-8</v>
      </c>
      <c r="H394" s="12"/>
      <c r="J394" s="12">
        <v>753</v>
      </c>
      <c r="K394" s="231" t="s">
        <v>387</v>
      </c>
      <c r="L394" s="231">
        <v>5.68724540238694e-6</v>
      </c>
      <c r="M394" s="231">
        <v>8.46824325343969e-5</v>
      </c>
      <c r="N394" s="231">
        <v>4.27641490207675e-7</v>
      </c>
      <c r="O394" s="231">
        <v>5.96947036158711e-8</v>
      </c>
      <c r="P394" s="12"/>
      <c r="Q394" s="230"/>
      <c r="R394" s="231"/>
      <c r="S394" s="230"/>
      <c r="T394" s="230"/>
    </row>
    <row r="395" ht="15" customHeight="1" spans="2:20">
      <c r="B395" s="12">
        <v>754</v>
      </c>
      <c r="C395" s="230"/>
      <c r="D395" s="230">
        <v>7.427e-6</v>
      </c>
      <c r="E395" s="230">
        <v>0.000105061</v>
      </c>
      <c r="F395" s="231">
        <v>6.01e-7</v>
      </c>
      <c r="G395" s="230">
        <v>8.67807e-8</v>
      </c>
      <c r="H395" s="12"/>
      <c r="J395" s="12">
        <v>754</v>
      </c>
      <c r="K395" s="231" t="s">
        <v>387</v>
      </c>
      <c r="L395" s="231">
        <v>5.32476379052921e-6</v>
      </c>
      <c r="M395" s="231">
        <v>7.8964633058326e-5</v>
      </c>
      <c r="N395" s="231">
        <v>4.02938257744055e-7</v>
      </c>
      <c r="O395" s="231">
        <v>5.62778635944658e-8</v>
      </c>
      <c r="P395" s="12"/>
      <c r="Q395" s="230"/>
      <c r="R395" s="231"/>
      <c r="S395" s="230"/>
      <c r="T395" s="230"/>
    </row>
    <row r="396" ht="15" customHeight="1" spans="2:20">
      <c r="B396" s="12">
        <v>755</v>
      </c>
      <c r="C396" s="230"/>
      <c r="D396" s="230">
        <v>6.96522e-6</v>
      </c>
      <c r="E396" s="230">
        <v>9.81226e-5</v>
      </c>
      <c r="F396" s="231">
        <v>5.67e-7</v>
      </c>
      <c r="G396" s="230">
        <v>8.19587e-8</v>
      </c>
      <c r="H396" s="12"/>
      <c r="J396" s="12">
        <v>755</v>
      </c>
      <c r="K396" s="231" t="s">
        <v>387</v>
      </c>
      <c r="L396" s="231">
        <v>4.98707794128612e-6</v>
      </c>
      <c r="M396" s="231">
        <v>7.36519980503485e-5</v>
      </c>
      <c r="N396" s="231">
        <v>3.7963958099464e-7</v>
      </c>
      <c r="O396" s="231">
        <v>5.30803660228924e-8</v>
      </c>
      <c r="P396" s="12"/>
      <c r="Q396" s="230"/>
      <c r="R396" s="231"/>
      <c r="S396" s="230"/>
      <c r="T396" s="230"/>
    </row>
    <row r="397" ht="15" customHeight="1" spans="2:20">
      <c r="B397" s="12">
        <v>756</v>
      </c>
      <c r="C397" s="230"/>
      <c r="D397" s="230">
        <v>6.53422e-6</v>
      </c>
      <c r="E397" s="230">
        <v>9.16641e-5</v>
      </c>
      <c r="F397" s="231">
        <v>5.35e-7</v>
      </c>
      <c r="G397" s="230">
        <v>7.74202e-8</v>
      </c>
      <c r="H397" s="12"/>
      <c r="J397" s="12">
        <v>756</v>
      </c>
      <c r="K397" s="231" t="s">
        <v>387</v>
      </c>
      <c r="L397" s="231">
        <v>4.67229468301614e-6</v>
      </c>
      <c r="M397" s="231">
        <v>6.87131598368194e-5</v>
      </c>
      <c r="N397" s="231">
        <v>3.57739886325644e-7</v>
      </c>
      <c r="O397" s="231">
        <v>5.00746927032087e-8</v>
      </c>
      <c r="P397" s="12"/>
      <c r="Q397" s="230"/>
      <c r="R397" s="231"/>
      <c r="S397" s="230"/>
      <c r="T397" s="230"/>
    </row>
    <row r="398" ht="15" customHeight="1" spans="2:20">
      <c r="B398" s="12">
        <v>757</v>
      </c>
      <c r="C398" s="230"/>
      <c r="D398" s="230">
        <v>6.13129e-6</v>
      </c>
      <c r="E398" s="230">
        <v>8.56455e-5</v>
      </c>
      <c r="F398" s="231">
        <v>5.05e-7</v>
      </c>
      <c r="G398" s="230">
        <v>7.31243e-8</v>
      </c>
      <c r="H398" s="12"/>
      <c r="J398" s="12">
        <v>757</v>
      </c>
      <c r="K398" s="231" t="s">
        <v>387</v>
      </c>
      <c r="L398" s="231">
        <v>4.37838802652294e-6</v>
      </c>
      <c r="M398" s="231">
        <v>6.41166919027243e-5</v>
      </c>
      <c r="N398" s="231">
        <v>3.37233629554449e-7</v>
      </c>
      <c r="O398" s="231">
        <v>4.72336646250586e-8</v>
      </c>
      <c r="P398" s="12"/>
      <c r="Q398" s="230"/>
      <c r="R398" s="231"/>
      <c r="S398" s="230"/>
      <c r="T398" s="230"/>
    </row>
    <row r="399" ht="15" customHeight="1" spans="2:20">
      <c r="B399" s="12">
        <v>758</v>
      </c>
      <c r="C399" s="230"/>
      <c r="D399" s="230">
        <v>5.75391e-6</v>
      </c>
      <c r="E399" s="230">
        <v>8.00302e-5</v>
      </c>
      <c r="F399" s="231">
        <v>4.77e-7</v>
      </c>
      <c r="G399" s="230">
        <v>6.90693e-8</v>
      </c>
      <c r="H399" s="12"/>
      <c r="J399" s="12">
        <v>758</v>
      </c>
      <c r="K399" s="231" t="s">
        <v>387</v>
      </c>
      <c r="L399" s="231">
        <v>4.1034781748972e-6</v>
      </c>
      <c r="M399" s="231">
        <v>5.98338755522915e-5</v>
      </c>
      <c r="N399" s="231">
        <v>3.1811529575534e-7</v>
      </c>
      <c r="O399" s="231">
        <v>4.45555335145816e-8</v>
      </c>
      <c r="P399" s="12"/>
      <c r="Q399" s="230"/>
      <c r="R399" s="231"/>
      <c r="S399" s="230"/>
      <c r="T399" s="230"/>
    </row>
    <row r="400" ht="15" customHeight="1" spans="2:20">
      <c r="B400" s="12">
        <v>759</v>
      </c>
      <c r="C400" s="230"/>
      <c r="D400" s="230">
        <v>5.39984e-6</v>
      </c>
      <c r="E400" s="230">
        <v>7.47858e-5</v>
      </c>
      <c r="F400" s="231">
        <v>4.5e-7</v>
      </c>
      <c r="G400" s="230">
        <v>6.52534e-8</v>
      </c>
      <c r="H400" s="12"/>
      <c r="J400" s="12">
        <v>759</v>
      </c>
      <c r="K400" s="231" t="s">
        <v>387</v>
      </c>
      <c r="L400" s="231">
        <v>3.84589466060167e-6</v>
      </c>
      <c r="M400" s="231">
        <v>5.58392793958612e-5</v>
      </c>
      <c r="N400" s="231">
        <v>2.99713369357083e-7</v>
      </c>
      <c r="O400" s="231">
        <v>4.2038495888025e-8</v>
      </c>
      <c r="P400" s="12"/>
      <c r="Q400" s="230"/>
      <c r="R400" s="231"/>
      <c r="S400" s="230"/>
      <c r="T400" s="230"/>
    </row>
    <row r="401" ht="15" customHeight="1" spans="2:20">
      <c r="B401" s="12">
        <v>760</v>
      </c>
      <c r="C401" s="230"/>
      <c r="D401" s="230">
        <v>5.06711e-6</v>
      </c>
      <c r="E401" s="230">
        <v>6.98827e-5</v>
      </c>
      <c r="F401" s="231">
        <v>4.25e-7</v>
      </c>
      <c r="G401" s="230">
        <v>6.16749e-8</v>
      </c>
      <c r="H401" s="12"/>
      <c r="J401" s="12">
        <v>760</v>
      </c>
      <c r="K401" s="231" t="s">
        <v>387</v>
      </c>
      <c r="L401" s="231">
        <v>3.60416785543746e-6</v>
      </c>
      <c r="M401" s="231">
        <v>5.21096937796451e-5</v>
      </c>
      <c r="N401" s="231">
        <v>2.82690175790529e-7</v>
      </c>
      <c r="O401" s="231">
        <v>3.96808220923448e-8</v>
      </c>
      <c r="P401" s="12"/>
      <c r="Q401" s="230"/>
      <c r="R401" s="231"/>
      <c r="S401" s="230"/>
      <c r="T401" s="230"/>
    </row>
    <row r="402" ht="15" customHeight="1" spans="2:20">
      <c r="B402" s="12">
        <v>761</v>
      </c>
      <c r="C402" s="230"/>
      <c r="D402" s="230">
        <v>4.75413e-6</v>
      </c>
      <c r="E402" s="230">
        <v>6.52966e-5</v>
      </c>
      <c r="F402" s="231">
        <v>4.01e-7</v>
      </c>
      <c r="G402" s="230">
        <v>5.83044e-8</v>
      </c>
      <c r="H402" s="12"/>
      <c r="J402" s="12">
        <v>761</v>
      </c>
      <c r="K402" s="231" t="s">
        <v>387</v>
      </c>
      <c r="L402" s="231">
        <v>3.3771057896897e-6</v>
      </c>
      <c r="M402" s="231">
        <v>4.8625977922932e-5</v>
      </c>
      <c r="N402" s="231">
        <v>2.6637600053775e-7</v>
      </c>
      <c r="O402" s="231">
        <v>3.74629931680675e-8</v>
      </c>
      <c r="P402" s="12"/>
      <c r="Q402" s="230"/>
      <c r="R402" s="231"/>
      <c r="S402" s="230"/>
      <c r="T402" s="230"/>
    </row>
    <row r="403" ht="15" customHeight="1" spans="2:20">
      <c r="B403" s="12">
        <v>762</v>
      </c>
      <c r="C403" s="230"/>
      <c r="D403" s="230">
        <v>4.46019e-6</v>
      </c>
      <c r="E403" s="230">
        <v>6.10128e-5</v>
      </c>
      <c r="F403" s="232">
        <v>3.79e-7</v>
      </c>
      <c r="G403" s="230">
        <v>5.51124e-8</v>
      </c>
      <c r="H403" s="12"/>
      <c r="J403" s="12">
        <v>762</v>
      </c>
      <c r="K403" s="231" t="s">
        <v>387</v>
      </c>
      <c r="L403" s="231">
        <v>3.16414704011502e-6</v>
      </c>
      <c r="M403" s="231">
        <v>4.53762312007567e-5</v>
      </c>
      <c r="N403" s="231">
        <v>2.51431459733531e-7</v>
      </c>
      <c r="O403" s="231">
        <v>3.53655284476283e-8</v>
      </c>
      <c r="P403" s="12"/>
      <c r="Q403" s="230"/>
      <c r="R403" s="232"/>
      <c r="S403" s="230"/>
      <c r="T403" s="230"/>
    </row>
    <row r="404" ht="15" customHeight="1" spans="2:20">
      <c r="B404" s="12">
        <v>763</v>
      </c>
      <c r="C404" s="230"/>
      <c r="D404" s="230">
        <v>4.18466e-6</v>
      </c>
      <c r="E404" s="230">
        <v>5.70183e-5</v>
      </c>
      <c r="F404" s="232">
        <v>3.58e-7</v>
      </c>
      <c r="G404" s="230">
        <v>5.20972e-8</v>
      </c>
      <c r="H404" s="12"/>
      <c r="J404" s="12">
        <v>763</v>
      </c>
      <c r="K404" s="231" t="s">
        <v>387</v>
      </c>
      <c r="L404" s="231">
        <v>2.96478980591196e-6</v>
      </c>
      <c r="M404" s="231">
        <v>4.2349878037909e-5</v>
      </c>
      <c r="N404" s="231">
        <v>2.37188630110515e-7</v>
      </c>
      <c r="O404" s="231">
        <v>3.33868652200531e-8</v>
      </c>
      <c r="P404" s="12"/>
      <c r="Q404" s="230"/>
      <c r="R404" s="232"/>
      <c r="S404" s="230"/>
      <c r="T404" s="230"/>
    </row>
    <row r="405" ht="15" customHeight="1" spans="2:20">
      <c r="B405" s="12">
        <v>764</v>
      </c>
      <c r="C405" s="230"/>
      <c r="D405" s="230">
        <v>3.9269e-6</v>
      </c>
      <c r="E405" s="230">
        <v>5.32996e-5</v>
      </c>
      <c r="F405" s="232">
        <v>3.382e-7</v>
      </c>
      <c r="G405" s="230">
        <v>4.92575e-8</v>
      </c>
      <c r="H405" s="12"/>
      <c r="J405" s="12">
        <v>764</v>
      </c>
      <c r="K405" s="231" t="s">
        <v>387</v>
      </c>
      <c r="L405" s="231">
        <v>2.77852783788173e-6</v>
      </c>
      <c r="M405" s="231">
        <v>3.95360273438413e-5</v>
      </c>
      <c r="N405" s="231">
        <v>2.23777090433604e-7</v>
      </c>
      <c r="O405" s="231">
        <v>3.15257049634495e-8</v>
      </c>
      <c r="P405" s="12"/>
      <c r="Q405" s="230"/>
      <c r="R405" s="232"/>
      <c r="S405" s="230"/>
      <c r="T405" s="230"/>
    </row>
    <row r="406" ht="15" customHeight="1" spans="2:20">
      <c r="B406" s="12">
        <v>765</v>
      </c>
      <c r="C406" s="230"/>
      <c r="D406" s="230">
        <v>3.68617e-6</v>
      </c>
      <c r="E406" s="230">
        <v>4.9843e-5</v>
      </c>
      <c r="F406" s="232">
        <v>3.196e-7</v>
      </c>
      <c r="G406" s="230">
        <v>4.65916e-8</v>
      </c>
      <c r="H406" s="12"/>
      <c r="J406" s="12">
        <v>765</v>
      </c>
      <c r="K406" s="231" t="s">
        <v>387</v>
      </c>
      <c r="L406" s="231">
        <v>2.60478687010532e-6</v>
      </c>
      <c r="M406" s="231">
        <v>3.69236968148751e-5</v>
      </c>
      <c r="N406" s="231">
        <v>2.11193580742227e-7</v>
      </c>
      <c r="O406" s="231">
        <v>2.97805002728834e-8</v>
      </c>
      <c r="P406" s="12"/>
      <c r="Q406" s="230"/>
      <c r="R406" s="232"/>
      <c r="S406" s="230"/>
      <c r="T406" s="230"/>
    </row>
    <row r="407" ht="15" customHeight="1" spans="2:20">
      <c r="B407" s="12">
        <v>766</v>
      </c>
      <c r="C407" s="230"/>
      <c r="D407" s="230">
        <v>3.46157e-6</v>
      </c>
      <c r="E407" s="230">
        <v>4.66322e-5</v>
      </c>
      <c r="F407" s="232">
        <v>3.021e-7</v>
      </c>
      <c r="G407" s="230">
        <v>4.40782e-8</v>
      </c>
      <c r="H407" s="12"/>
      <c r="J407" s="12">
        <v>766</v>
      </c>
      <c r="K407" s="231" t="s">
        <v>387</v>
      </c>
      <c r="L407" s="231">
        <v>2.44288272100212e-6</v>
      </c>
      <c r="M407" s="231">
        <v>3.4500037930515e-5</v>
      </c>
      <c r="N407" s="231">
        <v>1.99368863771471e-7</v>
      </c>
      <c r="O407" s="231">
        <v>2.81372002166697e-8</v>
      </c>
      <c r="P407" s="12"/>
      <c r="Q407" s="230"/>
      <c r="R407" s="232"/>
      <c r="S407" s="230"/>
      <c r="T407" s="230"/>
    </row>
    <row r="408" ht="15" customHeight="1" spans="2:20">
      <c r="B408" s="12">
        <v>767</v>
      </c>
      <c r="C408" s="230"/>
      <c r="D408" s="230">
        <v>3.25155e-6</v>
      </c>
      <c r="E408" s="230">
        <v>4.36424e-5</v>
      </c>
      <c r="F408" s="232">
        <v>2.855e-7</v>
      </c>
      <c r="G408" s="230">
        <v>4.16962e-8</v>
      </c>
      <c r="H408" s="12"/>
      <c r="J408" s="12">
        <v>767</v>
      </c>
      <c r="K408" s="231" t="s">
        <v>387</v>
      </c>
      <c r="L408" s="231">
        <v>2.29167666023767e-6</v>
      </c>
      <c r="M408" s="231">
        <v>3.22459887957766e-5</v>
      </c>
      <c r="N408" s="231">
        <v>1.88168155051857e-7</v>
      </c>
      <c r="O408" s="231">
        <v>2.65819546434803e-8</v>
      </c>
      <c r="P408" s="12"/>
      <c r="Q408" s="230"/>
      <c r="R408" s="232"/>
      <c r="S408" s="230"/>
      <c r="T408" s="230"/>
    </row>
    <row r="409" ht="15" customHeight="1" spans="2:20">
      <c r="B409" s="12">
        <v>768</v>
      </c>
      <c r="C409" s="230"/>
      <c r="D409" s="230">
        <v>3.05464e-6</v>
      </c>
      <c r="E409" s="230">
        <v>4.08501e-5</v>
      </c>
      <c r="F409" s="232">
        <v>2.699e-7</v>
      </c>
      <c r="G409" s="230">
        <v>3.94444e-8</v>
      </c>
      <c r="H409" s="12"/>
      <c r="J409" s="12">
        <v>768</v>
      </c>
      <c r="K409" s="231" t="s">
        <v>387</v>
      </c>
      <c r="L409" s="231">
        <v>2.15009219856026e-6</v>
      </c>
      <c r="M409" s="231">
        <v>3.01435460745663e-5</v>
      </c>
      <c r="N409" s="231">
        <v>1.77654839518556e-7</v>
      </c>
      <c r="O409" s="231">
        <v>2.51136555685592e-8</v>
      </c>
      <c r="P409" s="12"/>
      <c r="Q409" s="230"/>
      <c r="R409" s="232"/>
      <c r="S409" s="230"/>
      <c r="T409" s="230"/>
    </row>
    <row r="410" ht="15" customHeight="1" spans="2:20">
      <c r="B410" s="12">
        <v>769</v>
      </c>
      <c r="C410" s="230"/>
      <c r="D410" s="230">
        <v>2.86951e-6</v>
      </c>
      <c r="E410" s="230">
        <v>3.82346e-5</v>
      </c>
      <c r="F410" s="232">
        <v>2.552e-7</v>
      </c>
      <c r="G410" s="230">
        <v>3.73218e-8</v>
      </c>
      <c r="H410" s="12"/>
      <c r="J410" s="12">
        <v>769</v>
      </c>
      <c r="K410" s="231" t="s">
        <v>387</v>
      </c>
      <c r="L410" s="231">
        <v>2.01715686084029e-6</v>
      </c>
      <c r="M410" s="231">
        <v>2.8176863527082e-5</v>
      </c>
      <c r="N410" s="231">
        <v>1.67760498661133e-7</v>
      </c>
      <c r="O410" s="231">
        <v>2.3731327941801e-8</v>
      </c>
      <c r="P410" s="12"/>
      <c r="Q410" s="230"/>
      <c r="R410" s="232"/>
      <c r="S410" s="230"/>
      <c r="T410" s="230"/>
    </row>
    <row r="411" ht="15" customHeight="1" spans="2:20">
      <c r="B411" s="12">
        <v>770</v>
      </c>
      <c r="C411" s="230"/>
      <c r="D411" s="230">
        <v>2.69504e-6</v>
      </c>
      <c r="E411" s="230">
        <v>3.57781e-5</v>
      </c>
      <c r="F411" s="232">
        <v>2.413e-7</v>
      </c>
      <c r="G411" s="230">
        <v>3.53272e-8</v>
      </c>
      <c r="H411" s="12"/>
      <c r="J411" s="12">
        <v>770</v>
      </c>
      <c r="K411" s="231" t="s">
        <v>387</v>
      </c>
      <c r="L411" s="231">
        <v>1.89205065409728e-6</v>
      </c>
      <c r="M411" s="231">
        <v>2.63323116016603e-5</v>
      </c>
      <c r="N411" s="231">
        <v>1.58417069389988e-7</v>
      </c>
      <c r="O411" s="231">
        <v>2.24338747720524e-8</v>
      </c>
      <c r="P411" s="12"/>
      <c r="Q411" s="230"/>
      <c r="R411" s="232"/>
      <c r="S411" s="230"/>
      <c r="T411" s="230"/>
    </row>
    <row r="412" ht="15" customHeight="1" spans="2:20">
      <c r="B412" s="12">
        <v>771</v>
      </c>
      <c r="C412" s="230"/>
      <c r="D412" s="230">
        <v>2.5304e-6</v>
      </c>
      <c r="E412" s="230">
        <v>3.34676e-5</v>
      </c>
      <c r="F412" s="232">
        <v>2.282e-7</v>
      </c>
      <c r="G412" s="230">
        <v>3.34451e-8</v>
      </c>
      <c r="H412" s="12"/>
      <c r="J412" s="12">
        <v>771</v>
      </c>
      <c r="K412" s="231" t="s">
        <v>387</v>
      </c>
      <c r="L412" s="231">
        <v>1.77416116973013e-6</v>
      </c>
      <c r="M412" s="231">
        <v>2.4599859625995e-5</v>
      </c>
      <c r="N412" s="231">
        <v>1.49622408080272e-7</v>
      </c>
      <c r="O412" s="231">
        <v>2.12111355911767e-8</v>
      </c>
      <c r="P412" s="12"/>
      <c r="Q412" s="230"/>
      <c r="R412" s="232"/>
      <c r="S412" s="230"/>
      <c r="T412" s="230"/>
    </row>
    <row r="413" ht="15" customHeight="1" spans="2:20">
      <c r="B413" s="12">
        <v>772</v>
      </c>
      <c r="C413" s="230"/>
      <c r="D413" s="230">
        <v>2.3755e-6</v>
      </c>
      <c r="E413" s="230">
        <v>3.13007e-5</v>
      </c>
      <c r="F413" s="232">
        <v>2.159e-7</v>
      </c>
      <c r="G413" s="230">
        <v>3.166e-8</v>
      </c>
      <c r="H413" s="12"/>
      <c r="J413" s="12">
        <v>772</v>
      </c>
      <c r="K413" s="231" t="s">
        <v>387</v>
      </c>
      <c r="L413" s="231">
        <v>1.66339734274385e-6</v>
      </c>
      <c r="M413" s="231">
        <v>2.29773101794407e-5</v>
      </c>
      <c r="N413" s="231">
        <v>1.41374382214e-7</v>
      </c>
      <c r="O413" s="231">
        <v>2.00530025759499e-8</v>
      </c>
      <c r="P413" s="12"/>
      <c r="Q413" s="230"/>
      <c r="R413" s="232"/>
      <c r="S413" s="230"/>
      <c r="T413" s="230"/>
    </row>
    <row r="414" ht="15" customHeight="1" spans="2:20">
      <c r="B414" s="12">
        <v>773</v>
      </c>
      <c r="C414" s="230"/>
      <c r="D414" s="230">
        <v>2.23033e-6</v>
      </c>
      <c r="E414" s="230">
        <v>2.92761e-5</v>
      </c>
      <c r="F414" s="232">
        <v>2.042e-7</v>
      </c>
      <c r="G414" s="230">
        <v>2.99712e-8</v>
      </c>
      <c r="H414" s="12"/>
      <c r="J414" s="12">
        <v>773</v>
      </c>
      <c r="K414" s="231" t="s">
        <v>387</v>
      </c>
      <c r="L414" s="231">
        <v>1.55972452533647e-6</v>
      </c>
      <c r="M414" s="231">
        <v>2.14632836588467e-5</v>
      </c>
      <c r="N414" s="231">
        <v>1.33540076893034e-7</v>
      </c>
      <c r="O414" s="231">
        <v>1.89587821942603e-8</v>
      </c>
      <c r="P414" s="12"/>
      <c r="Q414" s="230"/>
      <c r="R414" s="232"/>
      <c r="S414" s="230"/>
      <c r="T414" s="230"/>
    </row>
    <row r="415" ht="15" customHeight="1" spans="2:20">
      <c r="B415" s="12">
        <v>774</v>
      </c>
      <c r="C415" s="230"/>
      <c r="D415" s="230">
        <v>2.09478e-6</v>
      </c>
      <c r="E415" s="230">
        <v>2.73908e-5</v>
      </c>
      <c r="F415" s="232">
        <v>1.932e-7</v>
      </c>
      <c r="G415" s="230">
        <v>2.83782e-8</v>
      </c>
      <c r="H415" s="12"/>
      <c r="J415" s="12">
        <v>774</v>
      </c>
      <c r="K415" s="231" t="s">
        <v>387</v>
      </c>
      <c r="L415" s="231">
        <v>1.46303840666137e-6</v>
      </c>
      <c r="M415" s="231">
        <v>2.00551628744338e-5</v>
      </c>
      <c r="N415" s="231">
        <v>1.26183200765086e-7</v>
      </c>
      <c r="O415" s="231">
        <v>1.79279108480217e-8</v>
      </c>
      <c r="P415" s="12"/>
      <c r="Q415" s="230"/>
      <c r="R415" s="232"/>
      <c r="S415" s="230"/>
      <c r="T415" s="230"/>
    </row>
    <row r="416" ht="15" customHeight="1" spans="2:20">
      <c r="B416" s="12">
        <v>775</v>
      </c>
      <c r="C416" s="230"/>
      <c r="D416" s="230">
        <v>1.96864e-6</v>
      </c>
      <c r="E416" s="230">
        <v>2.56411e-5</v>
      </c>
      <c r="F416" s="232">
        <v>1.829e-7</v>
      </c>
      <c r="G416" s="230">
        <v>2.68803e-8</v>
      </c>
      <c r="H416" s="12"/>
      <c r="J416" s="12">
        <v>775</v>
      </c>
      <c r="K416" s="231" t="s">
        <v>387</v>
      </c>
      <c r="L416" s="231">
        <v>1.37316546226626e-6</v>
      </c>
      <c r="M416" s="231">
        <v>1.87498322755625e-5</v>
      </c>
      <c r="N416" s="231">
        <v>1.19301905717151e-7</v>
      </c>
      <c r="O416" s="231">
        <v>1.6959701661193e-8</v>
      </c>
      <c r="P416" s="12"/>
      <c r="Q416" s="230"/>
      <c r="R416" s="232"/>
      <c r="S416" s="230"/>
      <c r="T416" s="230"/>
    </row>
    <row r="417" ht="15" customHeight="1" spans="2:20">
      <c r="B417" s="12">
        <v>776</v>
      </c>
      <c r="C417" s="230"/>
      <c r="D417" s="230">
        <v>1.85152e-6</v>
      </c>
      <c r="E417" s="230">
        <v>2.40205e-5</v>
      </c>
      <c r="F417" s="232">
        <v>1.731e-7</v>
      </c>
      <c r="G417" s="230">
        <v>2.548e-8</v>
      </c>
      <c r="H417" s="12"/>
      <c r="J417" s="12">
        <v>776</v>
      </c>
      <c r="K417" s="231" t="s">
        <v>387</v>
      </c>
      <c r="L417" s="231">
        <v>1.28980767037902e-6</v>
      </c>
      <c r="M417" s="231">
        <v>1.75421475338854e-5</v>
      </c>
      <c r="N417" s="231">
        <v>1.12764065392052e-7</v>
      </c>
      <c r="O417" s="231">
        <v>1.60554876861099e-8</v>
      </c>
      <c r="P417" s="12"/>
      <c r="Q417" s="230"/>
      <c r="R417" s="232"/>
      <c r="S417" s="230"/>
      <c r="T417" s="230"/>
    </row>
    <row r="418" ht="15" customHeight="1" spans="2:20">
      <c r="B418" s="12">
        <v>777</v>
      </c>
      <c r="C418" s="230"/>
      <c r="D418" s="230">
        <v>1.74248e-6</v>
      </c>
      <c r="E418" s="230">
        <v>2.2516e-5</v>
      </c>
      <c r="F418" s="232">
        <v>1.638e-7</v>
      </c>
      <c r="G418" s="230">
        <v>2.4166e-8</v>
      </c>
      <c r="H418" s="12"/>
      <c r="J418" s="12">
        <v>777</v>
      </c>
      <c r="K418" s="231" t="s">
        <v>387</v>
      </c>
      <c r="L418" s="231">
        <v>1.21228589501173e-6</v>
      </c>
      <c r="M418" s="231">
        <v>1.64222499697971e-5</v>
      </c>
      <c r="N418" s="231">
        <v>1.06568353709778e-7</v>
      </c>
      <c r="O418" s="231">
        <v>1.52079106315946e-8</v>
      </c>
      <c r="P418" s="12"/>
      <c r="Q418" s="230"/>
      <c r="R418" s="232"/>
      <c r="S418" s="230"/>
      <c r="T418" s="230"/>
    </row>
    <row r="419" ht="15" customHeight="1" spans="2:20">
      <c r="B419" s="12">
        <v>778</v>
      </c>
      <c r="C419" s="230"/>
      <c r="D419" s="230">
        <v>1.6406e-6</v>
      </c>
      <c r="E419" s="230">
        <v>2.11145e-5</v>
      </c>
      <c r="F419" s="232">
        <v>1.551e-7</v>
      </c>
      <c r="G419" s="230">
        <v>2.29167e-8</v>
      </c>
      <c r="H419" s="12"/>
      <c r="J419" s="12">
        <v>778</v>
      </c>
      <c r="K419" s="231" t="s">
        <v>387</v>
      </c>
      <c r="L419" s="231">
        <v>1.13993838848176e-6</v>
      </c>
      <c r="M419" s="231">
        <v>1.53802587488267e-5</v>
      </c>
      <c r="N419" s="231">
        <v>1.00778427828473e-7</v>
      </c>
      <c r="O419" s="231">
        <v>1.44031764745811e-8</v>
      </c>
      <c r="P419" s="12"/>
      <c r="Q419" s="230"/>
      <c r="R419" s="232"/>
      <c r="S419" s="230"/>
      <c r="T419" s="230"/>
    </row>
    <row r="420" ht="15" customHeight="1" spans="2:20">
      <c r="B420" s="12">
        <v>779</v>
      </c>
      <c r="C420" s="230"/>
      <c r="D420" s="230">
        <v>1.54507e-6</v>
      </c>
      <c r="E420" s="230">
        <v>1.98046e-5</v>
      </c>
      <c r="F420" s="232">
        <v>1.468e-7</v>
      </c>
      <c r="G420" s="230">
        <v>2.17105e-8</v>
      </c>
      <c r="H420" s="12"/>
      <c r="J420" s="12">
        <v>779</v>
      </c>
      <c r="K420" s="231" t="s">
        <v>387</v>
      </c>
      <c r="L420" s="231">
        <v>1.07218313424548e-6</v>
      </c>
      <c r="M420" s="231">
        <v>1.44075804996625e-5</v>
      </c>
      <c r="N420" s="231">
        <v>9.52629390095833e-8</v>
      </c>
      <c r="O420" s="231">
        <v>1.362756202139e-8</v>
      </c>
      <c r="P420" s="12"/>
      <c r="Q420" s="230"/>
      <c r="R420" s="232"/>
      <c r="S420" s="230"/>
      <c r="T420" s="230"/>
    </row>
    <row r="421" ht="15" customHeight="1" spans="2:20">
      <c r="B421" s="12">
        <v>780</v>
      </c>
      <c r="C421" s="230"/>
      <c r="D421" s="230">
        <v>1.45518e-6</v>
      </c>
      <c r="E421" s="230">
        <v>1.85766e-5</v>
      </c>
      <c r="F421" s="232">
        <v>1.39e-7</v>
      </c>
      <c r="G421" s="230">
        <v>2.05258e-8</v>
      </c>
      <c r="H421" s="12"/>
      <c r="J421" s="12">
        <v>780</v>
      </c>
      <c r="K421" s="231" t="s">
        <v>387</v>
      </c>
      <c r="L421" s="231">
        <v>1.00851040531559e-6</v>
      </c>
      <c r="M421" s="231">
        <v>1.34969010611828e-5</v>
      </c>
      <c r="N421" s="231">
        <v>9.00856415400046e-8</v>
      </c>
      <c r="O421" s="231">
        <v>1.28674144536943e-8</v>
      </c>
      <c r="P421" s="12"/>
      <c r="Q421" s="230"/>
      <c r="R421" s="232"/>
      <c r="S421" s="230"/>
      <c r="T421" s="230"/>
    </row>
    <row r="422" ht="15" customHeight="1" spans="8:16">
      <c r="H422" s="233"/>
      <c r="I422" s="233"/>
      <c r="P422" s="233"/>
    </row>
    <row r="423" ht="15" hidden="1" customHeight="1" spans="8:16">
      <c r="H423" s="233"/>
      <c r="I423" s="233"/>
      <c r="P423" s="233"/>
    </row>
    <row r="424" ht="15" hidden="1" customHeight="1"/>
    <row r="425" ht="15" hidden="1" customHeight="1"/>
    <row r="426" ht="15" customHeight="1"/>
  </sheetData>
  <sheetProtection password="CAB0" sheet="1" objects="1" scenarios="1"/>
  <pageMargins left="0.708661417322835" right="0.708661417322835" top="0.748031496062992" bottom="0.748031496062992" header="0.31496062992126" footer="0.31496062992126"/>
  <pageSetup paperSize="9" scale="61" fitToHeight="0"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B1:O30"/>
  <sheetViews>
    <sheetView zoomScale="145" zoomScaleNormal="145" workbookViewId="0">
      <selection activeCell="B3" sqref="B3"/>
    </sheetView>
  </sheetViews>
  <sheetFormatPr defaultColWidth="0" defaultRowHeight="14.4" zeroHeight="1"/>
  <cols>
    <col min="1" max="1" width="5.71296296296296" style="6" customWidth="1"/>
    <col min="2" max="8" width="15.712962962963" style="6" customWidth="1"/>
    <col min="9" max="9" width="5.71296296296296" style="6" customWidth="1"/>
    <col min="10" max="13" width="5.71296296296296" style="6" hidden="1" customWidth="1"/>
    <col min="14" max="15" width="0" style="6" hidden="1" customWidth="1"/>
    <col min="16" max="16384" width="9.13888888888889" style="6" hidden="1"/>
  </cols>
  <sheetData>
    <row r="1" ht="24.95" customHeight="1" spans="2:2">
      <c r="B1" s="5" t="str">
        <f>LEFT(Disclaimer!B1,Maintenance!I3)</f>
        <v>CIE S 026 α-opic Toolbox - v1.049a - 2020/11</v>
      </c>
    </row>
    <row r="2" s="85" customFormat="1" ht="15" customHeight="1" spans="2:2">
      <c r="B2" s="218"/>
    </row>
    <row r="3" s="85" customFormat="1" ht="15" customHeight="1" spans="2:3">
      <c r="B3" s="219" t="s">
        <v>388</v>
      </c>
      <c r="C3" s="11" t="str">
        <f>Outputs!C3</f>
        <v>Please note the α-opic Toolbox is not part of CIE S 026. See Disclaimer sheet.</v>
      </c>
    </row>
    <row r="4"/>
    <row r="5" spans="10:10">
      <c r="J5" s="32"/>
    </row>
    <row r="6"/>
    <row r="7" spans="10:10">
      <c r="J7" s="32"/>
    </row>
    <row r="8"/>
    <row r="9" spans="10:10">
      <c r="J9" s="32"/>
    </row>
    <row r="10"/>
    <row r="11"/>
    <row r="12"/>
    <row r="13"/>
    <row r="14"/>
    <row r="15"/>
    <row r="16"/>
    <row r="17"/>
    <row r="18"/>
    <row r="19"/>
    <row r="20"/>
    <row r="21"/>
    <row r="22"/>
    <row r="23"/>
    <row r="24"/>
    <row r="25"/>
    <row r="26"/>
    <row r="27"/>
    <row r="28"/>
    <row r="29" hidden="1" spans="10:10">
      <c r="J29" s="30"/>
    </row>
    <row r="30" hidden="1" spans="15:15">
      <c r="O30" s="220"/>
    </row>
  </sheetData>
  <sheetProtection password="CAB0" sheet="1" objects="1" scenarios="1"/>
  <pageMargins left="0.7" right="0.7" top="0.75" bottom="0.75" header="0.3" footer="0.3"/>
  <pageSetup paperSize="9" orientation="landscape"/>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tabColor theme="7" tint="-0.249977111117893"/>
    <pageSetUpPr fitToPage="1"/>
  </sheetPr>
  <dimension ref="A1:AA471"/>
  <sheetViews>
    <sheetView topLeftCell="H1" workbookViewId="0">
      <selection activeCell="I3" sqref="I3"/>
    </sheetView>
  </sheetViews>
  <sheetFormatPr defaultColWidth="0" defaultRowHeight="14.4" zeroHeight="1"/>
  <cols>
    <col min="1" max="1" width="5.71296296296296" style="3" hidden="1" customWidth="1"/>
    <col min="2" max="3" width="18.712962962963" style="3" hidden="1" customWidth="1"/>
    <col min="4" max="4" width="5.71296296296296" style="3" hidden="1" customWidth="1"/>
    <col min="5" max="6" width="18.712962962963" style="3" hidden="1" customWidth="1"/>
    <col min="7" max="7" width="5.71296296296296" style="142" hidden="1" customWidth="1"/>
    <col min="8" max="8" width="5.71296296296296" style="3" customWidth="1"/>
    <col min="9" max="10" width="18.712962962963" style="3" customWidth="1"/>
    <col min="11" max="11" width="5.71296296296296" style="2" customWidth="1"/>
    <col min="12" max="13" width="18.712962962963" style="3" customWidth="1"/>
    <col min="14" max="14" width="5.71296296296296" style="2" customWidth="1"/>
    <col min="15" max="16384" width="5.71296296296296" style="3" hidden="1"/>
  </cols>
  <sheetData>
    <row r="1" ht="24.95" customHeight="1" spans="1:27">
      <c r="A1" s="143"/>
      <c r="B1" s="144"/>
      <c r="C1" s="143"/>
      <c r="D1" s="143"/>
      <c r="E1" s="145"/>
      <c r="F1" s="143"/>
      <c r="G1" s="146"/>
      <c r="H1" s="39"/>
      <c r="I1" s="5" t="str">
        <f>LEFT(Disclaimer!B1,Maintenance!I3)</f>
        <v>CIE S 026 α-opic Toolbox - v1.049a - 2020/11</v>
      </c>
      <c r="J1" s="6"/>
      <c r="K1" s="6"/>
      <c r="L1" s="6"/>
      <c r="M1" s="6"/>
      <c r="N1" s="6"/>
      <c r="P1" s="185"/>
      <c r="Q1" s="185"/>
      <c r="R1" s="185"/>
      <c r="S1" s="185"/>
      <c r="T1" s="185"/>
      <c r="U1" s="185"/>
      <c r="V1" s="185"/>
      <c r="W1" s="185"/>
      <c r="X1" s="185"/>
      <c r="Y1" s="185"/>
      <c r="Z1" s="185"/>
      <c r="AA1" s="185"/>
    </row>
    <row r="2" ht="15" customHeight="1" spans="1:27">
      <c r="A2" s="143"/>
      <c r="B2" s="144"/>
      <c r="C2" s="143"/>
      <c r="D2" s="143"/>
      <c r="E2" s="145"/>
      <c r="F2" s="143"/>
      <c r="G2" s="146"/>
      <c r="H2" s="39"/>
      <c r="I2" s="5"/>
      <c r="J2" s="6"/>
      <c r="K2" s="6"/>
      <c r="L2" s="6"/>
      <c r="M2" s="6"/>
      <c r="N2" s="6"/>
      <c r="P2" s="185"/>
      <c r="Q2" s="185"/>
      <c r="R2" s="185"/>
      <c r="S2" s="185"/>
      <c r="T2" s="185"/>
      <c r="U2" s="185"/>
      <c r="V2" s="185"/>
      <c r="W2" s="185"/>
      <c r="X2" s="185"/>
      <c r="Y2" s="185"/>
      <c r="Z2" s="185"/>
      <c r="AA2" s="185"/>
    </row>
    <row r="3" ht="15" customHeight="1" spans="1:27">
      <c r="A3" s="143"/>
      <c r="B3" s="144"/>
      <c r="C3" s="143"/>
      <c r="D3" s="143"/>
      <c r="E3" s="145"/>
      <c r="F3" s="143"/>
      <c r="G3" s="146"/>
      <c r="H3" s="39"/>
      <c r="I3" s="186" t="s">
        <v>389</v>
      </c>
      <c r="J3" s="187" t="s">
        <v>390</v>
      </c>
      <c r="K3" s="6"/>
      <c r="L3" s="6"/>
      <c r="M3" s="6"/>
      <c r="N3" s="6"/>
      <c r="P3" s="185"/>
      <c r="Q3" s="185"/>
      <c r="R3" s="185"/>
      <c r="S3" s="185"/>
      <c r="T3" s="185"/>
      <c r="U3" s="185"/>
      <c r="V3" s="185"/>
      <c r="W3" s="185"/>
      <c r="X3" s="185"/>
      <c r="Y3" s="185"/>
      <c r="Z3" s="185"/>
      <c r="AA3" s="185"/>
    </row>
    <row r="4" ht="15" customHeight="1" spans="1:27">
      <c r="A4" s="143"/>
      <c r="B4" s="147"/>
      <c r="C4" s="143"/>
      <c r="D4" s="143"/>
      <c r="E4" s="143"/>
      <c r="F4" s="143"/>
      <c r="G4" s="146"/>
      <c r="H4" s="39"/>
      <c r="I4" s="6"/>
      <c r="J4" s="6"/>
      <c r="K4" s="6"/>
      <c r="L4" s="6"/>
      <c r="M4" s="6"/>
      <c r="N4" s="6"/>
      <c r="P4" s="185"/>
      <c r="Q4" s="185"/>
      <c r="R4" s="185"/>
      <c r="S4" s="185"/>
      <c r="T4" s="185"/>
      <c r="U4" s="185"/>
      <c r="V4" s="185"/>
      <c r="W4" s="185"/>
      <c r="X4" s="185"/>
      <c r="Y4" s="185"/>
      <c r="Z4" s="185"/>
      <c r="AA4" s="185"/>
    </row>
    <row r="5" ht="15" customHeight="1" spans="1:27">
      <c r="A5" s="143"/>
      <c r="B5" s="148" t="s">
        <v>391</v>
      </c>
      <c r="C5" s="149"/>
      <c r="D5" s="143"/>
      <c r="E5" s="150"/>
      <c r="F5" s="143"/>
      <c r="G5" s="146"/>
      <c r="H5" s="39"/>
      <c r="I5" s="186" t="s">
        <v>389</v>
      </c>
      <c r="J5" s="94" t="s">
        <v>58</v>
      </c>
      <c r="K5" s="6"/>
      <c r="L5" s="29" t="s">
        <v>392</v>
      </c>
      <c r="M5" s="6"/>
      <c r="N5" s="6"/>
      <c r="P5" s="185"/>
      <c r="Q5" s="185"/>
      <c r="R5" s="185"/>
      <c r="S5" s="185"/>
      <c r="T5" s="185"/>
      <c r="U5" s="185"/>
      <c r="V5" s="185"/>
      <c r="W5" s="185"/>
      <c r="X5" s="185"/>
      <c r="Y5" s="185"/>
      <c r="Z5" s="185"/>
      <c r="AA5" s="185"/>
    </row>
    <row r="6" ht="15" customHeight="1" spans="1:27">
      <c r="A6" s="143"/>
      <c r="B6" s="143"/>
      <c r="C6" s="143"/>
      <c r="D6" s="143"/>
      <c r="E6" s="151"/>
      <c r="F6" s="143"/>
      <c r="G6" s="146"/>
      <c r="H6" s="39"/>
      <c r="I6" s="29"/>
      <c r="J6" s="84" t="s">
        <v>393</v>
      </c>
      <c r="K6" s="6"/>
      <c r="L6" s="6"/>
      <c r="M6" s="6"/>
      <c r="N6" s="6"/>
      <c r="P6" s="185"/>
      <c r="Q6" s="185"/>
      <c r="R6" s="185"/>
      <c r="S6" s="185"/>
      <c r="T6" s="185"/>
      <c r="U6" s="185"/>
      <c r="V6" s="185"/>
      <c r="W6" s="185"/>
      <c r="X6" s="185"/>
      <c r="Y6" s="185"/>
      <c r="Z6" s="185"/>
      <c r="AA6" s="185"/>
    </row>
    <row r="7" ht="15" customHeight="1" spans="1:27">
      <c r="A7" s="143"/>
      <c r="B7" s="152"/>
      <c r="C7" s="153"/>
      <c r="D7" s="143"/>
      <c r="E7" s="154"/>
      <c r="F7" s="114"/>
      <c r="G7" s="146"/>
      <c r="H7" s="142"/>
      <c r="I7" s="6"/>
      <c r="J7" s="6"/>
      <c r="K7" s="6"/>
      <c r="L7" s="188" t="s">
        <v>394</v>
      </c>
      <c r="M7" s="189"/>
      <c r="N7" s="6"/>
      <c r="P7" s="185"/>
      <c r="Q7" s="185"/>
      <c r="R7" s="185"/>
      <c r="S7" s="185"/>
      <c r="T7" s="185"/>
      <c r="U7" s="185"/>
      <c r="V7" s="185"/>
      <c r="W7" s="185"/>
      <c r="X7" s="185"/>
      <c r="Y7" s="185"/>
      <c r="Z7" s="185"/>
      <c r="AA7" s="185"/>
    </row>
    <row r="8" ht="15" customHeight="1" spans="1:27">
      <c r="A8" s="143"/>
      <c r="B8" s="143"/>
      <c r="C8" s="143"/>
      <c r="D8" s="143"/>
      <c r="E8" s="155"/>
      <c r="F8" s="115"/>
      <c r="G8" s="146"/>
      <c r="H8" s="39"/>
      <c r="I8" s="190" t="s">
        <v>395</v>
      </c>
      <c r="J8" s="190"/>
      <c r="K8" s="6"/>
      <c r="L8" s="191" t="s">
        <v>396</v>
      </c>
      <c r="M8" s="192"/>
      <c r="N8" s="6"/>
      <c r="P8" s="185"/>
      <c r="Q8" s="185"/>
      <c r="R8" s="185"/>
      <c r="S8" s="185"/>
      <c r="T8" s="185"/>
      <c r="U8" s="185"/>
      <c r="V8" s="185"/>
      <c r="W8" s="185"/>
      <c r="X8" s="185"/>
      <c r="Y8" s="185"/>
      <c r="Z8" s="185"/>
      <c r="AA8" s="185"/>
    </row>
    <row r="9" ht="15.15" spans="1:27">
      <c r="A9" s="143"/>
      <c r="B9" s="151"/>
      <c r="C9" s="156"/>
      <c r="D9" s="143"/>
      <c r="E9" s="157"/>
      <c r="F9" s="115"/>
      <c r="G9" s="146"/>
      <c r="H9" s="39"/>
      <c r="I9" s="6"/>
      <c r="J9" s="193" t="str">
        <f>IF(I8="Daylight (D65)",IF(J15&lt;&gt;"D65","Update title above for Reference spectrum",""),"To reset default title enter Daylight (D65)")</f>
        <v>Update title above for Reference spectrum</v>
      </c>
      <c r="K9" s="6"/>
      <c r="L9" s="191" t="s">
        <v>397</v>
      </c>
      <c r="M9" s="192"/>
      <c r="N9" s="6"/>
      <c r="P9" s="185"/>
      <c r="Q9" s="185"/>
      <c r="R9" s="185"/>
      <c r="S9" s="185"/>
      <c r="T9" s="185"/>
      <c r="U9" s="185"/>
      <c r="V9" s="185"/>
      <c r="W9" s="185"/>
      <c r="X9" s="185"/>
      <c r="Y9" s="185"/>
      <c r="Z9" s="185"/>
      <c r="AA9" s="185"/>
    </row>
    <row r="10" ht="15.15" spans="1:27">
      <c r="A10" s="158"/>
      <c r="B10" s="146"/>
      <c r="C10" s="159"/>
      <c r="D10" s="160"/>
      <c r="E10" s="157"/>
      <c r="F10" s="115"/>
      <c r="G10" s="146"/>
      <c r="H10" s="39"/>
      <c r="I10" s="30" t="s">
        <v>398</v>
      </c>
      <c r="J10" s="6"/>
      <c r="K10" s="6"/>
      <c r="L10" s="191" t="s">
        <v>399</v>
      </c>
      <c r="M10" s="192"/>
      <c r="N10" s="6"/>
      <c r="P10" s="185"/>
      <c r="Q10" s="185"/>
      <c r="R10" s="185"/>
      <c r="S10" s="185"/>
      <c r="T10" s="185"/>
      <c r="U10" s="185"/>
      <c r="V10" s="185"/>
      <c r="W10" s="185"/>
      <c r="X10" s="185"/>
      <c r="Y10" s="185"/>
      <c r="Z10" s="185"/>
      <c r="AA10" s="185"/>
    </row>
    <row r="11" ht="15.75" customHeight="1" spans="1:27">
      <c r="A11" s="143"/>
      <c r="B11" s="143"/>
      <c r="C11" s="143"/>
      <c r="D11" s="143"/>
      <c r="E11" s="155"/>
      <c r="F11" s="115"/>
      <c r="G11" s="146"/>
      <c r="H11" s="39"/>
      <c r="I11" s="6" t="s">
        <v>400</v>
      </c>
      <c r="J11" s="35" t="str">
        <f>'Advanced Outputs'!$J$1</f>
        <v>Lucas et al., 2014</v>
      </c>
      <c r="K11" s="85"/>
      <c r="L11" s="191" t="s">
        <v>401</v>
      </c>
      <c r="M11" s="192"/>
      <c r="N11" s="6"/>
      <c r="P11" s="185"/>
      <c r="Q11" s="185"/>
      <c r="R11" s="185"/>
      <c r="S11" s="185"/>
      <c r="T11" s="185"/>
      <c r="U11" s="185"/>
      <c r="V11" s="185"/>
      <c r="W11" s="185"/>
      <c r="X11" s="185"/>
      <c r="Y11" s="185"/>
      <c r="Z11" s="185"/>
      <c r="AA11" s="185"/>
    </row>
    <row r="12" ht="15.15" spans="1:27">
      <c r="A12" s="143"/>
      <c r="B12" s="161"/>
      <c r="C12" s="143"/>
      <c r="D12" s="143"/>
      <c r="E12" s="157"/>
      <c r="F12" s="115"/>
      <c r="G12" s="146"/>
      <c r="H12" s="39"/>
      <c r="I12" s="194"/>
      <c r="J12" s="193" t="str">
        <f>IF(J11="Lucas et al., 2014","To conform to Lucas et al. select E in cell J13","For CIE S 026 (default) select D65 in cell J13")</f>
        <v>To conform to Lucas et al. select E in cell J13</v>
      </c>
      <c r="K12" s="6"/>
      <c r="L12" s="195" t="s">
        <v>402</v>
      </c>
      <c r="M12" s="192"/>
      <c r="N12" s="6"/>
      <c r="P12" s="185"/>
      <c r="Q12" s="185"/>
      <c r="R12" s="185"/>
      <c r="S12" s="185"/>
      <c r="T12" s="185"/>
      <c r="U12" s="185"/>
      <c r="V12" s="185"/>
      <c r="W12" s="185"/>
      <c r="X12" s="185"/>
      <c r="Y12" s="185"/>
      <c r="Z12" s="185"/>
      <c r="AA12" s="185"/>
    </row>
    <row r="13" ht="15.75" customHeight="1" spans="1:27">
      <c r="A13" s="143"/>
      <c r="B13" s="143"/>
      <c r="C13" s="162"/>
      <c r="D13" s="163"/>
      <c r="E13" s="164"/>
      <c r="F13" s="115"/>
      <c r="G13" s="146"/>
      <c r="H13" s="39"/>
      <c r="I13" s="6"/>
      <c r="J13" s="6"/>
      <c r="K13" s="196"/>
      <c r="L13" s="191" t="s">
        <v>403</v>
      </c>
      <c r="M13" s="192"/>
      <c r="N13" s="6"/>
      <c r="P13" s="185"/>
      <c r="Q13" s="185"/>
      <c r="R13" s="185"/>
      <c r="S13" s="185"/>
      <c r="T13" s="185"/>
      <c r="U13" s="185"/>
      <c r="V13" s="185"/>
      <c r="W13" s="185"/>
      <c r="X13" s="185"/>
      <c r="Y13" s="185"/>
      <c r="Z13" s="185"/>
      <c r="AA13" s="185"/>
    </row>
    <row r="14" ht="15" customHeight="1" spans="1:27">
      <c r="A14" s="143"/>
      <c r="B14" s="143"/>
      <c r="C14" s="165"/>
      <c r="D14" s="163"/>
      <c r="E14" s="166"/>
      <c r="F14" s="115"/>
      <c r="G14" s="146"/>
      <c r="H14" s="39"/>
      <c r="I14" s="30" t="s">
        <v>404</v>
      </c>
      <c r="J14" s="6"/>
      <c r="K14" s="197"/>
      <c r="L14" s="198" t="s">
        <v>405</v>
      </c>
      <c r="M14" s="192"/>
      <c r="N14" s="6"/>
      <c r="P14" s="185"/>
      <c r="Q14" s="185"/>
      <c r="R14" s="185"/>
      <c r="S14" s="185"/>
      <c r="T14" s="185"/>
      <c r="U14" s="185"/>
      <c r="V14" s="185"/>
      <c r="W14" s="185"/>
      <c r="X14" s="185"/>
      <c r="Y14" s="185"/>
      <c r="Z14" s="185"/>
      <c r="AA14" s="185"/>
    </row>
    <row r="15" ht="15.15" spans="1:27">
      <c r="A15" s="143"/>
      <c r="B15" s="143"/>
      <c r="C15" s="167"/>
      <c r="D15" s="163"/>
      <c r="E15" s="166"/>
      <c r="F15" s="115"/>
      <c r="G15" s="146"/>
      <c r="H15" s="168"/>
      <c r="I15" s="39" t="s">
        <v>406</v>
      </c>
      <c r="J15" s="35" t="str">
        <f>IF(J11="CIE S 026","D65","E")</f>
        <v>E</v>
      </c>
      <c r="K15" s="196"/>
      <c r="L15" s="198" t="s">
        <v>407</v>
      </c>
      <c r="M15" s="192"/>
      <c r="N15" s="6"/>
      <c r="P15" s="185"/>
      <c r="Q15" s="185"/>
      <c r="R15" s="185"/>
      <c r="S15" s="185"/>
      <c r="T15" s="185"/>
      <c r="U15" s="185"/>
      <c r="V15" s="185"/>
      <c r="W15" s="185"/>
      <c r="X15" s="185"/>
      <c r="Y15" s="185"/>
      <c r="Z15" s="185"/>
      <c r="AA15" s="185"/>
    </row>
    <row r="16" ht="15" customHeight="1" spans="1:27">
      <c r="A16" s="143"/>
      <c r="B16" s="143"/>
      <c r="C16" s="169"/>
      <c r="D16" s="143"/>
      <c r="E16" s="166"/>
      <c r="F16" s="170"/>
      <c r="G16" s="171"/>
      <c r="H16" s="39"/>
      <c r="I16" s="6"/>
      <c r="J16" s="193" t="str">
        <f>IF(AND(J11="CIE S 026",J15="D65"),"CIE S 026 reference spectrum selected",IF(AND(J11&lt;&gt;"CIE S 026",J15="E"),"Selected reference conforms to Lucas et al.","Non-standard combination in cells J9 &amp; J13"))</f>
        <v>Selected reference conforms to Lucas et al.</v>
      </c>
      <c r="K16" s="6"/>
      <c r="L16" s="198" t="s">
        <v>408</v>
      </c>
      <c r="M16" s="199"/>
      <c r="N16" s="6"/>
      <c r="P16" s="185"/>
      <c r="Q16" s="185"/>
      <c r="R16" s="185"/>
      <c r="S16" s="185"/>
      <c r="T16" s="185"/>
      <c r="U16" s="185"/>
      <c r="V16" s="185"/>
      <c r="W16" s="185"/>
      <c r="X16" s="185"/>
      <c r="Y16" s="185"/>
      <c r="Z16" s="185"/>
      <c r="AA16" s="185"/>
    </row>
    <row r="17" spans="1:27">
      <c r="A17" s="143"/>
      <c r="B17" s="151"/>
      <c r="C17" s="143"/>
      <c r="D17" s="143"/>
      <c r="E17" s="166"/>
      <c r="F17" s="115"/>
      <c r="G17" s="146"/>
      <c r="H17" s="39"/>
      <c r="I17" s="6"/>
      <c r="J17" s="193"/>
      <c r="K17" s="6"/>
      <c r="L17" s="200" t="s">
        <v>409</v>
      </c>
      <c r="M17" s="192"/>
      <c r="N17" s="6"/>
      <c r="P17" s="185"/>
      <c r="Q17" s="185"/>
      <c r="R17" s="185"/>
      <c r="S17" s="185"/>
      <c r="T17" s="185"/>
      <c r="U17" s="185"/>
      <c r="V17" s="185"/>
      <c r="W17" s="185"/>
      <c r="X17" s="185"/>
      <c r="Y17" s="185"/>
      <c r="Z17" s="185"/>
      <c r="AA17" s="185"/>
    </row>
    <row r="18" ht="15.15" spans="1:27">
      <c r="A18" s="143"/>
      <c r="B18" s="143"/>
      <c r="C18" s="169"/>
      <c r="D18" s="143"/>
      <c r="E18" s="166"/>
      <c r="F18" s="115"/>
      <c r="G18" s="146"/>
      <c r="H18" s="168"/>
      <c r="I18" s="30" t="str">
        <f>"R3. "&amp;IF($J$15="UserRef","Skip this input","Select measurements details")</f>
        <v>R3. Select measurements details</v>
      </c>
      <c r="J18" s="6"/>
      <c r="K18" s="6"/>
      <c r="L18" s="198" t="s">
        <v>410</v>
      </c>
      <c r="M18" s="192"/>
      <c r="N18" s="6"/>
      <c r="P18" s="185"/>
      <c r="Q18" s="185"/>
      <c r="R18" s="185"/>
      <c r="S18" s="185"/>
      <c r="T18" s="185"/>
      <c r="U18" s="185"/>
      <c r="V18" s="185"/>
      <c r="W18" s="185"/>
      <c r="X18" s="185"/>
      <c r="Y18" s="185"/>
      <c r="Z18" s="185"/>
      <c r="AA18" s="185"/>
    </row>
    <row r="19" ht="15" customHeight="1" spans="1:27">
      <c r="A19" s="143"/>
      <c r="B19" s="172"/>
      <c r="C19" s="173"/>
      <c r="D19" s="163"/>
      <c r="E19" s="164"/>
      <c r="F19" s="115"/>
      <c r="G19" s="146"/>
      <c r="H19" s="168"/>
      <c r="I19" s="6" t="s">
        <v>411</v>
      </c>
      <c r="J19" s="35" t="s">
        <v>295</v>
      </c>
      <c r="K19" s="196"/>
      <c r="L19" s="198" t="s">
        <v>412</v>
      </c>
      <c r="M19" s="192"/>
      <c r="N19" s="6"/>
      <c r="P19" s="185"/>
      <c r="Q19" s="185"/>
      <c r="R19" s="185"/>
      <c r="S19" s="185"/>
      <c r="T19" s="185"/>
      <c r="U19" s="185"/>
      <c r="V19" s="185"/>
      <c r="W19" s="185"/>
      <c r="X19" s="185"/>
      <c r="Y19" s="185"/>
      <c r="Z19" s="185"/>
      <c r="AA19" s="185"/>
    </row>
    <row r="20" ht="15" customHeight="1" spans="1:27">
      <c r="A20" s="143"/>
      <c r="B20" s="174"/>
      <c r="C20" s="143"/>
      <c r="D20" s="143"/>
      <c r="E20" s="166"/>
      <c r="F20" s="115"/>
      <c r="G20" s="146"/>
      <c r="H20" s="39"/>
      <c r="I20" s="6"/>
      <c r="J20" s="201" t="str">
        <f>IF(J19="Photon system","NOTE: log = log base 10","")</f>
        <v/>
      </c>
      <c r="K20" s="6"/>
      <c r="L20" s="202" t="s">
        <v>413</v>
      </c>
      <c r="M20" s="192"/>
      <c r="N20" s="6"/>
      <c r="P20" s="185"/>
      <c r="Q20" s="185"/>
      <c r="R20" s="185"/>
      <c r="S20" s="185"/>
      <c r="T20" s="185"/>
      <c r="U20" s="185"/>
      <c r="V20" s="185"/>
      <c r="W20" s="185"/>
      <c r="X20" s="185"/>
      <c r="Y20" s="185"/>
      <c r="Z20" s="185"/>
      <c r="AA20" s="185"/>
    </row>
    <row r="21" ht="15" customHeight="1" spans="1:27">
      <c r="A21" s="143"/>
      <c r="B21" s="151"/>
      <c r="C21" s="143"/>
      <c r="D21" s="143"/>
      <c r="E21" s="166"/>
      <c r="F21" s="115"/>
      <c r="G21" s="146"/>
      <c r="H21" s="39"/>
      <c r="I21" s="30" t="str">
        <f>"R4. "&amp;IF($J$15="UserRef","Enter wavelength step","Skip this input")</f>
        <v>R4. Skip this input</v>
      </c>
      <c r="J21" s="6"/>
      <c r="K21" s="6"/>
      <c r="L21" s="198" t="s">
        <v>414</v>
      </c>
      <c r="M21" s="192"/>
      <c r="N21" s="6"/>
      <c r="P21" s="185"/>
      <c r="Q21" s="185"/>
      <c r="R21" s="185"/>
      <c r="S21" s="185"/>
      <c r="T21" s="185"/>
      <c r="U21" s="185"/>
      <c r="V21" s="185"/>
      <c r="W21" s="185"/>
      <c r="X21" s="185"/>
      <c r="Y21" s="185"/>
      <c r="Z21" s="185"/>
      <c r="AA21" s="185"/>
    </row>
    <row r="22" ht="15.15" spans="1:27">
      <c r="A22" s="143"/>
      <c r="B22" s="175"/>
      <c r="C22" s="176"/>
      <c r="D22" s="143"/>
      <c r="E22" s="177"/>
      <c r="F22" s="116"/>
      <c r="G22" s="146"/>
      <c r="H22" s="39"/>
      <c r="I22" s="203" t="str">
        <f>IF($J$15="UserRef","Step size, nm","Set this input to 1")</f>
        <v>Set this input to 1</v>
      </c>
      <c r="J22" s="204">
        <v>1</v>
      </c>
      <c r="K22" s="6"/>
      <c r="L22" s="205" t="s">
        <v>415</v>
      </c>
      <c r="M22" s="206"/>
      <c r="N22" s="6"/>
      <c r="P22" s="185"/>
      <c r="Q22" s="185"/>
      <c r="R22" s="185"/>
      <c r="S22" s="185"/>
      <c r="T22" s="185"/>
      <c r="U22" s="185"/>
      <c r="V22" s="185"/>
      <c r="W22" s="185"/>
      <c r="X22" s="185"/>
      <c r="Y22" s="185"/>
      <c r="Z22" s="185"/>
      <c r="AA22" s="185"/>
    </row>
    <row r="23" ht="15" customHeight="1" spans="1:27">
      <c r="A23" s="143"/>
      <c r="B23" s="143"/>
      <c r="C23" s="143"/>
      <c r="D23" s="143"/>
      <c r="E23" s="143"/>
      <c r="F23" s="143"/>
      <c r="G23" s="146"/>
      <c r="H23" s="168"/>
      <c r="I23" s="6"/>
      <c r="J23" s="6"/>
      <c r="K23" s="6"/>
      <c r="L23" s="6"/>
      <c r="M23" s="6"/>
      <c r="N23" s="32"/>
      <c r="P23" s="185"/>
      <c r="Q23" s="185"/>
      <c r="R23" s="185"/>
      <c r="S23" s="185"/>
      <c r="T23" s="185"/>
      <c r="U23" s="185"/>
      <c r="V23" s="185"/>
      <c r="W23" s="185"/>
      <c r="X23" s="185"/>
      <c r="Y23" s="185"/>
      <c r="Z23" s="185"/>
      <c r="AA23" s="185"/>
    </row>
    <row r="24" ht="15" customHeight="1" spans="1:27">
      <c r="A24" s="143"/>
      <c r="B24" s="151"/>
      <c r="C24" s="143"/>
      <c r="D24" s="143"/>
      <c r="E24" s="151"/>
      <c r="F24" s="143"/>
      <c r="G24" s="146"/>
      <c r="H24" s="39"/>
      <c r="I24" s="30" t="str">
        <f>"R5. "&amp;IF($J$15="UserRef","Enter spectral data","Skip this input")</f>
        <v>R5. Skip this input</v>
      </c>
      <c r="J24" s="6"/>
      <c r="K24" s="6"/>
      <c r="L24" s="29" t="s">
        <v>109</v>
      </c>
      <c r="M24" s="6"/>
      <c r="N24" s="6"/>
      <c r="P24" s="185"/>
      <c r="Q24" s="185"/>
      <c r="R24" s="185"/>
      <c r="S24" s="185"/>
      <c r="T24" s="185"/>
      <c r="U24" s="185"/>
      <c r="V24" s="185"/>
      <c r="W24" s="185"/>
      <c r="X24" s="185"/>
      <c r="Y24" s="185"/>
      <c r="Z24" s="185"/>
      <c r="AA24" s="185"/>
    </row>
    <row r="25" ht="15" customHeight="1" spans="1:27">
      <c r="A25" s="143"/>
      <c r="B25" s="178"/>
      <c r="C25" s="169"/>
      <c r="D25" s="143"/>
      <c r="E25" s="143"/>
      <c r="F25" s="143"/>
      <c r="G25" s="146"/>
      <c r="H25" s="168"/>
      <c r="I25" s="194" t="s">
        <v>111</v>
      </c>
      <c r="J25" s="201" t="str">
        <f>IF(NOT($J$15="UserRef"),"Clear spectral data",IF($J$19="Photon system","arbitrary log photon units","arbitrary radiometric units"))</f>
        <v>Clear spectral data</v>
      </c>
      <c r="K25" s="6"/>
      <c r="L25" s="6"/>
      <c r="M25" s="6"/>
      <c r="N25" s="6"/>
      <c r="P25" s="185"/>
      <c r="Q25" s="185"/>
      <c r="R25" s="185"/>
      <c r="S25" s="185"/>
      <c r="T25" s="185"/>
      <c r="U25" s="185"/>
      <c r="V25" s="185"/>
      <c r="W25" s="185"/>
      <c r="X25" s="185"/>
      <c r="Y25" s="185"/>
      <c r="Z25" s="185"/>
      <c r="AA25" s="185"/>
    </row>
    <row r="26" ht="15" customHeight="1" spans="1:27">
      <c r="A26" s="143"/>
      <c r="B26" s="178"/>
      <c r="C26" s="179"/>
      <c r="D26" s="143"/>
      <c r="E26" s="180"/>
      <c r="F26" s="181"/>
      <c r="G26" s="182"/>
      <c r="H26" s="39"/>
      <c r="I26" s="194">
        <f t="shared" ref="I26:I89" si="0">IF(380+J$22*(ROW()-ROW(I$25)-1)&gt;780,"",380+J$22*(ROW()-ROW(I$25)-1))</f>
        <v>380</v>
      </c>
      <c r="J26" s="207"/>
      <c r="K26" s="6"/>
      <c r="L26" s="208" t="str">
        <f ca="1">IF(OR(LEFT(L$28,5)="ERROR",LEFT(L$30,5)="ERROR",LEFT(L$32,5)="ERROR"),"At least one advanced input error.","No errors detected."&amp;IF(LEFT(L$34,7)="WARNING"," Non-standard results.",""))</f>
        <v>No errors detected. Non-standard results.</v>
      </c>
      <c r="M26" s="209"/>
      <c r="N26" s="6"/>
      <c r="P26" s="185"/>
      <c r="Q26" s="185"/>
      <c r="R26" s="185"/>
      <c r="S26" s="185"/>
      <c r="T26" s="185"/>
      <c r="U26" s="185"/>
      <c r="V26" s="185"/>
      <c r="W26" s="185"/>
      <c r="X26" s="185"/>
      <c r="Y26" s="185"/>
      <c r="Z26" s="185"/>
      <c r="AA26" s="185"/>
    </row>
    <row r="27" ht="15" customHeight="1" spans="1:27">
      <c r="A27" s="143"/>
      <c r="B27" s="178"/>
      <c r="C27" s="183"/>
      <c r="D27" s="143"/>
      <c r="E27" s="143"/>
      <c r="F27" s="143"/>
      <c r="G27" s="146"/>
      <c r="H27" s="39"/>
      <c r="I27" s="194">
        <f t="shared" si="0"/>
        <v>381</v>
      </c>
      <c r="J27" s="207"/>
      <c r="K27" s="6"/>
      <c r="L27" s="6"/>
      <c r="M27" s="6"/>
      <c r="N27" s="6"/>
      <c r="P27" s="185"/>
      <c r="Q27" s="185"/>
      <c r="R27" s="185"/>
      <c r="S27" s="185"/>
      <c r="T27" s="185"/>
      <c r="U27" s="185"/>
      <c r="V27" s="185"/>
      <c r="W27" s="185"/>
      <c r="X27" s="185"/>
      <c r="Y27" s="185"/>
      <c r="Z27" s="185"/>
      <c r="AA27" s="185"/>
    </row>
    <row r="28" ht="15" customHeight="1" spans="1:14">
      <c r="A28" s="143"/>
      <c r="B28" s="178"/>
      <c r="C28" s="183"/>
      <c r="D28" s="143"/>
      <c r="E28" s="180"/>
      <c r="F28" s="181"/>
      <c r="G28" s="184"/>
      <c r="H28" s="39"/>
      <c r="I28" s="194">
        <f t="shared" si="0"/>
        <v>382</v>
      </c>
      <c r="J28" s="207"/>
      <c r="K28" s="6"/>
      <c r="L28" s="210" t="str">
        <f>IF(OR($J$15="UserRef",$J$19="Radiometric"),"Spectral system is permitted.","ERROR: Select Radiometric for input R3.")</f>
        <v>Spectral system is permitted.</v>
      </c>
      <c r="M28" s="211"/>
      <c r="N28" s="6"/>
    </row>
    <row r="29" ht="15" customHeight="1" spans="1:14">
      <c r="A29" s="143"/>
      <c r="B29" s="178"/>
      <c r="C29" s="183"/>
      <c r="D29" s="143"/>
      <c r="E29" s="143"/>
      <c r="F29" s="143"/>
      <c r="G29" s="146"/>
      <c r="H29" s="39"/>
      <c r="I29" s="194">
        <f t="shared" si="0"/>
        <v>383</v>
      </c>
      <c r="J29" s="207"/>
      <c r="K29" s="6"/>
      <c r="L29" s="6"/>
      <c r="M29" s="6"/>
      <c r="N29" s="6"/>
    </row>
    <row r="30" ht="15" customHeight="1" spans="1:14">
      <c r="A30" s="143"/>
      <c r="B30" s="178"/>
      <c r="C30" s="183"/>
      <c r="D30" s="143"/>
      <c r="E30" s="180"/>
      <c r="F30" s="181"/>
      <c r="G30" s="184"/>
      <c r="H30" s="168"/>
      <c r="I30" s="194">
        <f t="shared" si="0"/>
        <v>384</v>
      </c>
      <c r="J30" s="207"/>
      <c r="K30" s="6"/>
      <c r="L30" s="210" t="str">
        <f>IF(NOT(OR(AND(J11="Lucas et al., 2014",J15&lt;&gt;"E"),AND(J11="CIE S 026",J15&lt;&gt;"D65"))),"Results based on "&amp;$J$11&amp;".","WARNING: Steps R1 and R2 do not match.")</f>
        <v>Results based on Lucas et al., 2014.</v>
      </c>
      <c r="M30" s="211"/>
      <c r="N30" s="6"/>
    </row>
    <row r="31" ht="15" customHeight="1" spans="1:14">
      <c r="A31" s="143"/>
      <c r="B31" s="178"/>
      <c r="C31" s="183"/>
      <c r="D31" s="143"/>
      <c r="E31" s="143"/>
      <c r="F31" s="143"/>
      <c r="G31" s="146"/>
      <c r="H31" s="39"/>
      <c r="I31" s="194">
        <f t="shared" si="0"/>
        <v>385</v>
      </c>
      <c r="J31" s="207"/>
      <c r="K31" s="6"/>
      <c r="L31" s="6"/>
      <c r="M31" s="6"/>
      <c r="N31" s="6"/>
    </row>
    <row r="32" ht="15" customHeight="1" spans="1:14">
      <c r="A32" s="143"/>
      <c r="B32" s="178"/>
      <c r="C32" s="183"/>
      <c r="D32" s="143"/>
      <c r="E32" s="180"/>
      <c r="F32" s="181"/>
      <c r="G32" s="182"/>
      <c r="H32" s="39"/>
      <c r="I32" s="194">
        <f t="shared" si="0"/>
        <v>386</v>
      </c>
      <c r="J32" s="207"/>
      <c r="K32" s="6"/>
      <c r="L32" s="208" t="str">
        <f ca="1">IF(NOT($J$15="UserRef"),IF(COUNT(J$26:J$426)&lt;&gt;0,"ERROR: Clear spectral data.","Results based on illuminant "&amp;$J$15&amp;"."),IF(AND(MIN(J$26:J$426)&lt;0,LEFT($J$19,6)&lt;&gt;"Photon"),"ERROR: No negative quantities permitted.",IF($J$22="","ERROR: Enter a resolution in step R4.",IF(OR(COUNTBLANK(INDIRECT("I24:I"&amp;INT(24+400/$J$22)))&lt;&gt;0,COUNT(I26:I426)&lt;&gt;COUNT(J26:J426)),"ERROR: REF spectral range mismatch.","Results based on spectral data provided."))))</f>
        <v>Results based on illuminant E.</v>
      </c>
      <c r="M32" s="209"/>
      <c r="N32" s="6"/>
    </row>
    <row r="33" ht="15" customHeight="1" spans="1:14">
      <c r="A33" s="143"/>
      <c r="B33" s="178"/>
      <c r="C33" s="183"/>
      <c r="D33" s="143"/>
      <c r="E33" s="143"/>
      <c r="F33" s="143"/>
      <c r="G33" s="146"/>
      <c r="H33" s="39"/>
      <c r="I33" s="194">
        <f t="shared" si="0"/>
        <v>387</v>
      </c>
      <c r="J33" s="207"/>
      <c r="K33" s="6"/>
      <c r="L33" s="6"/>
      <c r="M33" s="6"/>
      <c r="N33" s="6"/>
    </row>
    <row r="34" ht="15" customHeight="1" spans="1:14">
      <c r="A34" s="143"/>
      <c r="B34" s="178"/>
      <c r="C34" s="183"/>
      <c r="D34" s="143"/>
      <c r="E34" s="143"/>
      <c r="F34" s="143"/>
      <c r="G34" s="146"/>
      <c r="H34" s="39"/>
      <c r="I34" s="194">
        <f t="shared" si="0"/>
        <v>388</v>
      </c>
      <c r="J34" s="207"/>
      <c r="K34" s="6"/>
      <c r="L34" s="208" t="str">
        <f>IF(OR($J$11&lt;&gt;"CIE S 026",J$15&lt;&gt;"D65"),"WARNING: Non-standard calculations","Standard calculations based on CIE S 026.")</f>
        <v>WARNING: Non-standard calculations</v>
      </c>
      <c r="M34" s="209"/>
      <c r="N34" s="6"/>
    </row>
    <row r="35" ht="15" customHeight="1" spans="1:14">
      <c r="A35" s="143"/>
      <c r="B35" s="178"/>
      <c r="C35" s="183"/>
      <c r="D35" s="143"/>
      <c r="E35" s="143"/>
      <c r="F35" s="143"/>
      <c r="G35" s="146"/>
      <c r="H35" s="39"/>
      <c r="I35" s="194">
        <f t="shared" si="0"/>
        <v>389</v>
      </c>
      <c r="J35" s="207"/>
      <c r="K35" s="6"/>
      <c r="L35" s="6"/>
      <c r="M35" s="6"/>
      <c r="N35" s="6"/>
    </row>
    <row r="36" ht="15" customHeight="1" spans="1:14">
      <c r="A36" s="143"/>
      <c r="B36" s="178"/>
      <c r="C36" s="183"/>
      <c r="D36" s="143"/>
      <c r="E36" s="143"/>
      <c r="F36" s="143"/>
      <c r="G36" s="146"/>
      <c r="H36" s="39"/>
      <c r="I36" s="194">
        <f t="shared" si="0"/>
        <v>390</v>
      </c>
      <c r="J36" s="207"/>
      <c r="K36" s="6"/>
      <c r="L36" s="29" t="s">
        <v>416</v>
      </c>
      <c r="M36" s="6"/>
      <c r="N36" s="6"/>
    </row>
    <row r="37" ht="15" customHeight="1" spans="1:14">
      <c r="A37" s="143"/>
      <c r="B37" s="178"/>
      <c r="C37" s="183"/>
      <c r="D37" s="143"/>
      <c r="E37" s="143"/>
      <c r="F37" s="143"/>
      <c r="G37" s="146"/>
      <c r="H37" s="39"/>
      <c r="I37" s="194">
        <f t="shared" si="0"/>
        <v>391</v>
      </c>
      <c r="J37" s="207"/>
      <c r="K37" s="6"/>
      <c r="L37" s="6"/>
      <c r="M37" s="6"/>
      <c r="N37" s="6"/>
    </row>
    <row r="38" ht="15" customHeight="1" spans="1:14">
      <c r="A38" s="143"/>
      <c r="B38" s="178"/>
      <c r="C38" s="183"/>
      <c r="D38" s="143"/>
      <c r="E38" s="143"/>
      <c r="F38" s="143"/>
      <c r="G38" s="146"/>
      <c r="H38" s="39"/>
      <c r="I38" s="194">
        <f t="shared" si="0"/>
        <v>392</v>
      </c>
      <c r="J38" s="207"/>
      <c r="K38" s="6"/>
      <c r="L38" s="212" t="s">
        <v>417</v>
      </c>
      <c r="M38" s="189"/>
      <c r="N38" s="6"/>
    </row>
    <row r="39" ht="15" customHeight="1" spans="1:14">
      <c r="A39" s="143"/>
      <c r="B39" s="178"/>
      <c r="C39" s="183"/>
      <c r="D39" s="143"/>
      <c r="E39" s="143"/>
      <c r="F39" s="143"/>
      <c r="G39" s="146"/>
      <c r="H39" s="39"/>
      <c r="I39" s="194">
        <f t="shared" si="0"/>
        <v>393</v>
      </c>
      <c r="J39" s="207"/>
      <c r="K39" s="6"/>
      <c r="L39" s="213" t="s">
        <v>418</v>
      </c>
      <c r="M39" s="192"/>
      <c r="N39" s="6"/>
    </row>
    <row r="40" ht="15" customHeight="1" spans="1:14">
      <c r="A40" s="143"/>
      <c r="B40" s="178"/>
      <c r="C40" s="183"/>
      <c r="D40" s="143"/>
      <c r="E40" s="143"/>
      <c r="F40" s="143"/>
      <c r="G40" s="146"/>
      <c r="H40" s="39"/>
      <c r="I40" s="194">
        <f t="shared" si="0"/>
        <v>394</v>
      </c>
      <c r="J40" s="207"/>
      <c r="K40" s="6"/>
      <c r="L40" s="213" t="s">
        <v>419</v>
      </c>
      <c r="M40" s="192"/>
      <c r="N40" s="6"/>
    </row>
    <row r="41" ht="15" customHeight="1" spans="1:14">
      <c r="A41" s="143"/>
      <c r="B41" s="178"/>
      <c r="C41" s="183"/>
      <c r="D41" s="143"/>
      <c r="E41" s="151"/>
      <c r="F41" s="143"/>
      <c r="G41" s="146"/>
      <c r="H41" s="39"/>
      <c r="I41" s="194">
        <f t="shared" si="0"/>
        <v>395</v>
      </c>
      <c r="J41" s="207"/>
      <c r="K41" s="6"/>
      <c r="L41" s="214" t="s">
        <v>420</v>
      </c>
      <c r="M41" s="192"/>
      <c r="N41" s="6"/>
    </row>
    <row r="42" ht="15" customHeight="1" spans="1:14">
      <c r="A42" s="143"/>
      <c r="B42" s="178"/>
      <c r="C42" s="183"/>
      <c r="D42" s="143"/>
      <c r="E42" s="143"/>
      <c r="F42" s="143"/>
      <c r="G42" s="146"/>
      <c r="H42" s="39"/>
      <c r="I42" s="194">
        <f t="shared" si="0"/>
        <v>396</v>
      </c>
      <c r="J42" s="207"/>
      <c r="K42" s="6"/>
      <c r="L42" s="215" t="s">
        <v>421</v>
      </c>
      <c r="M42" s="192"/>
      <c r="N42" s="6"/>
    </row>
    <row r="43" ht="15" customHeight="1" spans="1:14">
      <c r="A43" s="143"/>
      <c r="B43" s="178"/>
      <c r="C43" s="183"/>
      <c r="D43" s="143"/>
      <c r="E43" s="143"/>
      <c r="F43" s="143"/>
      <c r="G43" s="146"/>
      <c r="H43" s="39"/>
      <c r="I43" s="194">
        <f t="shared" si="0"/>
        <v>397</v>
      </c>
      <c r="J43" s="207"/>
      <c r="K43" s="6"/>
      <c r="L43" s="213"/>
      <c r="M43" s="192"/>
      <c r="N43" s="6"/>
    </row>
    <row r="44" ht="15" customHeight="1" spans="1:14">
      <c r="A44" s="143"/>
      <c r="B44" s="178"/>
      <c r="C44" s="183"/>
      <c r="D44" s="143"/>
      <c r="E44" s="143"/>
      <c r="F44" s="143"/>
      <c r="G44" s="146"/>
      <c r="H44" s="39"/>
      <c r="I44" s="194">
        <f t="shared" si="0"/>
        <v>398</v>
      </c>
      <c r="J44" s="207"/>
      <c r="K44" s="6"/>
      <c r="L44" s="213" t="s">
        <v>422</v>
      </c>
      <c r="M44" s="192"/>
      <c r="N44" s="6"/>
    </row>
    <row r="45" ht="15" customHeight="1" spans="1:14">
      <c r="A45" s="143"/>
      <c r="B45" s="178"/>
      <c r="C45" s="183"/>
      <c r="D45" s="143"/>
      <c r="E45" s="143"/>
      <c r="F45" s="143"/>
      <c r="G45" s="146"/>
      <c r="H45" s="39"/>
      <c r="I45" s="194">
        <f t="shared" si="0"/>
        <v>399</v>
      </c>
      <c r="J45" s="207"/>
      <c r="K45" s="6"/>
      <c r="L45" s="213" t="s">
        <v>423</v>
      </c>
      <c r="M45" s="192"/>
      <c r="N45" s="6"/>
    </row>
    <row r="46" ht="15" customHeight="1" spans="1:14">
      <c r="A46" s="143"/>
      <c r="B46" s="178"/>
      <c r="C46" s="183"/>
      <c r="D46" s="143"/>
      <c r="E46" s="143"/>
      <c r="F46" s="143"/>
      <c r="G46" s="146"/>
      <c r="H46" s="39"/>
      <c r="I46" s="194">
        <f t="shared" si="0"/>
        <v>400</v>
      </c>
      <c r="J46" s="207"/>
      <c r="K46" s="6"/>
      <c r="L46" s="213" t="s">
        <v>424</v>
      </c>
      <c r="M46" s="192"/>
      <c r="N46" s="6"/>
    </row>
    <row r="47" ht="15" customHeight="1" spans="1:14">
      <c r="A47" s="143"/>
      <c r="B47" s="178"/>
      <c r="C47" s="183"/>
      <c r="D47" s="143"/>
      <c r="E47" s="143"/>
      <c r="F47" s="143"/>
      <c r="G47" s="146"/>
      <c r="H47" s="39"/>
      <c r="I47" s="194">
        <f t="shared" si="0"/>
        <v>401</v>
      </c>
      <c r="J47" s="207"/>
      <c r="K47" s="6"/>
      <c r="L47" s="214" t="s">
        <v>425</v>
      </c>
      <c r="M47" s="192"/>
      <c r="N47" s="6"/>
    </row>
    <row r="48" ht="15" customHeight="1" spans="1:14">
      <c r="A48" s="143"/>
      <c r="B48" s="178"/>
      <c r="C48" s="183"/>
      <c r="D48" s="143"/>
      <c r="E48" s="143"/>
      <c r="F48" s="143"/>
      <c r="G48" s="146"/>
      <c r="H48" s="39"/>
      <c r="I48" s="194">
        <f t="shared" si="0"/>
        <v>402</v>
      </c>
      <c r="J48" s="207"/>
      <c r="K48" s="6"/>
      <c r="L48" s="215" t="s">
        <v>426</v>
      </c>
      <c r="M48" s="192"/>
      <c r="N48" s="6"/>
    </row>
    <row r="49" ht="15" customHeight="1" spans="1:14">
      <c r="A49" s="143"/>
      <c r="B49" s="178"/>
      <c r="C49" s="183"/>
      <c r="D49" s="143"/>
      <c r="E49" s="143"/>
      <c r="F49" s="143"/>
      <c r="G49" s="146"/>
      <c r="H49" s="39"/>
      <c r="I49" s="194">
        <f t="shared" si="0"/>
        <v>403</v>
      </c>
      <c r="J49" s="207"/>
      <c r="K49" s="6"/>
      <c r="L49" s="213"/>
      <c r="M49" s="192"/>
      <c r="N49" s="6"/>
    </row>
    <row r="50" ht="15" customHeight="1" spans="1:14">
      <c r="A50" s="143"/>
      <c r="B50" s="178"/>
      <c r="C50" s="183"/>
      <c r="D50" s="143"/>
      <c r="E50" s="143"/>
      <c r="F50" s="143"/>
      <c r="G50" s="146"/>
      <c r="H50" s="39"/>
      <c r="I50" s="194">
        <f t="shared" si="0"/>
        <v>404</v>
      </c>
      <c r="J50" s="207"/>
      <c r="K50" s="6"/>
      <c r="L50" s="213" t="s">
        <v>427</v>
      </c>
      <c r="M50" s="192"/>
      <c r="N50" s="6"/>
    </row>
    <row r="51" ht="15" customHeight="1" spans="1:14">
      <c r="A51" s="143"/>
      <c r="B51" s="178"/>
      <c r="C51" s="183"/>
      <c r="D51" s="143"/>
      <c r="E51" s="143"/>
      <c r="F51" s="143"/>
      <c r="G51" s="146"/>
      <c r="H51" s="39"/>
      <c r="I51" s="194">
        <f t="shared" si="0"/>
        <v>405</v>
      </c>
      <c r="J51" s="207"/>
      <c r="K51" s="6"/>
      <c r="L51" s="214" t="s">
        <v>428</v>
      </c>
      <c r="M51" s="192"/>
      <c r="N51" s="6"/>
    </row>
    <row r="52" ht="15" customHeight="1" spans="1:14">
      <c r="A52" s="143"/>
      <c r="B52" s="178"/>
      <c r="C52" s="183"/>
      <c r="D52" s="143"/>
      <c r="E52" s="143"/>
      <c r="F52" s="143"/>
      <c r="G52" s="146"/>
      <c r="H52" s="39"/>
      <c r="I52" s="194">
        <f t="shared" si="0"/>
        <v>406</v>
      </c>
      <c r="J52" s="207"/>
      <c r="K52" s="6"/>
      <c r="L52" s="214" t="s">
        <v>429</v>
      </c>
      <c r="M52" s="192"/>
      <c r="N52" s="6"/>
    </row>
    <row r="53" ht="15" customHeight="1" spans="1:14">
      <c r="A53" s="143"/>
      <c r="B53" s="178"/>
      <c r="C53" s="183"/>
      <c r="D53" s="143"/>
      <c r="E53" s="143"/>
      <c r="F53" s="143"/>
      <c r="G53" s="146"/>
      <c r="H53" s="39"/>
      <c r="I53" s="194">
        <f t="shared" si="0"/>
        <v>407</v>
      </c>
      <c r="J53" s="207"/>
      <c r="K53" s="6"/>
      <c r="L53" s="216" t="s">
        <v>430</v>
      </c>
      <c r="M53" s="206"/>
      <c r="N53" s="6"/>
    </row>
    <row r="54" ht="15" customHeight="1" spans="1:14">
      <c r="A54" s="143"/>
      <c r="B54" s="178"/>
      <c r="C54" s="183"/>
      <c r="D54" s="143"/>
      <c r="E54" s="143"/>
      <c r="F54" s="143"/>
      <c r="G54" s="146"/>
      <c r="H54" s="39"/>
      <c r="I54" s="194">
        <f t="shared" si="0"/>
        <v>408</v>
      </c>
      <c r="J54" s="207"/>
      <c r="K54" s="6"/>
      <c r="L54" s="6"/>
      <c r="M54" s="6"/>
      <c r="N54" s="6"/>
    </row>
    <row r="55" ht="15" customHeight="1" spans="1:14">
      <c r="A55" s="143"/>
      <c r="B55" s="178"/>
      <c r="C55" s="183"/>
      <c r="D55" s="143"/>
      <c r="E55" s="143"/>
      <c r="F55" s="143"/>
      <c r="G55" s="146"/>
      <c r="H55" s="39"/>
      <c r="I55" s="194">
        <f t="shared" si="0"/>
        <v>409</v>
      </c>
      <c r="J55" s="207"/>
      <c r="K55" s="6"/>
      <c r="L55" s="6"/>
      <c r="M55" s="6"/>
      <c r="N55" s="6"/>
    </row>
    <row r="56" ht="15" customHeight="1" spans="1:14">
      <c r="A56" s="143"/>
      <c r="B56" s="178"/>
      <c r="C56" s="183"/>
      <c r="D56" s="143"/>
      <c r="E56" s="143"/>
      <c r="F56" s="143"/>
      <c r="G56" s="146"/>
      <c r="H56" s="39"/>
      <c r="I56" s="194">
        <f t="shared" si="0"/>
        <v>410</v>
      </c>
      <c r="J56" s="207"/>
      <c r="K56" s="6"/>
      <c r="L56" s="6"/>
      <c r="M56" s="6"/>
      <c r="N56" s="6"/>
    </row>
    <row r="57" ht="15" customHeight="1" spans="1:14">
      <c r="A57" s="143"/>
      <c r="B57" s="178"/>
      <c r="C57" s="183"/>
      <c r="D57" s="143"/>
      <c r="E57" s="143"/>
      <c r="F57" s="143"/>
      <c r="G57" s="146"/>
      <c r="H57" s="39"/>
      <c r="I57" s="194">
        <f t="shared" si="0"/>
        <v>411</v>
      </c>
      <c r="J57" s="207"/>
      <c r="K57" s="6"/>
      <c r="L57" s="6"/>
      <c r="M57" s="6"/>
      <c r="N57" s="6"/>
    </row>
    <row r="58" ht="15" customHeight="1" spans="1:14">
      <c r="A58" s="143"/>
      <c r="B58" s="178"/>
      <c r="C58" s="183"/>
      <c r="D58" s="143"/>
      <c r="E58" s="143"/>
      <c r="F58" s="143"/>
      <c r="G58" s="146"/>
      <c r="H58" s="39"/>
      <c r="I58" s="194">
        <f t="shared" si="0"/>
        <v>412</v>
      </c>
      <c r="J58" s="207"/>
      <c r="K58" s="6"/>
      <c r="L58" s="6"/>
      <c r="M58" s="6"/>
      <c r="N58" s="6"/>
    </row>
    <row r="59" ht="15" customHeight="1" spans="1:14">
      <c r="A59" s="143"/>
      <c r="B59" s="178"/>
      <c r="C59" s="183"/>
      <c r="D59" s="143"/>
      <c r="E59" s="143"/>
      <c r="F59" s="143"/>
      <c r="G59" s="146"/>
      <c r="H59" s="39"/>
      <c r="I59" s="194">
        <f t="shared" si="0"/>
        <v>413</v>
      </c>
      <c r="J59" s="207"/>
      <c r="K59" s="6"/>
      <c r="L59" s="6"/>
      <c r="M59" s="6"/>
      <c r="N59" s="6"/>
    </row>
    <row r="60" ht="15" customHeight="1" spans="1:14">
      <c r="A60" s="143"/>
      <c r="B60" s="178"/>
      <c r="C60" s="183"/>
      <c r="D60" s="143"/>
      <c r="E60" s="143"/>
      <c r="F60" s="143"/>
      <c r="G60" s="146"/>
      <c r="H60" s="39"/>
      <c r="I60" s="194">
        <f t="shared" si="0"/>
        <v>414</v>
      </c>
      <c r="J60" s="207"/>
      <c r="K60" s="6"/>
      <c r="L60" s="6"/>
      <c r="M60" s="6"/>
      <c r="N60" s="6"/>
    </row>
    <row r="61" ht="15" customHeight="1" spans="1:14">
      <c r="A61" s="143"/>
      <c r="B61" s="178"/>
      <c r="C61" s="183"/>
      <c r="D61" s="143"/>
      <c r="E61" s="143"/>
      <c r="F61" s="143"/>
      <c r="G61" s="146"/>
      <c r="H61" s="39"/>
      <c r="I61" s="194">
        <f t="shared" si="0"/>
        <v>415</v>
      </c>
      <c r="J61" s="207"/>
      <c r="K61" s="6"/>
      <c r="L61" s="6"/>
      <c r="M61" s="6"/>
      <c r="N61" s="6"/>
    </row>
    <row r="62" ht="15" customHeight="1" spans="1:14">
      <c r="A62" s="143"/>
      <c r="B62" s="178"/>
      <c r="C62" s="183"/>
      <c r="D62" s="143"/>
      <c r="E62" s="143"/>
      <c r="F62" s="143"/>
      <c r="G62" s="146"/>
      <c r="H62" s="39"/>
      <c r="I62" s="194">
        <f t="shared" si="0"/>
        <v>416</v>
      </c>
      <c r="J62" s="207"/>
      <c r="K62" s="6"/>
      <c r="L62" s="6"/>
      <c r="M62" s="6"/>
      <c r="N62" s="6"/>
    </row>
    <row r="63" ht="15" customHeight="1" spans="1:14">
      <c r="A63" s="143"/>
      <c r="B63" s="178"/>
      <c r="C63" s="183"/>
      <c r="D63" s="143"/>
      <c r="E63" s="143"/>
      <c r="F63" s="143"/>
      <c r="G63" s="146"/>
      <c r="H63" s="39"/>
      <c r="I63" s="194">
        <f t="shared" si="0"/>
        <v>417</v>
      </c>
      <c r="J63" s="207"/>
      <c r="K63" s="6"/>
      <c r="L63" s="6"/>
      <c r="M63" s="6"/>
      <c r="N63" s="6"/>
    </row>
    <row r="64" ht="15" customHeight="1" spans="1:14">
      <c r="A64" s="143"/>
      <c r="B64" s="178"/>
      <c r="C64" s="183"/>
      <c r="D64" s="143"/>
      <c r="E64" s="143"/>
      <c r="F64" s="143"/>
      <c r="G64" s="146"/>
      <c r="H64" s="39"/>
      <c r="I64" s="194">
        <f t="shared" si="0"/>
        <v>418</v>
      </c>
      <c r="J64" s="207"/>
      <c r="K64" s="6"/>
      <c r="L64" s="6"/>
      <c r="M64" s="6"/>
      <c r="N64" s="6"/>
    </row>
    <row r="65" ht="15" customHeight="1" spans="1:14">
      <c r="A65" s="143"/>
      <c r="B65" s="178"/>
      <c r="C65" s="183"/>
      <c r="D65" s="143"/>
      <c r="E65" s="143"/>
      <c r="F65" s="143"/>
      <c r="G65" s="146"/>
      <c r="H65" s="39"/>
      <c r="I65" s="194">
        <f t="shared" si="0"/>
        <v>419</v>
      </c>
      <c r="J65" s="207"/>
      <c r="K65" s="6"/>
      <c r="L65" s="6"/>
      <c r="M65" s="6"/>
      <c r="N65" s="6"/>
    </row>
    <row r="66" ht="15" customHeight="1" spans="1:14">
      <c r="A66" s="143"/>
      <c r="B66" s="178"/>
      <c r="C66" s="183"/>
      <c r="D66" s="143"/>
      <c r="E66" s="143"/>
      <c r="F66" s="143"/>
      <c r="G66" s="146"/>
      <c r="H66" s="39"/>
      <c r="I66" s="194">
        <f t="shared" si="0"/>
        <v>420</v>
      </c>
      <c r="J66" s="207"/>
      <c r="K66" s="6"/>
      <c r="L66" s="6"/>
      <c r="M66" s="6"/>
      <c r="N66" s="6"/>
    </row>
    <row r="67" ht="15" customHeight="1" spans="1:14">
      <c r="A67" s="143"/>
      <c r="B67" s="178"/>
      <c r="C67" s="183"/>
      <c r="D67" s="143"/>
      <c r="E67" s="143"/>
      <c r="F67" s="143"/>
      <c r="G67" s="146"/>
      <c r="H67" s="39"/>
      <c r="I67" s="194">
        <f t="shared" si="0"/>
        <v>421</v>
      </c>
      <c r="J67" s="207"/>
      <c r="K67" s="6"/>
      <c r="L67" s="6"/>
      <c r="M67" s="6"/>
      <c r="N67" s="6"/>
    </row>
    <row r="68" ht="15" customHeight="1" spans="1:14">
      <c r="A68" s="143"/>
      <c r="B68" s="178"/>
      <c r="C68" s="183"/>
      <c r="D68" s="143"/>
      <c r="E68" s="143"/>
      <c r="F68" s="143"/>
      <c r="G68" s="146"/>
      <c r="H68" s="39"/>
      <c r="I68" s="194">
        <f t="shared" si="0"/>
        <v>422</v>
      </c>
      <c r="J68" s="207"/>
      <c r="K68" s="6"/>
      <c r="L68" s="6"/>
      <c r="M68" s="6"/>
      <c r="N68" s="6"/>
    </row>
    <row r="69" ht="15" customHeight="1" spans="1:14">
      <c r="A69" s="143"/>
      <c r="B69" s="178"/>
      <c r="C69" s="183"/>
      <c r="D69" s="143"/>
      <c r="E69" s="143"/>
      <c r="F69" s="143"/>
      <c r="G69" s="146"/>
      <c r="H69" s="39"/>
      <c r="I69" s="194">
        <f t="shared" si="0"/>
        <v>423</v>
      </c>
      <c r="J69" s="207"/>
      <c r="K69" s="6"/>
      <c r="L69" s="6"/>
      <c r="M69" s="6"/>
      <c r="N69" s="6"/>
    </row>
    <row r="70" ht="15" customHeight="1" spans="1:14">
      <c r="A70" s="143"/>
      <c r="B70" s="178"/>
      <c r="C70" s="183"/>
      <c r="D70" s="143"/>
      <c r="E70" s="143"/>
      <c r="F70" s="143"/>
      <c r="G70" s="146"/>
      <c r="H70" s="39"/>
      <c r="I70" s="194">
        <f t="shared" si="0"/>
        <v>424</v>
      </c>
      <c r="J70" s="207"/>
      <c r="K70" s="6"/>
      <c r="L70" s="6"/>
      <c r="M70" s="6"/>
      <c r="N70" s="6"/>
    </row>
    <row r="71" ht="15" customHeight="1" spans="1:14">
      <c r="A71" s="143"/>
      <c r="B71" s="178"/>
      <c r="C71" s="183"/>
      <c r="D71" s="143"/>
      <c r="E71" s="143"/>
      <c r="F71" s="143"/>
      <c r="G71" s="146"/>
      <c r="H71" s="39"/>
      <c r="I71" s="194">
        <f t="shared" si="0"/>
        <v>425</v>
      </c>
      <c r="J71" s="207"/>
      <c r="K71" s="6"/>
      <c r="L71" s="6"/>
      <c r="M71" s="6"/>
      <c r="N71" s="6"/>
    </row>
    <row r="72" ht="15" customHeight="1" spans="1:14">
      <c r="A72" s="143"/>
      <c r="B72" s="178"/>
      <c r="C72" s="183"/>
      <c r="D72" s="143"/>
      <c r="E72" s="143"/>
      <c r="F72" s="143"/>
      <c r="G72" s="146"/>
      <c r="H72" s="39"/>
      <c r="I72" s="194">
        <f t="shared" si="0"/>
        <v>426</v>
      </c>
      <c r="J72" s="207"/>
      <c r="K72" s="6"/>
      <c r="L72" s="6"/>
      <c r="M72" s="6"/>
      <c r="N72" s="6"/>
    </row>
    <row r="73" ht="15" customHeight="1" spans="1:14">
      <c r="A73" s="143"/>
      <c r="B73" s="178"/>
      <c r="C73" s="183"/>
      <c r="D73" s="143"/>
      <c r="E73" s="143"/>
      <c r="F73" s="143"/>
      <c r="G73" s="146"/>
      <c r="H73" s="39"/>
      <c r="I73" s="194">
        <f t="shared" si="0"/>
        <v>427</v>
      </c>
      <c r="J73" s="207"/>
      <c r="K73" s="6"/>
      <c r="L73" s="6"/>
      <c r="M73" s="6"/>
      <c r="N73" s="6"/>
    </row>
    <row r="74" ht="15" customHeight="1" spans="1:14">
      <c r="A74" s="143"/>
      <c r="B74" s="178"/>
      <c r="C74" s="183"/>
      <c r="D74" s="143"/>
      <c r="E74" s="143"/>
      <c r="F74" s="143"/>
      <c r="G74" s="146"/>
      <c r="H74" s="39"/>
      <c r="I74" s="194">
        <f t="shared" si="0"/>
        <v>428</v>
      </c>
      <c r="J74" s="207"/>
      <c r="K74" s="6"/>
      <c r="L74" s="6"/>
      <c r="M74" s="6"/>
      <c r="N74" s="6"/>
    </row>
    <row r="75" ht="15" customHeight="1" spans="1:14">
      <c r="A75" s="143"/>
      <c r="B75" s="178"/>
      <c r="C75" s="183"/>
      <c r="D75" s="143"/>
      <c r="E75" s="143"/>
      <c r="F75" s="143"/>
      <c r="G75" s="146"/>
      <c r="H75" s="39"/>
      <c r="I75" s="194">
        <f t="shared" si="0"/>
        <v>429</v>
      </c>
      <c r="J75" s="207"/>
      <c r="K75" s="6"/>
      <c r="L75" s="6"/>
      <c r="M75" s="6"/>
      <c r="N75" s="6"/>
    </row>
    <row r="76" ht="15" customHeight="1" spans="1:14">
      <c r="A76" s="143"/>
      <c r="B76" s="178"/>
      <c r="C76" s="183"/>
      <c r="D76" s="143"/>
      <c r="E76" s="143"/>
      <c r="F76" s="143"/>
      <c r="G76" s="146"/>
      <c r="H76" s="39"/>
      <c r="I76" s="194">
        <f t="shared" si="0"/>
        <v>430</v>
      </c>
      <c r="J76" s="207"/>
      <c r="K76" s="6"/>
      <c r="L76" s="6"/>
      <c r="M76" s="6"/>
      <c r="N76" s="6"/>
    </row>
    <row r="77" ht="15" customHeight="1" spans="1:14">
      <c r="A77" s="143"/>
      <c r="B77" s="178"/>
      <c r="C77" s="183"/>
      <c r="D77" s="143"/>
      <c r="E77" s="143"/>
      <c r="F77" s="143"/>
      <c r="G77" s="146"/>
      <c r="H77" s="39"/>
      <c r="I77" s="194">
        <f t="shared" si="0"/>
        <v>431</v>
      </c>
      <c r="J77" s="207"/>
      <c r="K77" s="6"/>
      <c r="L77" s="6"/>
      <c r="M77" s="6"/>
      <c r="N77" s="6"/>
    </row>
    <row r="78" ht="15" customHeight="1" spans="1:14">
      <c r="A78" s="143"/>
      <c r="B78" s="178"/>
      <c r="C78" s="183"/>
      <c r="D78" s="143"/>
      <c r="E78" s="143"/>
      <c r="F78" s="143"/>
      <c r="G78" s="146"/>
      <c r="H78" s="39"/>
      <c r="I78" s="194">
        <f t="shared" si="0"/>
        <v>432</v>
      </c>
      <c r="J78" s="207"/>
      <c r="K78" s="6"/>
      <c r="L78" s="6"/>
      <c r="M78" s="6"/>
      <c r="N78" s="6"/>
    </row>
    <row r="79" ht="15" customHeight="1" spans="1:14">
      <c r="A79" s="143"/>
      <c r="B79" s="178"/>
      <c r="C79" s="183"/>
      <c r="D79" s="143"/>
      <c r="E79" s="143"/>
      <c r="F79" s="143"/>
      <c r="G79" s="146"/>
      <c r="H79" s="39"/>
      <c r="I79" s="194">
        <f t="shared" si="0"/>
        <v>433</v>
      </c>
      <c r="J79" s="207"/>
      <c r="K79" s="6"/>
      <c r="L79" s="6"/>
      <c r="M79" s="6"/>
      <c r="N79" s="6"/>
    </row>
    <row r="80" ht="15" customHeight="1" spans="1:14">
      <c r="A80" s="143"/>
      <c r="B80" s="178"/>
      <c r="C80" s="183"/>
      <c r="D80" s="143"/>
      <c r="E80" s="143"/>
      <c r="F80" s="143"/>
      <c r="G80" s="146"/>
      <c r="H80" s="39"/>
      <c r="I80" s="194">
        <f t="shared" si="0"/>
        <v>434</v>
      </c>
      <c r="J80" s="207"/>
      <c r="K80" s="6"/>
      <c r="L80" s="6"/>
      <c r="M80" s="6"/>
      <c r="N80" s="6"/>
    </row>
    <row r="81" ht="15" customHeight="1" spans="1:14">
      <c r="A81" s="143"/>
      <c r="B81" s="178"/>
      <c r="C81" s="183"/>
      <c r="D81" s="143"/>
      <c r="E81" s="143"/>
      <c r="F81" s="143"/>
      <c r="G81" s="146"/>
      <c r="H81" s="39"/>
      <c r="I81" s="194">
        <f t="shared" si="0"/>
        <v>435</v>
      </c>
      <c r="J81" s="207"/>
      <c r="K81" s="6"/>
      <c r="L81" s="6"/>
      <c r="M81" s="6"/>
      <c r="N81" s="6"/>
    </row>
    <row r="82" ht="15" customHeight="1" spans="1:14">
      <c r="A82" s="143"/>
      <c r="B82" s="178"/>
      <c r="C82" s="183"/>
      <c r="D82" s="143"/>
      <c r="E82" s="143"/>
      <c r="F82" s="143"/>
      <c r="G82" s="146"/>
      <c r="H82" s="39"/>
      <c r="I82" s="194">
        <f t="shared" si="0"/>
        <v>436</v>
      </c>
      <c r="J82" s="207"/>
      <c r="K82" s="6"/>
      <c r="L82" s="6"/>
      <c r="M82" s="6"/>
      <c r="N82" s="6"/>
    </row>
    <row r="83" ht="15" customHeight="1" spans="1:14">
      <c r="A83" s="143"/>
      <c r="B83" s="178"/>
      <c r="C83" s="183"/>
      <c r="D83" s="143"/>
      <c r="E83" s="143"/>
      <c r="F83" s="143"/>
      <c r="G83" s="146"/>
      <c r="H83" s="39"/>
      <c r="I83" s="194">
        <f t="shared" si="0"/>
        <v>437</v>
      </c>
      <c r="J83" s="207"/>
      <c r="K83" s="6"/>
      <c r="L83" s="6"/>
      <c r="M83" s="6"/>
      <c r="N83" s="6"/>
    </row>
    <row r="84" ht="15" customHeight="1" spans="1:14">
      <c r="A84" s="143"/>
      <c r="B84" s="178"/>
      <c r="C84" s="183"/>
      <c r="D84" s="143"/>
      <c r="E84" s="143"/>
      <c r="F84" s="143"/>
      <c r="G84" s="146"/>
      <c r="H84" s="39"/>
      <c r="I84" s="194">
        <f t="shared" si="0"/>
        <v>438</v>
      </c>
      <c r="J84" s="207"/>
      <c r="K84" s="6"/>
      <c r="L84" s="6"/>
      <c r="M84" s="6"/>
      <c r="N84" s="6"/>
    </row>
    <row r="85" ht="15" customHeight="1" spans="1:14">
      <c r="A85" s="143"/>
      <c r="B85" s="178"/>
      <c r="C85" s="183"/>
      <c r="D85" s="143"/>
      <c r="E85" s="143"/>
      <c r="F85" s="143"/>
      <c r="G85" s="146"/>
      <c r="H85" s="39"/>
      <c r="I85" s="194">
        <f t="shared" si="0"/>
        <v>439</v>
      </c>
      <c r="J85" s="207"/>
      <c r="K85" s="6"/>
      <c r="L85" s="6"/>
      <c r="M85" s="6"/>
      <c r="N85" s="6"/>
    </row>
    <row r="86" ht="15" customHeight="1" spans="1:14">
      <c r="A86" s="143"/>
      <c r="B86" s="178"/>
      <c r="C86" s="183"/>
      <c r="D86" s="143"/>
      <c r="E86" s="143"/>
      <c r="F86" s="143"/>
      <c r="G86" s="146"/>
      <c r="H86" s="39"/>
      <c r="I86" s="194">
        <f t="shared" si="0"/>
        <v>440</v>
      </c>
      <c r="J86" s="207"/>
      <c r="K86" s="6"/>
      <c r="L86" s="6"/>
      <c r="M86" s="6"/>
      <c r="N86" s="6"/>
    </row>
    <row r="87" ht="15" customHeight="1" spans="1:14">
      <c r="A87" s="143"/>
      <c r="B87" s="178"/>
      <c r="C87" s="183"/>
      <c r="D87" s="143"/>
      <c r="E87" s="143"/>
      <c r="F87" s="143"/>
      <c r="G87" s="146"/>
      <c r="H87" s="39"/>
      <c r="I87" s="194">
        <f t="shared" si="0"/>
        <v>441</v>
      </c>
      <c r="J87" s="207"/>
      <c r="K87" s="6"/>
      <c r="L87" s="6"/>
      <c r="M87" s="6"/>
      <c r="N87" s="6"/>
    </row>
    <row r="88" ht="15" customHeight="1" spans="1:14">
      <c r="A88" s="143"/>
      <c r="B88" s="178"/>
      <c r="C88" s="183"/>
      <c r="D88" s="143"/>
      <c r="E88" s="143"/>
      <c r="F88" s="143"/>
      <c r="G88" s="146"/>
      <c r="H88" s="39"/>
      <c r="I88" s="194">
        <f t="shared" si="0"/>
        <v>442</v>
      </c>
      <c r="J88" s="207"/>
      <c r="K88" s="6"/>
      <c r="L88" s="6"/>
      <c r="M88" s="6"/>
      <c r="N88" s="6"/>
    </row>
    <row r="89" ht="15" customHeight="1" spans="1:14">
      <c r="A89" s="143"/>
      <c r="B89" s="178"/>
      <c r="C89" s="183"/>
      <c r="D89" s="143"/>
      <c r="E89" s="143"/>
      <c r="F89" s="143"/>
      <c r="G89" s="146"/>
      <c r="H89" s="39"/>
      <c r="I89" s="194">
        <f t="shared" si="0"/>
        <v>443</v>
      </c>
      <c r="J89" s="207"/>
      <c r="K89" s="6"/>
      <c r="L89" s="6"/>
      <c r="M89" s="6"/>
      <c r="N89" s="6"/>
    </row>
    <row r="90" ht="15" customHeight="1" spans="1:14">
      <c r="A90" s="143"/>
      <c r="B90" s="178"/>
      <c r="C90" s="183"/>
      <c r="D90" s="143"/>
      <c r="E90" s="143"/>
      <c r="F90" s="143"/>
      <c r="G90" s="146"/>
      <c r="H90" s="39"/>
      <c r="I90" s="194">
        <f t="shared" ref="I90:I153" si="1">IF(380+J$22*(ROW()-ROW(I$25)-1)&gt;780,"",380+J$22*(ROW()-ROW(I$25)-1))</f>
        <v>444</v>
      </c>
      <c r="J90" s="207"/>
      <c r="K90" s="6"/>
      <c r="L90" s="6"/>
      <c r="M90" s="6"/>
      <c r="N90" s="6"/>
    </row>
    <row r="91" ht="15" customHeight="1" spans="1:14">
      <c r="A91" s="143"/>
      <c r="B91" s="178"/>
      <c r="C91" s="183"/>
      <c r="D91" s="143"/>
      <c r="E91" s="143"/>
      <c r="F91" s="143"/>
      <c r="G91" s="146"/>
      <c r="H91" s="39"/>
      <c r="I91" s="194">
        <f t="shared" si="1"/>
        <v>445</v>
      </c>
      <c r="J91" s="207"/>
      <c r="K91" s="6"/>
      <c r="L91" s="6"/>
      <c r="M91" s="6"/>
      <c r="N91" s="6"/>
    </row>
    <row r="92" ht="15" customHeight="1" spans="1:14">
      <c r="A92" s="143"/>
      <c r="B92" s="178"/>
      <c r="C92" s="183"/>
      <c r="D92" s="143"/>
      <c r="E92" s="143"/>
      <c r="F92" s="143"/>
      <c r="G92" s="146"/>
      <c r="H92" s="39"/>
      <c r="I92" s="194">
        <f t="shared" si="1"/>
        <v>446</v>
      </c>
      <c r="J92" s="207"/>
      <c r="K92" s="6"/>
      <c r="L92" s="6"/>
      <c r="M92" s="6"/>
      <c r="N92" s="6"/>
    </row>
    <row r="93" ht="15" customHeight="1" spans="1:14">
      <c r="A93" s="143"/>
      <c r="B93" s="178"/>
      <c r="C93" s="183"/>
      <c r="D93" s="143"/>
      <c r="E93" s="143"/>
      <c r="F93" s="143"/>
      <c r="G93" s="146"/>
      <c r="H93" s="39"/>
      <c r="I93" s="194">
        <f t="shared" si="1"/>
        <v>447</v>
      </c>
      <c r="J93" s="207"/>
      <c r="K93" s="6"/>
      <c r="L93" s="6"/>
      <c r="M93" s="6"/>
      <c r="N93" s="6"/>
    </row>
    <row r="94" ht="15" customHeight="1" spans="1:14">
      <c r="A94" s="143"/>
      <c r="B94" s="178"/>
      <c r="C94" s="183"/>
      <c r="D94" s="143"/>
      <c r="E94" s="143"/>
      <c r="F94" s="143"/>
      <c r="G94" s="146"/>
      <c r="H94" s="39"/>
      <c r="I94" s="194">
        <f t="shared" si="1"/>
        <v>448</v>
      </c>
      <c r="J94" s="207"/>
      <c r="K94" s="6"/>
      <c r="L94" s="6"/>
      <c r="M94" s="6"/>
      <c r="N94" s="6"/>
    </row>
    <row r="95" ht="15" customHeight="1" spans="1:14">
      <c r="A95" s="143"/>
      <c r="B95" s="178"/>
      <c r="C95" s="183"/>
      <c r="D95" s="143"/>
      <c r="E95" s="143"/>
      <c r="F95" s="143"/>
      <c r="G95" s="146"/>
      <c r="H95" s="39"/>
      <c r="I95" s="194">
        <f t="shared" si="1"/>
        <v>449</v>
      </c>
      <c r="J95" s="207"/>
      <c r="K95" s="6"/>
      <c r="L95" s="6"/>
      <c r="M95" s="6"/>
      <c r="N95" s="6"/>
    </row>
    <row r="96" ht="15" customHeight="1" spans="1:14">
      <c r="A96" s="143"/>
      <c r="B96" s="178"/>
      <c r="C96" s="183"/>
      <c r="D96" s="143"/>
      <c r="E96" s="143"/>
      <c r="F96" s="143"/>
      <c r="G96" s="146"/>
      <c r="H96" s="39"/>
      <c r="I96" s="194">
        <f t="shared" si="1"/>
        <v>450</v>
      </c>
      <c r="J96" s="207"/>
      <c r="K96" s="6"/>
      <c r="L96" s="6"/>
      <c r="M96" s="6"/>
      <c r="N96" s="6"/>
    </row>
    <row r="97" ht="15" customHeight="1" spans="1:14">
      <c r="A97" s="143"/>
      <c r="B97" s="178"/>
      <c r="C97" s="183"/>
      <c r="D97" s="143"/>
      <c r="E97" s="143"/>
      <c r="F97" s="143"/>
      <c r="G97" s="146"/>
      <c r="H97" s="39"/>
      <c r="I97" s="194">
        <f t="shared" si="1"/>
        <v>451</v>
      </c>
      <c r="J97" s="207"/>
      <c r="K97" s="6"/>
      <c r="L97" s="6"/>
      <c r="M97" s="6"/>
      <c r="N97" s="6"/>
    </row>
    <row r="98" ht="15" customHeight="1" spans="1:14">
      <c r="A98" s="143"/>
      <c r="B98" s="178"/>
      <c r="C98" s="183"/>
      <c r="D98" s="143"/>
      <c r="E98" s="143"/>
      <c r="F98" s="143"/>
      <c r="G98" s="146"/>
      <c r="H98" s="39"/>
      <c r="I98" s="194">
        <f t="shared" si="1"/>
        <v>452</v>
      </c>
      <c r="J98" s="207"/>
      <c r="K98" s="6"/>
      <c r="L98" s="6"/>
      <c r="M98" s="6"/>
      <c r="N98" s="6"/>
    </row>
    <row r="99" ht="15" customHeight="1" spans="1:14">
      <c r="A99" s="143"/>
      <c r="B99" s="178"/>
      <c r="C99" s="183"/>
      <c r="D99" s="143"/>
      <c r="E99" s="143"/>
      <c r="F99" s="143"/>
      <c r="G99" s="146"/>
      <c r="H99" s="39"/>
      <c r="I99" s="194">
        <f t="shared" si="1"/>
        <v>453</v>
      </c>
      <c r="J99" s="207"/>
      <c r="K99" s="6"/>
      <c r="L99" s="6"/>
      <c r="M99" s="6"/>
      <c r="N99" s="6"/>
    </row>
    <row r="100" ht="15" customHeight="1" spans="1:14">
      <c r="A100" s="143"/>
      <c r="B100" s="178"/>
      <c r="C100" s="183"/>
      <c r="D100" s="143"/>
      <c r="E100" s="143"/>
      <c r="F100" s="143"/>
      <c r="G100" s="146"/>
      <c r="H100" s="39"/>
      <c r="I100" s="194">
        <f t="shared" si="1"/>
        <v>454</v>
      </c>
      <c r="J100" s="207"/>
      <c r="K100" s="6"/>
      <c r="L100" s="6"/>
      <c r="M100" s="6"/>
      <c r="N100" s="6"/>
    </row>
    <row r="101" ht="15" customHeight="1" spans="1:14">
      <c r="A101" s="143"/>
      <c r="B101" s="178"/>
      <c r="C101" s="183"/>
      <c r="D101" s="143"/>
      <c r="E101" s="143"/>
      <c r="F101" s="143"/>
      <c r="G101" s="146"/>
      <c r="H101" s="39"/>
      <c r="I101" s="194">
        <f t="shared" si="1"/>
        <v>455</v>
      </c>
      <c r="J101" s="207"/>
      <c r="K101" s="6"/>
      <c r="L101" s="6"/>
      <c r="M101" s="6"/>
      <c r="N101" s="6"/>
    </row>
    <row r="102" ht="15" customHeight="1" spans="1:14">
      <c r="A102" s="143"/>
      <c r="B102" s="178"/>
      <c r="C102" s="183"/>
      <c r="D102" s="143"/>
      <c r="E102" s="143"/>
      <c r="F102" s="143"/>
      <c r="G102" s="146"/>
      <c r="H102" s="39"/>
      <c r="I102" s="194">
        <f t="shared" si="1"/>
        <v>456</v>
      </c>
      <c r="J102" s="207"/>
      <c r="K102" s="6"/>
      <c r="L102" s="6"/>
      <c r="M102" s="6"/>
      <c r="N102" s="6"/>
    </row>
    <row r="103" ht="15" customHeight="1" spans="1:14">
      <c r="A103" s="143"/>
      <c r="B103" s="178"/>
      <c r="C103" s="183"/>
      <c r="D103" s="143"/>
      <c r="E103" s="143"/>
      <c r="F103" s="143"/>
      <c r="G103" s="146"/>
      <c r="H103" s="39"/>
      <c r="I103" s="194">
        <f t="shared" si="1"/>
        <v>457</v>
      </c>
      <c r="J103" s="207"/>
      <c r="K103" s="6"/>
      <c r="L103" s="6"/>
      <c r="M103" s="6"/>
      <c r="N103" s="6"/>
    </row>
    <row r="104" ht="15" customHeight="1" spans="1:14">
      <c r="A104" s="143"/>
      <c r="B104" s="178"/>
      <c r="C104" s="183"/>
      <c r="D104" s="143"/>
      <c r="E104" s="143"/>
      <c r="F104" s="143"/>
      <c r="G104" s="146"/>
      <c r="H104" s="39"/>
      <c r="I104" s="194">
        <f t="shared" si="1"/>
        <v>458</v>
      </c>
      <c r="J104" s="207"/>
      <c r="K104" s="6"/>
      <c r="L104" s="6"/>
      <c r="M104" s="6"/>
      <c r="N104" s="6"/>
    </row>
    <row r="105" ht="15" customHeight="1" spans="1:14">
      <c r="A105" s="143"/>
      <c r="B105" s="178"/>
      <c r="C105" s="183"/>
      <c r="D105" s="143"/>
      <c r="E105" s="143"/>
      <c r="F105" s="143"/>
      <c r="G105" s="146"/>
      <c r="H105" s="39"/>
      <c r="I105" s="194">
        <f t="shared" si="1"/>
        <v>459</v>
      </c>
      <c r="J105" s="207"/>
      <c r="K105" s="6"/>
      <c r="L105" s="6"/>
      <c r="M105" s="6"/>
      <c r="N105" s="6"/>
    </row>
    <row r="106" ht="15" customHeight="1" spans="1:14">
      <c r="A106" s="143"/>
      <c r="B106" s="178"/>
      <c r="C106" s="183"/>
      <c r="D106" s="143"/>
      <c r="E106" s="143"/>
      <c r="F106" s="143"/>
      <c r="G106" s="146"/>
      <c r="H106" s="39"/>
      <c r="I106" s="194">
        <f t="shared" si="1"/>
        <v>460</v>
      </c>
      <c r="J106" s="207"/>
      <c r="K106" s="6"/>
      <c r="L106" s="6"/>
      <c r="M106" s="6"/>
      <c r="N106" s="6"/>
    </row>
    <row r="107" ht="15" customHeight="1" spans="1:14">
      <c r="A107" s="143"/>
      <c r="B107" s="178"/>
      <c r="C107" s="183"/>
      <c r="D107" s="143"/>
      <c r="E107" s="143"/>
      <c r="F107" s="143"/>
      <c r="G107" s="146"/>
      <c r="H107" s="39"/>
      <c r="I107" s="194">
        <f t="shared" si="1"/>
        <v>461</v>
      </c>
      <c r="J107" s="207"/>
      <c r="K107" s="6"/>
      <c r="L107" s="6"/>
      <c r="M107" s="6"/>
      <c r="N107" s="6"/>
    </row>
    <row r="108" ht="15" customHeight="1" spans="1:14">
      <c r="A108" s="143"/>
      <c r="B108" s="178"/>
      <c r="C108" s="183"/>
      <c r="D108" s="143"/>
      <c r="E108" s="143"/>
      <c r="F108" s="143"/>
      <c r="G108" s="146"/>
      <c r="H108" s="39"/>
      <c r="I108" s="194">
        <f t="shared" si="1"/>
        <v>462</v>
      </c>
      <c r="J108" s="207"/>
      <c r="K108" s="6"/>
      <c r="L108" s="6"/>
      <c r="M108" s="6"/>
      <c r="N108" s="6"/>
    </row>
    <row r="109" ht="15" customHeight="1" spans="1:14">
      <c r="A109" s="143"/>
      <c r="B109" s="178"/>
      <c r="C109" s="183"/>
      <c r="D109" s="143"/>
      <c r="E109" s="143"/>
      <c r="F109" s="143"/>
      <c r="G109" s="146"/>
      <c r="H109" s="39"/>
      <c r="I109" s="194">
        <f t="shared" si="1"/>
        <v>463</v>
      </c>
      <c r="J109" s="207"/>
      <c r="K109" s="6"/>
      <c r="L109" s="6"/>
      <c r="M109" s="6"/>
      <c r="N109" s="6"/>
    </row>
    <row r="110" ht="15" customHeight="1" spans="1:14">
      <c r="A110" s="143"/>
      <c r="B110" s="178"/>
      <c r="C110" s="183"/>
      <c r="D110" s="143"/>
      <c r="E110" s="143"/>
      <c r="F110" s="143"/>
      <c r="G110" s="146"/>
      <c r="H110" s="39"/>
      <c r="I110" s="194">
        <f t="shared" si="1"/>
        <v>464</v>
      </c>
      <c r="J110" s="207"/>
      <c r="K110" s="6"/>
      <c r="L110" s="6"/>
      <c r="M110" s="6"/>
      <c r="N110" s="6"/>
    </row>
    <row r="111" ht="15" customHeight="1" spans="1:14">
      <c r="A111" s="143"/>
      <c r="B111" s="178"/>
      <c r="C111" s="183"/>
      <c r="D111" s="143"/>
      <c r="E111" s="143"/>
      <c r="F111" s="143"/>
      <c r="G111" s="146"/>
      <c r="H111" s="39"/>
      <c r="I111" s="194">
        <f t="shared" si="1"/>
        <v>465</v>
      </c>
      <c r="J111" s="207"/>
      <c r="K111" s="6"/>
      <c r="L111" s="6"/>
      <c r="M111" s="6"/>
      <c r="N111" s="6"/>
    </row>
    <row r="112" ht="15" customHeight="1" spans="1:14">
      <c r="A112" s="143"/>
      <c r="B112" s="178"/>
      <c r="C112" s="183"/>
      <c r="D112" s="143"/>
      <c r="E112" s="143"/>
      <c r="F112" s="143"/>
      <c r="G112" s="146"/>
      <c r="H112" s="39"/>
      <c r="I112" s="194">
        <f t="shared" si="1"/>
        <v>466</v>
      </c>
      <c r="J112" s="207"/>
      <c r="K112" s="6"/>
      <c r="L112" s="6"/>
      <c r="M112" s="6"/>
      <c r="N112" s="6"/>
    </row>
    <row r="113" ht="15" customHeight="1" spans="1:14">
      <c r="A113" s="143"/>
      <c r="B113" s="178"/>
      <c r="C113" s="183"/>
      <c r="D113" s="143"/>
      <c r="E113" s="143"/>
      <c r="F113" s="143"/>
      <c r="G113" s="146"/>
      <c r="H113" s="39"/>
      <c r="I113" s="194">
        <f t="shared" si="1"/>
        <v>467</v>
      </c>
      <c r="J113" s="207"/>
      <c r="K113" s="6"/>
      <c r="L113" s="6"/>
      <c r="M113" s="6"/>
      <c r="N113" s="6"/>
    </row>
    <row r="114" ht="15" customHeight="1" spans="1:14">
      <c r="A114" s="143"/>
      <c r="B114" s="178"/>
      <c r="C114" s="183"/>
      <c r="D114" s="143"/>
      <c r="E114" s="143"/>
      <c r="F114" s="143"/>
      <c r="G114" s="146"/>
      <c r="H114" s="39"/>
      <c r="I114" s="194">
        <f t="shared" si="1"/>
        <v>468</v>
      </c>
      <c r="J114" s="207"/>
      <c r="K114" s="6"/>
      <c r="L114" s="6"/>
      <c r="M114" s="6"/>
      <c r="N114" s="6"/>
    </row>
    <row r="115" ht="15" customHeight="1" spans="1:14">
      <c r="A115" s="143"/>
      <c r="B115" s="178"/>
      <c r="C115" s="183"/>
      <c r="D115" s="143"/>
      <c r="E115" s="143"/>
      <c r="F115" s="143"/>
      <c r="G115" s="146"/>
      <c r="H115" s="39"/>
      <c r="I115" s="194">
        <f t="shared" si="1"/>
        <v>469</v>
      </c>
      <c r="J115" s="207"/>
      <c r="K115" s="6"/>
      <c r="L115" s="6"/>
      <c r="M115" s="6"/>
      <c r="N115" s="6"/>
    </row>
    <row r="116" ht="15" customHeight="1" spans="1:14">
      <c r="A116" s="143"/>
      <c r="B116" s="178"/>
      <c r="C116" s="183"/>
      <c r="D116" s="143"/>
      <c r="E116" s="143"/>
      <c r="F116" s="143"/>
      <c r="G116" s="146"/>
      <c r="H116" s="39"/>
      <c r="I116" s="194">
        <f t="shared" si="1"/>
        <v>470</v>
      </c>
      <c r="J116" s="207"/>
      <c r="K116" s="6"/>
      <c r="L116" s="6"/>
      <c r="M116" s="6"/>
      <c r="N116" s="6"/>
    </row>
    <row r="117" ht="15" customHeight="1" spans="1:14">
      <c r="A117" s="143"/>
      <c r="B117" s="178"/>
      <c r="C117" s="183"/>
      <c r="D117" s="143"/>
      <c r="E117" s="143"/>
      <c r="F117" s="143"/>
      <c r="G117" s="146"/>
      <c r="H117" s="39"/>
      <c r="I117" s="194">
        <f t="shared" si="1"/>
        <v>471</v>
      </c>
      <c r="J117" s="207"/>
      <c r="K117" s="6"/>
      <c r="L117" s="6"/>
      <c r="M117" s="6"/>
      <c r="N117" s="6"/>
    </row>
    <row r="118" ht="15" customHeight="1" spans="1:14">
      <c r="A118" s="143"/>
      <c r="B118" s="178"/>
      <c r="C118" s="183"/>
      <c r="D118" s="143"/>
      <c r="E118" s="143"/>
      <c r="F118" s="143"/>
      <c r="G118" s="146"/>
      <c r="H118" s="39"/>
      <c r="I118" s="194">
        <f t="shared" si="1"/>
        <v>472</v>
      </c>
      <c r="J118" s="207"/>
      <c r="K118" s="6"/>
      <c r="L118" s="6"/>
      <c r="M118" s="6"/>
      <c r="N118" s="6"/>
    </row>
    <row r="119" ht="15" customHeight="1" spans="1:14">
      <c r="A119" s="143"/>
      <c r="B119" s="178"/>
      <c r="C119" s="183"/>
      <c r="D119" s="143"/>
      <c r="E119" s="143"/>
      <c r="F119" s="143"/>
      <c r="G119" s="146"/>
      <c r="H119" s="39"/>
      <c r="I119" s="194">
        <f t="shared" si="1"/>
        <v>473</v>
      </c>
      <c r="J119" s="207"/>
      <c r="K119" s="6"/>
      <c r="L119" s="6"/>
      <c r="M119" s="6"/>
      <c r="N119" s="6"/>
    </row>
    <row r="120" ht="15" customHeight="1" spans="1:14">
      <c r="A120" s="143"/>
      <c r="B120" s="178"/>
      <c r="C120" s="183"/>
      <c r="D120" s="143"/>
      <c r="E120" s="143"/>
      <c r="F120" s="143"/>
      <c r="G120" s="146"/>
      <c r="H120" s="39"/>
      <c r="I120" s="194">
        <f t="shared" si="1"/>
        <v>474</v>
      </c>
      <c r="J120" s="207"/>
      <c r="K120" s="6"/>
      <c r="L120" s="6"/>
      <c r="M120" s="6"/>
      <c r="N120" s="6"/>
    </row>
    <row r="121" ht="15" customHeight="1" spans="1:14">
      <c r="A121" s="143"/>
      <c r="B121" s="178"/>
      <c r="C121" s="183"/>
      <c r="D121" s="143"/>
      <c r="E121" s="143"/>
      <c r="F121" s="143"/>
      <c r="G121" s="146"/>
      <c r="H121" s="39"/>
      <c r="I121" s="194">
        <f t="shared" si="1"/>
        <v>475</v>
      </c>
      <c r="J121" s="207"/>
      <c r="K121" s="6"/>
      <c r="L121" s="6"/>
      <c r="M121" s="6"/>
      <c r="N121" s="6"/>
    </row>
    <row r="122" ht="15" customHeight="1" spans="1:14">
      <c r="A122" s="143"/>
      <c r="B122" s="178"/>
      <c r="C122" s="183"/>
      <c r="D122" s="143"/>
      <c r="E122" s="143"/>
      <c r="F122" s="143"/>
      <c r="G122" s="146"/>
      <c r="H122" s="39"/>
      <c r="I122" s="194">
        <f t="shared" si="1"/>
        <v>476</v>
      </c>
      <c r="J122" s="207"/>
      <c r="K122" s="6"/>
      <c r="L122" s="6"/>
      <c r="M122" s="6"/>
      <c r="N122" s="6"/>
    </row>
    <row r="123" ht="15" customHeight="1" spans="1:14">
      <c r="A123" s="143"/>
      <c r="B123" s="178"/>
      <c r="C123" s="183"/>
      <c r="D123" s="143"/>
      <c r="E123" s="143"/>
      <c r="F123" s="143"/>
      <c r="G123" s="146"/>
      <c r="H123" s="39"/>
      <c r="I123" s="194">
        <f t="shared" si="1"/>
        <v>477</v>
      </c>
      <c r="J123" s="207"/>
      <c r="K123" s="6"/>
      <c r="L123" s="6"/>
      <c r="M123" s="6"/>
      <c r="N123" s="6"/>
    </row>
    <row r="124" ht="15" customHeight="1" spans="1:14">
      <c r="A124" s="143"/>
      <c r="B124" s="178"/>
      <c r="C124" s="183"/>
      <c r="D124" s="143"/>
      <c r="E124" s="143"/>
      <c r="F124" s="143"/>
      <c r="G124" s="146"/>
      <c r="H124" s="39"/>
      <c r="I124" s="194">
        <f t="shared" si="1"/>
        <v>478</v>
      </c>
      <c r="J124" s="207"/>
      <c r="K124" s="6"/>
      <c r="L124" s="6"/>
      <c r="M124" s="6"/>
      <c r="N124" s="6"/>
    </row>
    <row r="125" ht="15" customHeight="1" spans="1:14">
      <c r="A125" s="143"/>
      <c r="B125" s="178"/>
      <c r="C125" s="183"/>
      <c r="D125" s="143"/>
      <c r="E125" s="143"/>
      <c r="F125" s="143"/>
      <c r="G125" s="146"/>
      <c r="H125" s="39"/>
      <c r="I125" s="194">
        <f t="shared" si="1"/>
        <v>479</v>
      </c>
      <c r="J125" s="207"/>
      <c r="K125" s="6"/>
      <c r="L125" s="6"/>
      <c r="M125" s="6"/>
      <c r="N125" s="6"/>
    </row>
    <row r="126" ht="15" customHeight="1" spans="1:14">
      <c r="A126" s="143"/>
      <c r="B126" s="178"/>
      <c r="C126" s="183"/>
      <c r="D126" s="143"/>
      <c r="E126" s="143"/>
      <c r="F126" s="143"/>
      <c r="G126" s="146"/>
      <c r="H126" s="39"/>
      <c r="I126" s="194">
        <f t="shared" si="1"/>
        <v>480</v>
      </c>
      <c r="J126" s="207"/>
      <c r="K126" s="6"/>
      <c r="L126" s="6"/>
      <c r="M126" s="6"/>
      <c r="N126" s="6"/>
    </row>
    <row r="127" ht="15" customHeight="1" spans="1:14">
      <c r="A127" s="143"/>
      <c r="B127" s="178"/>
      <c r="C127" s="183"/>
      <c r="D127" s="143"/>
      <c r="E127" s="143"/>
      <c r="F127" s="143"/>
      <c r="G127" s="146"/>
      <c r="H127" s="39"/>
      <c r="I127" s="194">
        <f t="shared" si="1"/>
        <v>481</v>
      </c>
      <c r="J127" s="207"/>
      <c r="K127" s="6"/>
      <c r="L127" s="6"/>
      <c r="M127" s="6"/>
      <c r="N127" s="6"/>
    </row>
    <row r="128" ht="15" customHeight="1" spans="1:14">
      <c r="A128" s="143"/>
      <c r="B128" s="178"/>
      <c r="C128" s="183"/>
      <c r="D128" s="143"/>
      <c r="E128" s="143"/>
      <c r="F128" s="143"/>
      <c r="G128" s="146"/>
      <c r="H128" s="39"/>
      <c r="I128" s="194">
        <f t="shared" si="1"/>
        <v>482</v>
      </c>
      <c r="J128" s="207"/>
      <c r="K128" s="6"/>
      <c r="L128" s="6"/>
      <c r="M128" s="6"/>
      <c r="N128" s="6"/>
    </row>
    <row r="129" ht="15" customHeight="1" spans="1:14">
      <c r="A129" s="143"/>
      <c r="B129" s="178"/>
      <c r="C129" s="183"/>
      <c r="D129" s="143"/>
      <c r="E129" s="143"/>
      <c r="F129" s="143"/>
      <c r="G129" s="146"/>
      <c r="H129" s="39"/>
      <c r="I129" s="194">
        <f t="shared" si="1"/>
        <v>483</v>
      </c>
      <c r="J129" s="207"/>
      <c r="K129" s="6"/>
      <c r="L129" s="6"/>
      <c r="M129" s="6"/>
      <c r="N129" s="6"/>
    </row>
    <row r="130" ht="15" customHeight="1" spans="1:14">
      <c r="A130" s="143"/>
      <c r="B130" s="178"/>
      <c r="C130" s="183"/>
      <c r="D130" s="143"/>
      <c r="E130" s="143"/>
      <c r="F130" s="143"/>
      <c r="G130" s="146"/>
      <c r="H130" s="39"/>
      <c r="I130" s="194">
        <f t="shared" si="1"/>
        <v>484</v>
      </c>
      <c r="J130" s="207"/>
      <c r="K130" s="6"/>
      <c r="L130" s="6"/>
      <c r="M130" s="6"/>
      <c r="N130" s="6"/>
    </row>
    <row r="131" ht="15" customHeight="1" spans="1:14">
      <c r="A131" s="143"/>
      <c r="B131" s="178"/>
      <c r="C131" s="183"/>
      <c r="D131" s="143"/>
      <c r="E131" s="143"/>
      <c r="F131" s="143"/>
      <c r="G131" s="146"/>
      <c r="H131" s="39"/>
      <c r="I131" s="194">
        <f t="shared" si="1"/>
        <v>485</v>
      </c>
      <c r="J131" s="207"/>
      <c r="K131" s="6"/>
      <c r="L131" s="6"/>
      <c r="M131" s="6"/>
      <c r="N131" s="6"/>
    </row>
    <row r="132" ht="15" customHeight="1" spans="1:14">
      <c r="A132" s="143"/>
      <c r="B132" s="178"/>
      <c r="C132" s="183"/>
      <c r="D132" s="143"/>
      <c r="E132" s="143"/>
      <c r="F132" s="143"/>
      <c r="G132" s="146"/>
      <c r="H132" s="39"/>
      <c r="I132" s="194">
        <f t="shared" si="1"/>
        <v>486</v>
      </c>
      <c r="J132" s="207"/>
      <c r="K132" s="6"/>
      <c r="L132" s="6"/>
      <c r="M132" s="6"/>
      <c r="N132" s="6"/>
    </row>
    <row r="133" ht="15" customHeight="1" spans="1:14">
      <c r="A133" s="143"/>
      <c r="B133" s="178"/>
      <c r="C133" s="183"/>
      <c r="D133" s="143"/>
      <c r="E133" s="143"/>
      <c r="F133" s="143"/>
      <c r="G133" s="146"/>
      <c r="H133" s="39"/>
      <c r="I133" s="194">
        <f t="shared" si="1"/>
        <v>487</v>
      </c>
      <c r="J133" s="207"/>
      <c r="K133" s="6"/>
      <c r="L133" s="6"/>
      <c r="M133" s="6"/>
      <c r="N133" s="6"/>
    </row>
    <row r="134" ht="15" customHeight="1" spans="1:14">
      <c r="A134" s="143"/>
      <c r="B134" s="178"/>
      <c r="C134" s="183"/>
      <c r="D134" s="143"/>
      <c r="E134" s="143"/>
      <c r="F134" s="143"/>
      <c r="G134" s="146"/>
      <c r="H134" s="39"/>
      <c r="I134" s="194">
        <f t="shared" si="1"/>
        <v>488</v>
      </c>
      <c r="J134" s="207"/>
      <c r="K134" s="6"/>
      <c r="L134" s="6"/>
      <c r="M134" s="6"/>
      <c r="N134" s="6"/>
    </row>
    <row r="135" ht="15" customHeight="1" spans="1:14">
      <c r="A135" s="143"/>
      <c r="B135" s="178"/>
      <c r="C135" s="183"/>
      <c r="D135" s="143"/>
      <c r="E135" s="143"/>
      <c r="F135" s="143"/>
      <c r="G135" s="146"/>
      <c r="H135" s="39"/>
      <c r="I135" s="194">
        <f t="shared" si="1"/>
        <v>489</v>
      </c>
      <c r="J135" s="207"/>
      <c r="K135" s="6"/>
      <c r="L135" s="6"/>
      <c r="M135" s="6"/>
      <c r="N135" s="6"/>
    </row>
    <row r="136" ht="15" customHeight="1" spans="1:14">
      <c r="A136" s="143"/>
      <c r="B136" s="178"/>
      <c r="C136" s="183"/>
      <c r="D136" s="143"/>
      <c r="E136" s="143"/>
      <c r="F136" s="143"/>
      <c r="G136" s="146"/>
      <c r="H136" s="39"/>
      <c r="I136" s="194">
        <f t="shared" si="1"/>
        <v>490</v>
      </c>
      <c r="J136" s="207"/>
      <c r="K136" s="6"/>
      <c r="L136" s="6"/>
      <c r="M136" s="6"/>
      <c r="N136" s="6"/>
    </row>
    <row r="137" ht="15" customHeight="1" spans="1:14">
      <c r="A137" s="143"/>
      <c r="B137" s="178"/>
      <c r="C137" s="183"/>
      <c r="D137" s="143"/>
      <c r="E137" s="143"/>
      <c r="F137" s="143"/>
      <c r="G137" s="146"/>
      <c r="H137" s="39"/>
      <c r="I137" s="194">
        <f t="shared" si="1"/>
        <v>491</v>
      </c>
      <c r="J137" s="207"/>
      <c r="K137" s="6"/>
      <c r="L137" s="6"/>
      <c r="M137" s="6"/>
      <c r="N137" s="6"/>
    </row>
    <row r="138" ht="15" customHeight="1" spans="1:14">
      <c r="A138" s="143"/>
      <c r="B138" s="178"/>
      <c r="C138" s="183"/>
      <c r="D138" s="143"/>
      <c r="E138" s="143"/>
      <c r="F138" s="143"/>
      <c r="G138" s="146"/>
      <c r="H138" s="39"/>
      <c r="I138" s="194">
        <f t="shared" si="1"/>
        <v>492</v>
      </c>
      <c r="J138" s="207"/>
      <c r="K138" s="6"/>
      <c r="L138" s="6"/>
      <c r="M138" s="6"/>
      <c r="N138" s="6"/>
    </row>
    <row r="139" ht="15" customHeight="1" spans="1:14">
      <c r="A139" s="143"/>
      <c r="B139" s="178"/>
      <c r="C139" s="183"/>
      <c r="D139" s="143"/>
      <c r="E139" s="143"/>
      <c r="F139" s="143"/>
      <c r="G139" s="146"/>
      <c r="H139" s="39"/>
      <c r="I139" s="194">
        <f t="shared" si="1"/>
        <v>493</v>
      </c>
      <c r="J139" s="207"/>
      <c r="K139" s="6"/>
      <c r="L139" s="6"/>
      <c r="M139" s="6"/>
      <c r="N139" s="6"/>
    </row>
    <row r="140" ht="15" customHeight="1" spans="1:14">
      <c r="A140" s="143"/>
      <c r="B140" s="178"/>
      <c r="C140" s="183"/>
      <c r="D140" s="143"/>
      <c r="E140" s="143"/>
      <c r="F140" s="143"/>
      <c r="G140" s="146"/>
      <c r="H140" s="39"/>
      <c r="I140" s="194">
        <f t="shared" si="1"/>
        <v>494</v>
      </c>
      <c r="J140" s="207"/>
      <c r="K140" s="6"/>
      <c r="L140" s="6"/>
      <c r="M140" s="6"/>
      <c r="N140" s="6"/>
    </row>
    <row r="141" ht="15" customHeight="1" spans="1:14">
      <c r="A141" s="143"/>
      <c r="B141" s="178"/>
      <c r="C141" s="183"/>
      <c r="D141" s="143"/>
      <c r="E141" s="143"/>
      <c r="F141" s="143"/>
      <c r="G141" s="146"/>
      <c r="H141" s="39"/>
      <c r="I141" s="194">
        <f t="shared" si="1"/>
        <v>495</v>
      </c>
      <c r="J141" s="207"/>
      <c r="K141" s="6"/>
      <c r="L141" s="6"/>
      <c r="M141" s="6"/>
      <c r="N141" s="6"/>
    </row>
    <row r="142" ht="15" customHeight="1" spans="1:14">
      <c r="A142" s="143"/>
      <c r="B142" s="178"/>
      <c r="C142" s="183"/>
      <c r="D142" s="143"/>
      <c r="E142" s="143"/>
      <c r="F142" s="143"/>
      <c r="G142" s="146"/>
      <c r="H142" s="39"/>
      <c r="I142" s="194">
        <f t="shared" si="1"/>
        <v>496</v>
      </c>
      <c r="J142" s="207"/>
      <c r="K142" s="6"/>
      <c r="L142" s="6"/>
      <c r="M142" s="6"/>
      <c r="N142" s="6"/>
    </row>
    <row r="143" ht="15" customHeight="1" spans="1:14">
      <c r="A143" s="143"/>
      <c r="B143" s="178"/>
      <c r="C143" s="183"/>
      <c r="D143" s="143"/>
      <c r="E143" s="143"/>
      <c r="F143" s="143"/>
      <c r="G143" s="146"/>
      <c r="H143" s="39"/>
      <c r="I143" s="194">
        <f t="shared" si="1"/>
        <v>497</v>
      </c>
      <c r="J143" s="207"/>
      <c r="K143" s="6"/>
      <c r="L143" s="6"/>
      <c r="M143" s="6"/>
      <c r="N143" s="6"/>
    </row>
    <row r="144" ht="15" customHeight="1" spans="1:14">
      <c r="A144" s="143"/>
      <c r="B144" s="178"/>
      <c r="C144" s="183"/>
      <c r="D144" s="143"/>
      <c r="E144" s="143"/>
      <c r="F144" s="143"/>
      <c r="G144" s="146"/>
      <c r="H144" s="39"/>
      <c r="I144" s="194">
        <f t="shared" si="1"/>
        <v>498</v>
      </c>
      <c r="J144" s="207"/>
      <c r="K144" s="6"/>
      <c r="L144" s="6"/>
      <c r="M144" s="6"/>
      <c r="N144" s="6"/>
    </row>
    <row r="145" ht="15" customHeight="1" spans="1:14">
      <c r="A145" s="143"/>
      <c r="B145" s="178"/>
      <c r="C145" s="183"/>
      <c r="D145" s="143"/>
      <c r="E145" s="143"/>
      <c r="F145" s="143"/>
      <c r="G145" s="146"/>
      <c r="H145" s="39"/>
      <c r="I145" s="194">
        <f t="shared" si="1"/>
        <v>499</v>
      </c>
      <c r="J145" s="207"/>
      <c r="K145" s="6"/>
      <c r="L145" s="6"/>
      <c r="M145" s="6"/>
      <c r="N145" s="6"/>
    </row>
    <row r="146" ht="15" customHeight="1" spans="1:14">
      <c r="A146" s="143"/>
      <c r="B146" s="178"/>
      <c r="C146" s="183"/>
      <c r="D146" s="143"/>
      <c r="E146" s="143"/>
      <c r="F146" s="143"/>
      <c r="G146" s="146"/>
      <c r="H146" s="39"/>
      <c r="I146" s="194">
        <f t="shared" si="1"/>
        <v>500</v>
      </c>
      <c r="J146" s="207"/>
      <c r="K146" s="6"/>
      <c r="L146" s="6"/>
      <c r="M146" s="6"/>
      <c r="N146" s="6"/>
    </row>
    <row r="147" ht="15" customHeight="1" spans="1:14">
      <c r="A147" s="143"/>
      <c r="B147" s="178"/>
      <c r="C147" s="183"/>
      <c r="D147" s="143"/>
      <c r="E147" s="143"/>
      <c r="F147" s="143"/>
      <c r="G147" s="146"/>
      <c r="H147" s="39"/>
      <c r="I147" s="194">
        <f t="shared" si="1"/>
        <v>501</v>
      </c>
      <c r="J147" s="207"/>
      <c r="K147" s="6"/>
      <c r="L147" s="6"/>
      <c r="M147" s="6"/>
      <c r="N147" s="6"/>
    </row>
    <row r="148" ht="15" customHeight="1" spans="1:14">
      <c r="A148" s="143"/>
      <c r="B148" s="178"/>
      <c r="C148" s="183"/>
      <c r="D148" s="143"/>
      <c r="E148" s="143"/>
      <c r="F148" s="143"/>
      <c r="G148" s="146"/>
      <c r="H148" s="39"/>
      <c r="I148" s="194">
        <f t="shared" si="1"/>
        <v>502</v>
      </c>
      <c r="J148" s="207"/>
      <c r="K148" s="6"/>
      <c r="L148" s="6"/>
      <c r="M148" s="6"/>
      <c r="N148" s="6"/>
    </row>
    <row r="149" ht="15" customHeight="1" spans="1:14">
      <c r="A149" s="143"/>
      <c r="B149" s="178"/>
      <c r="C149" s="183"/>
      <c r="D149" s="143"/>
      <c r="E149" s="143"/>
      <c r="F149" s="143"/>
      <c r="G149" s="146"/>
      <c r="H149" s="39"/>
      <c r="I149" s="194">
        <f t="shared" si="1"/>
        <v>503</v>
      </c>
      <c r="J149" s="207"/>
      <c r="K149" s="6"/>
      <c r="L149" s="6"/>
      <c r="M149" s="6"/>
      <c r="N149" s="6"/>
    </row>
    <row r="150" ht="15" customHeight="1" spans="1:14">
      <c r="A150" s="143"/>
      <c r="B150" s="178"/>
      <c r="C150" s="183"/>
      <c r="D150" s="143"/>
      <c r="E150" s="143"/>
      <c r="F150" s="143"/>
      <c r="G150" s="146"/>
      <c r="H150" s="39"/>
      <c r="I150" s="194">
        <f t="shared" si="1"/>
        <v>504</v>
      </c>
      <c r="J150" s="207"/>
      <c r="K150" s="6"/>
      <c r="L150" s="6"/>
      <c r="M150" s="6"/>
      <c r="N150" s="6"/>
    </row>
    <row r="151" ht="15" customHeight="1" spans="1:14">
      <c r="A151" s="143"/>
      <c r="B151" s="178"/>
      <c r="C151" s="183"/>
      <c r="D151" s="143"/>
      <c r="E151" s="143"/>
      <c r="F151" s="143"/>
      <c r="G151" s="146"/>
      <c r="H151" s="39"/>
      <c r="I151" s="194">
        <f t="shared" si="1"/>
        <v>505</v>
      </c>
      <c r="J151" s="207"/>
      <c r="K151" s="6"/>
      <c r="L151" s="6"/>
      <c r="M151" s="6"/>
      <c r="N151" s="6"/>
    </row>
    <row r="152" ht="15" customHeight="1" spans="1:14">
      <c r="A152" s="143"/>
      <c r="B152" s="178"/>
      <c r="C152" s="183"/>
      <c r="D152" s="143"/>
      <c r="E152" s="143"/>
      <c r="F152" s="143"/>
      <c r="G152" s="146"/>
      <c r="H152" s="39"/>
      <c r="I152" s="194">
        <f t="shared" si="1"/>
        <v>506</v>
      </c>
      <c r="J152" s="207"/>
      <c r="K152" s="6"/>
      <c r="L152" s="6"/>
      <c r="M152" s="6"/>
      <c r="N152" s="6"/>
    </row>
    <row r="153" ht="15" customHeight="1" spans="1:14">
      <c r="A153" s="143"/>
      <c r="B153" s="178"/>
      <c r="C153" s="183"/>
      <c r="D153" s="143"/>
      <c r="E153" s="143"/>
      <c r="F153" s="143"/>
      <c r="G153" s="146"/>
      <c r="H153" s="39"/>
      <c r="I153" s="194">
        <f t="shared" si="1"/>
        <v>507</v>
      </c>
      <c r="J153" s="207"/>
      <c r="K153" s="6"/>
      <c r="L153" s="6"/>
      <c r="M153" s="6"/>
      <c r="N153" s="6"/>
    </row>
    <row r="154" ht="15" customHeight="1" spans="1:14">
      <c r="A154" s="143"/>
      <c r="B154" s="178"/>
      <c r="C154" s="183"/>
      <c r="D154" s="143"/>
      <c r="E154" s="143"/>
      <c r="F154" s="143"/>
      <c r="G154" s="146"/>
      <c r="H154" s="39"/>
      <c r="I154" s="194">
        <f t="shared" ref="I154:I217" si="2">IF(380+J$22*(ROW()-ROW(I$25)-1)&gt;780,"",380+J$22*(ROW()-ROW(I$25)-1))</f>
        <v>508</v>
      </c>
      <c r="J154" s="207"/>
      <c r="K154" s="6"/>
      <c r="L154" s="6"/>
      <c r="M154" s="6"/>
      <c r="N154" s="6"/>
    </row>
    <row r="155" ht="15" customHeight="1" spans="1:14">
      <c r="A155" s="143"/>
      <c r="B155" s="178"/>
      <c r="C155" s="183"/>
      <c r="D155" s="143"/>
      <c r="E155" s="143"/>
      <c r="F155" s="143"/>
      <c r="G155" s="146"/>
      <c r="H155" s="39"/>
      <c r="I155" s="194">
        <f t="shared" si="2"/>
        <v>509</v>
      </c>
      <c r="J155" s="207"/>
      <c r="K155" s="6"/>
      <c r="L155" s="6"/>
      <c r="M155" s="6"/>
      <c r="N155" s="6"/>
    </row>
    <row r="156" ht="15" customHeight="1" spans="1:14">
      <c r="A156" s="143"/>
      <c r="B156" s="178"/>
      <c r="C156" s="183"/>
      <c r="D156" s="143"/>
      <c r="E156" s="143"/>
      <c r="F156" s="143"/>
      <c r="G156" s="146"/>
      <c r="H156" s="39"/>
      <c r="I156" s="194">
        <f t="shared" si="2"/>
        <v>510</v>
      </c>
      <c r="J156" s="207"/>
      <c r="K156" s="6"/>
      <c r="L156" s="6"/>
      <c r="M156" s="6"/>
      <c r="N156" s="6"/>
    </row>
    <row r="157" ht="15" customHeight="1" spans="1:14">
      <c r="A157" s="143"/>
      <c r="B157" s="178"/>
      <c r="C157" s="183"/>
      <c r="D157" s="143"/>
      <c r="E157" s="143"/>
      <c r="F157" s="143"/>
      <c r="G157" s="146"/>
      <c r="H157" s="39"/>
      <c r="I157" s="194">
        <f t="shared" si="2"/>
        <v>511</v>
      </c>
      <c r="J157" s="207"/>
      <c r="K157" s="6"/>
      <c r="L157" s="6"/>
      <c r="M157" s="6"/>
      <c r="N157" s="6"/>
    </row>
    <row r="158" ht="15" customHeight="1" spans="1:14">
      <c r="A158" s="143"/>
      <c r="B158" s="178"/>
      <c r="C158" s="183"/>
      <c r="D158" s="143"/>
      <c r="E158" s="143"/>
      <c r="F158" s="143"/>
      <c r="G158" s="146"/>
      <c r="H158" s="39"/>
      <c r="I158" s="194">
        <f t="shared" si="2"/>
        <v>512</v>
      </c>
      <c r="J158" s="207"/>
      <c r="K158" s="6"/>
      <c r="L158" s="6"/>
      <c r="M158" s="6"/>
      <c r="N158" s="6"/>
    </row>
    <row r="159" ht="15" customHeight="1" spans="1:14">
      <c r="A159" s="143"/>
      <c r="B159" s="178"/>
      <c r="C159" s="183"/>
      <c r="D159" s="143"/>
      <c r="E159" s="143"/>
      <c r="F159" s="143"/>
      <c r="G159" s="146"/>
      <c r="H159" s="39"/>
      <c r="I159" s="194">
        <f t="shared" si="2"/>
        <v>513</v>
      </c>
      <c r="J159" s="207"/>
      <c r="K159" s="6"/>
      <c r="L159" s="6"/>
      <c r="M159" s="6"/>
      <c r="N159" s="6"/>
    </row>
    <row r="160" ht="15" customHeight="1" spans="1:14">
      <c r="A160" s="143"/>
      <c r="B160" s="178"/>
      <c r="C160" s="183"/>
      <c r="D160" s="143"/>
      <c r="E160" s="143"/>
      <c r="F160" s="143"/>
      <c r="G160" s="146"/>
      <c r="H160" s="39"/>
      <c r="I160" s="194">
        <f t="shared" si="2"/>
        <v>514</v>
      </c>
      <c r="J160" s="207"/>
      <c r="K160" s="6"/>
      <c r="L160" s="6"/>
      <c r="M160" s="6"/>
      <c r="N160" s="6"/>
    </row>
    <row r="161" ht="15" customHeight="1" spans="1:14">
      <c r="A161" s="143"/>
      <c r="B161" s="178"/>
      <c r="C161" s="183"/>
      <c r="D161" s="143"/>
      <c r="E161" s="143"/>
      <c r="F161" s="143"/>
      <c r="G161" s="146"/>
      <c r="H161" s="39"/>
      <c r="I161" s="194">
        <f t="shared" si="2"/>
        <v>515</v>
      </c>
      <c r="J161" s="207"/>
      <c r="K161" s="6"/>
      <c r="L161" s="6"/>
      <c r="M161" s="6"/>
      <c r="N161" s="6"/>
    </row>
    <row r="162" ht="15" customHeight="1" spans="1:14">
      <c r="A162" s="143"/>
      <c r="B162" s="178"/>
      <c r="C162" s="183"/>
      <c r="D162" s="143"/>
      <c r="E162" s="143"/>
      <c r="F162" s="143"/>
      <c r="G162" s="146"/>
      <c r="H162" s="39"/>
      <c r="I162" s="194">
        <f t="shared" si="2"/>
        <v>516</v>
      </c>
      <c r="J162" s="207"/>
      <c r="K162" s="6"/>
      <c r="L162" s="6"/>
      <c r="M162" s="6"/>
      <c r="N162" s="6"/>
    </row>
    <row r="163" ht="15" customHeight="1" spans="1:14">
      <c r="A163" s="143"/>
      <c r="B163" s="178"/>
      <c r="C163" s="183"/>
      <c r="D163" s="143"/>
      <c r="E163" s="143"/>
      <c r="F163" s="143"/>
      <c r="G163" s="146"/>
      <c r="H163" s="39"/>
      <c r="I163" s="194">
        <f t="shared" si="2"/>
        <v>517</v>
      </c>
      <c r="J163" s="207"/>
      <c r="K163" s="6"/>
      <c r="L163" s="6"/>
      <c r="M163" s="6"/>
      <c r="N163" s="6"/>
    </row>
    <row r="164" ht="15" customHeight="1" spans="1:14">
      <c r="A164" s="143"/>
      <c r="B164" s="178"/>
      <c r="C164" s="183"/>
      <c r="D164" s="143"/>
      <c r="E164" s="143"/>
      <c r="F164" s="143"/>
      <c r="G164" s="146"/>
      <c r="H164" s="39"/>
      <c r="I164" s="194">
        <f t="shared" si="2"/>
        <v>518</v>
      </c>
      <c r="J164" s="207"/>
      <c r="K164" s="6"/>
      <c r="L164" s="6"/>
      <c r="M164" s="6"/>
      <c r="N164" s="6"/>
    </row>
    <row r="165" ht="15" customHeight="1" spans="1:14">
      <c r="A165" s="143"/>
      <c r="B165" s="178"/>
      <c r="C165" s="183"/>
      <c r="D165" s="143"/>
      <c r="E165" s="143"/>
      <c r="F165" s="143"/>
      <c r="G165" s="146"/>
      <c r="H165" s="39"/>
      <c r="I165" s="194">
        <f t="shared" si="2"/>
        <v>519</v>
      </c>
      <c r="J165" s="207"/>
      <c r="K165" s="6"/>
      <c r="L165" s="6"/>
      <c r="M165" s="6"/>
      <c r="N165" s="6"/>
    </row>
    <row r="166" ht="15" customHeight="1" spans="1:14">
      <c r="A166" s="143"/>
      <c r="B166" s="178"/>
      <c r="C166" s="183"/>
      <c r="D166" s="143"/>
      <c r="E166" s="143"/>
      <c r="F166" s="143"/>
      <c r="G166" s="146"/>
      <c r="H166" s="39"/>
      <c r="I166" s="194">
        <f t="shared" si="2"/>
        <v>520</v>
      </c>
      <c r="J166" s="207"/>
      <c r="K166" s="6"/>
      <c r="L166" s="6"/>
      <c r="M166" s="6"/>
      <c r="N166" s="6"/>
    </row>
    <row r="167" ht="15" customHeight="1" spans="1:14">
      <c r="A167" s="143"/>
      <c r="B167" s="178"/>
      <c r="C167" s="183"/>
      <c r="D167" s="143"/>
      <c r="E167" s="143"/>
      <c r="F167" s="143"/>
      <c r="G167" s="146"/>
      <c r="H167" s="39"/>
      <c r="I167" s="194">
        <f t="shared" si="2"/>
        <v>521</v>
      </c>
      <c r="J167" s="207"/>
      <c r="K167" s="6"/>
      <c r="L167" s="6"/>
      <c r="M167" s="6"/>
      <c r="N167" s="6"/>
    </row>
    <row r="168" ht="15" customHeight="1" spans="1:14">
      <c r="A168" s="143"/>
      <c r="B168" s="178"/>
      <c r="C168" s="183"/>
      <c r="D168" s="143"/>
      <c r="E168" s="143"/>
      <c r="F168" s="143"/>
      <c r="G168" s="146"/>
      <c r="H168" s="39"/>
      <c r="I168" s="194">
        <f t="shared" si="2"/>
        <v>522</v>
      </c>
      <c r="J168" s="207"/>
      <c r="K168" s="6"/>
      <c r="L168" s="6"/>
      <c r="M168" s="6"/>
      <c r="N168" s="6"/>
    </row>
    <row r="169" ht="15" customHeight="1" spans="1:14">
      <c r="A169" s="143"/>
      <c r="B169" s="178"/>
      <c r="C169" s="183"/>
      <c r="D169" s="143"/>
      <c r="E169" s="143"/>
      <c r="F169" s="143"/>
      <c r="G169" s="146"/>
      <c r="H169" s="39"/>
      <c r="I169" s="194">
        <f t="shared" si="2"/>
        <v>523</v>
      </c>
      <c r="J169" s="207"/>
      <c r="K169" s="6"/>
      <c r="L169" s="6"/>
      <c r="M169" s="6"/>
      <c r="N169" s="6"/>
    </row>
    <row r="170" ht="15" customHeight="1" spans="1:14">
      <c r="A170" s="143"/>
      <c r="B170" s="178"/>
      <c r="C170" s="183"/>
      <c r="D170" s="143"/>
      <c r="E170" s="143"/>
      <c r="F170" s="143"/>
      <c r="G170" s="146"/>
      <c r="H170" s="39"/>
      <c r="I170" s="194">
        <f t="shared" si="2"/>
        <v>524</v>
      </c>
      <c r="J170" s="207"/>
      <c r="K170" s="6"/>
      <c r="L170" s="6"/>
      <c r="M170" s="6"/>
      <c r="N170" s="6"/>
    </row>
    <row r="171" ht="15" customHeight="1" spans="1:14">
      <c r="A171" s="143"/>
      <c r="B171" s="178"/>
      <c r="C171" s="183"/>
      <c r="D171" s="143"/>
      <c r="E171" s="143"/>
      <c r="F171" s="143"/>
      <c r="G171" s="146"/>
      <c r="H171" s="39"/>
      <c r="I171" s="194">
        <f t="shared" si="2"/>
        <v>525</v>
      </c>
      <c r="J171" s="207"/>
      <c r="K171" s="6"/>
      <c r="L171" s="6"/>
      <c r="M171" s="6"/>
      <c r="N171" s="6"/>
    </row>
    <row r="172" ht="15" customHeight="1" spans="1:14">
      <c r="A172" s="143"/>
      <c r="B172" s="178"/>
      <c r="C172" s="183"/>
      <c r="D172" s="143"/>
      <c r="E172" s="143"/>
      <c r="F172" s="143"/>
      <c r="G172" s="146"/>
      <c r="H172" s="39"/>
      <c r="I172" s="194">
        <f t="shared" si="2"/>
        <v>526</v>
      </c>
      <c r="J172" s="207"/>
      <c r="K172" s="6"/>
      <c r="L172" s="6"/>
      <c r="M172" s="6"/>
      <c r="N172" s="6"/>
    </row>
    <row r="173" ht="15" customHeight="1" spans="1:14">
      <c r="A173" s="143"/>
      <c r="B173" s="178"/>
      <c r="C173" s="183"/>
      <c r="D173" s="143"/>
      <c r="E173" s="143"/>
      <c r="F173" s="143"/>
      <c r="G173" s="146"/>
      <c r="H173" s="39"/>
      <c r="I173" s="194">
        <f t="shared" si="2"/>
        <v>527</v>
      </c>
      <c r="J173" s="207"/>
      <c r="K173" s="6"/>
      <c r="L173" s="6"/>
      <c r="M173" s="6"/>
      <c r="N173" s="6"/>
    </row>
    <row r="174" ht="15" customHeight="1" spans="1:14">
      <c r="A174" s="143"/>
      <c r="B174" s="178"/>
      <c r="C174" s="183"/>
      <c r="D174" s="143"/>
      <c r="E174" s="143"/>
      <c r="F174" s="143"/>
      <c r="G174" s="146"/>
      <c r="H174" s="39"/>
      <c r="I174" s="194">
        <f t="shared" si="2"/>
        <v>528</v>
      </c>
      <c r="J174" s="207"/>
      <c r="K174" s="6"/>
      <c r="L174" s="6"/>
      <c r="M174" s="6"/>
      <c r="N174" s="6"/>
    </row>
    <row r="175" ht="15" customHeight="1" spans="1:14">
      <c r="A175" s="143"/>
      <c r="B175" s="178"/>
      <c r="C175" s="183"/>
      <c r="D175" s="143"/>
      <c r="E175" s="143"/>
      <c r="F175" s="143"/>
      <c r="G175" s="146"/>
      <c r="H175" s="39"/>
      <c r="I175" s="194">
        <f t="shared" si="2"/>
        <v>529</v>
      </c>
      <c r="J175" s="207"/>
      <c r="K175" s="6"/>
      <c r="L175" s="6"/>
      <c r="M175" s="6"/>
      <c r="N175" s="6"/>
    </row>
    <row r="176" ht="15" customHeight="1" spans="1:14">
      <c r="A176" s="143"/>
      <c r="B176" s="178"/>
      <c r="C176" s="183"/>
      <c r="D176" s="143"/>
      <c r="E176" s="143"/>
      <c r="F176" s="143"/>
      <c r="G176" s="146"/>
      <c r="H176" s="39"/>
      <c r="I176" s="194">
        <f t="shared" si="2"/>
        <v>530</v>
      </c>
      <c r="J176" s="207"/>
      <c r="K176" s="6"/>
      <c r="L176" s="6"/>
      <c r="M176" s="6"/>
      <c r="N176" s="6"/>
    </row>
    <row r="177" ht="15" customHeight="1" spans="1:14">
      <c r="A177" s="143"/>
      <c r="B177" s="178"/>
      <c r="C177" s="183"/>
      <c r="D177" s="143"/>
      <c r="E177" s="143"/>
      <c r="F177" s="143"/>
      <c r="G177" s="146"/>
      <c r="H177" s="39"/>
      <c r="I177" s="194">
        <f t="shared" si="2"/>
        <v>531</v>
      </c>
      <c r="J177" s="207"/>
      <c r="K177" s="6"/>
      <c r="L177" s="6"/>
      <c r="M177" s="6"/>
      <c r="N177" s="6"/>
    </row>
    <row r="178" ht="15" customHeight="1" spans="1:14">
      <c r="A178" s="143"/>
      <c r="B178" s="178"/>
      <c r="C178" s="183"/>
      <c r="D178" s="143"/>
      <c r="E178" s="143"/>
      <c r="F178" s="143"/>
      <c r="G178" s="146"/>
      <c r="H178" s="39"/>
      <c r="I178" s="194">
        <f t="shared" si="2"/>
        <v>532</v>
      </c>
      <c r="J178" s="207"/>
      <c r="K178" s="6"/>
      <c r="L178" s="6"/>
      <c r="M178" s="6"/>
      <c r="N178" s="6"/>
    </row>
    <row r="179" ht="15" customHeight="1" spans="1:14">
      <c r="A179" s="143"/>
      <c r="B179" s="178"/>
      <c r="C179" s="183"/>
      <c r="D179" s="143"/>
      <c r="E179" s="143"/>
      <c r="F179" s="143"/>
      <c r="G179" s="146"/>
      <c r="H179" s="39"/>
      <c r="I179" s="194">
        <f t="shared" si="2"/>
        <v>533</v>
      </c>
      <c r="J179" s="207"/>
      <c r="K179" s="6"/>
      <c r="L179" s="6"/>
      <c r="M179" s="6"/>
      <c r="N179" s="6"/>
    </row>
    <row r="180" ht="15" customHeight="1" spans="1:14">
      <c r="A180" s="143"/>
      <c r="B180" s="178"/>
      <c r="C180" s="183"/>
      <c r="D180" s="143"/>
      <c r="E180" s="143"/>
      <c r="F180" s="143"/>
      <c r="G180" s="146"/>
      <c r="H180" s="39"/>
      <c r="I180" s="194">
        <f t="shared" si="2"/>
        <v>534</v>
      </c>
      <c r="J180" s="207"/>
      <c r="K180" s="6"/>
      <c r="L180" s="6"/>
      <c r="M180" s="6"/>
      <c r="N180" s="6"/>
    </row>
    <row r="181" ht="15" customHeight="1" spans="1:14">
      <c r="A181" s="143"/>
      <c r="B181" s="178"/>
      <c r="C181" s="183"/>
      <c r="D181" s="143"/>
      <c r="E181" s="143"/>
      <c r="F181" s="143"/>
      <c r="G181" s="146"/>
      <c r="H181" s="39"/>
      <c r="I181" s="194">
        <f t="shared" si="2"/>
        <v>535</v>
      </c>
      <c r="J181" s="207"/>
      <c r="K181" s="6"/>
      <c r="L181" s="6"/>
      <c r="M181" s="6"/>
      <c r="N181" s="6"/>
    </row>
    <row r="182" ht="15" customHeight="1" spans="1:14">
      <c r="A182" s="143"/>
      <c r="B182" s="178"/>
      <c r="C182" s="183"/>
      <c r="D182" s="143"/>
      <c r="E182" s="143"/>
      <c r="F182" s="143"/>
      <c r="G182" s="146"/>
      <c r="H182" s="39"/>
      <c r="I182" s="194">
        <f t="shared" si="2"/>
        <v>536</v>
      </c>
      <c r="J182" s="207"/>
      <c r="K182" s="6"/>
      <c r="L182" s="6"/>
      <c r="M182" s="6"/>
      <c r="N182" s="6"/>
    </row>
    <row r="183" ht="15" customHeight="1" spans="1:14">
      <c r="A183" s="143"/>
      <c r="B183" s="178"/>
      <c r="C183" s="183"/>
      <c r="D183" s="143"/>
      <c r="E183" s="143"/>
      <c r="F183" s="143"/>
      <c r="G183" s="146"/>
      <c r="H183" s="39"/>
      <c r="I183" s="194">
        <f t="shared" si="2"/>
        <v>537</v>
      </c>
      <c r="J183" s="207"/>
      <c r="K183" s="6"/>
      <c r="L183" s="6"/>
      <c r="M183" s="6"/>
      <c r="N183" s="6"/>
    </row>
    <row r="184" ht="15" customHeight="1" spans="1:14">
      <c r="A184" s="143"/>
      <c r="B184" s="178"/>
      <c r="C184" s="183"/>
      <c r="D184" s="143"/>
      <c r="E184" s="143"/>
      <c r="F184" s="143"/>
      <c r="G184" s="146"/>
      <c r="H184" s="39"/>
      <c r="I184" s="194">
        <f t="shared" si="2"/>
        <v>538</v>
      </c>
      <c r="J184" s="207"/>
      <c r="K184" s="6"/>
      <c r="L184" s="6"/>
      <c r="M184" s="6"/>
      <c r="N184" s="6"/>
    </row>
    <row r="185" ht="15" customHeight="1" spans="1:14">
      <c r="A185" s="143"/>
      <c r="B185" s="178"/>
      <c r="C185" s="183"/>
      <c r="D185" s="143"/>
      <c r="E185" s="143"/>
      <c r="F185" s="143"/>
      <c r="G185" s="146"/>
      <c r="H185" s="39"/>
      <c r="I185" s="194">
        <f t="shared" si="2"/>
        <v>539</v>
      </c>
      <c r="J185" s="207"/>
      <c r="K185" s="6"/>
      <c r="L185" s="6"/>
      <c r="M185" s="6"/>
      <c r="N185" s="6"/>
    </row>
    <row r="186" ht="15" customHeight="1" spans="1:14">
      <c r="A186" s="143"/>
      <c r="B186" s="178"/>
      <c r="C186" s="183"/>
      <c r="D186" s="143"/>
      <c r="E186" s="143"/>
      <c r="F186" s="143"/>
      <c r="G186" s="146"/>
      <c r="H186" s="39"/>
      <c r="I186" s="194">
        <f t="shared" si="2"/>
        <v>540</v>
      </c>
      <c r="J186" s="207"/>
      <c r="K186" s="6"/>
      <c r="L186" s="6"/>
      <c r="M186" s="6"/>
      <c r="N186" s="6"/>
    </row>
    <row r="187" ht="15" customHeight="1" spans="1:14">
      <c r="A187" s="143"/>
      <c r="B187" s="178"/>
      <c r="C187" s="183"/>
      <c r="D187" s="143"/>
      <c r="E187" s="143"/>
      <c r="F187" s="143"/>
      <c r="G187" s="146"/>
      <c r="H187" s="39"/>
      <c r="I187" s="194">
        <f t="shared" si="2"/>
        <v>541</v>
      </c>
      <c r="J187" s="207"/>
      <c r="K187" s="6"/>
      <c r="L187" s="6"/>
      <c r="M187" s="6"/>
      <c r="N187" s="6"/>
    </row>
    <row r="188" ht="15" customHeight="1" spans="1:14">
      <c r="A188" s="143"/>
      <c r="B188" s="178"/>
      <c r="C188" s="183"/>
      <c r="D188" s="143"/>
      <c r="E188" s="143"/>
      <c r="F188" s="143"/>
      <c r="G188" s="146"/>
      <c r="H188" s="39"/>
      <c r="I188" s="194">
        <f t="shared" si="2"/>
        <v>542</v>
      </c>
      <c r="J188" s="207"/>
      <c r="K188" s="6"/>
      <c r="L188" s="6"/>
      <c r="M188" s="6"/>
      <c r="N188" s="6"/>
    </row>
    <row r="189" ht="15" customHeight="1" spans="1:14">
      <c r="A189" s="143"/>
      <c r="B189" s="178"/>
      <c r="C189" s="183"/>
      <c r="D189" s="143"/>
      <c r="E189" s="143"/>
      <c r="F189" s="143"/>
      <c r="G189" s="146"/>
      <c r="H189" s="39"/>
      <c r="I189" s="194">
        <f t="shared" si="2"/>
        <v>543</v>
      </c>
      <c r="J189" s="207"/>
      <c r="K189" s="6"/>
      <c r="L189" s="6"/>
      <c r="M189" s="6"/>
      <c r="N189" s="6"/>
    </row>
    <row r="190" ht="15" customHeight="1" spans="1:14">
      <c r="A190" s="143"/>
      <c r="B190" s="178"/>
      <c r="C190" s="183"/>
      <c r="D190" s="143"/>
      <c r="E190" s="143"/>
      <c r="F190" s="143"/>
      <c r="G190" s="146"/>
      <c r="H190" s="39"/>
      <c r="I190" s="194">
        <f t="shared" si="2"/>
        <v>544</v>
      </c>
      <c r="J190" s="207"/>
      <c r="K190" s="6"/>
      <c r="L190" s="6"/>
      <c r="M190" s="6"/>
      <c r="N190" s="6"/>
    </row>
    <row r="191" ht="15" customHeight="1" spans="1:14">
      <c r="A191" s="143"/>
      <c r="B191" s="178"/>
      <c r="C191" s="183"/>
      <c r="D191" s="143"/>
      <c r="E191" s="143"/>
      <c r="F191" s="143"/>
      <c r="G191" s="146"/>
      <c r="H191" s="39"/>
      <c r="I191" s="194">
        <f t="shared" si="2"/>
        <v>545</v>
      </c>
      <c r="J191" s="207"/>
      <c r="K191" s="6"/>
      <c r="L191" s="6"/>
      <c r="M191" s="6"/>
      <c r="N191" s="6"/>
    </row>
    <row r="192" ht="15" customHeight="1" spans="1:14">
      <c r="A192" s="143"/>
      <c r="B192" s="178"/>
      <c r="C192" s="183"/>
      <c r="D192" s="143"/>
      <c r="E192" s="143"/>
      <c r="F192" s="143"/>
      <c r="G192" s="146"/>
      <c r="H192" s="39"/>
      <c r="I192" s="194">
        <f t="shared" si="2"/>
        <v>546</v>
      </c>
      <c r="J192" s="207"/>
      <c r="K192" s="6"/>
      <c r="L192" s="6"/>
      <c r="M192" s="6"/>
      <c r="N192" s="6"/>
    </row>
    <row r="193" ht="15" customHeight="1" spans="1:14">
      <c r="A193" s="143"/>
      <c r="B193" s="178"/>
      <c r="C193" s="183"/>
      <c r="D193" s="143"/>
      <c r="E193" s="143"/>
      <c r="F193" s="143"/>
      <c r="G193" s="146"/>
      <c r="H193" s="39"/>
      <c r="I193" s="194">
        <f t="shared" si="2"/>
        <v>547</v>
      </c>
      <c r="J193" s="207"/>
      <c r="K193" s="6"/>
      <c r="L193" s="6"/>
      <c r="M193" s="6"/>
      <c r="N193" s="6"/>
    </row>
    <row r="194" ht="15" customHeight="1" spans="1:14">
      <c r="A194" s="143"/>
      <c r="B194" s="178"/>
      <c r="C194" s="183"/>
      <c r="D194" s="143"/>
      <c r="E194" s="143"/>
      <c r="F194" s="143"/>
      <c r="G194" s="146"/>
      <c r="H194" s="39"/>
      <c r="I194" s="194">
        <f t="shared" si="2"/>
        <v>548</v>
      </c>
      <c r="J194" s="207"/>
      <c r="K194" s="6"/>
      <c r="L194" s="6"/>
      <c r="M194" s="6"/>
      <c r="N194" s="6"/>
    </row>
    <row r="195" ht="15" customHeight="1" spans="1:14">
      <c r="A195" s="143"/>
      <c r="B195" s="178"/>
      <c r="C195" s="183"/>
      <c r="D195" s="143"/>
      <c r="E195" s="143"/>
      <c r="F195" s="143"/>
      <c r="G195" s="146"/>
      <c r="H195" s="39"/>
      <c r="I195" s="194">
        <f t="shared" si="2"/>
        <v>549</v>
      </c>
      <c r="J195" s="207"/>
      <c r="K195" s="6"/>
      <c r="L195" s="6"/>
      <c r="M195" s="6"/>
      <c r="N195" s="6"/>
    </row>
    <row r="196" ht="15" customHeight="1" spans="1:14">
      <c r="A196" s="143"/>
      <c r="B196" s="178"/>
      <c r="C196" s="183"/>
      <c r="D196" s="143"/>
      <c r="E196" s="143"/>
      <c r="F196" s="143"/>
      <c r="G196" s="146"/>
      <c r="H196" s="39"/>
      <c r="I196" s="194">
        <f t="shared" si="2"/>
        <v>550</v>
      </c>
      <c r="J196" s="207"/>
      <c r="K196" s="6"/>
      <c r="L196" s="6"/>
      <c r="M196" s="6"/>
      <c r="N196" s="6"/>
    </row>
    <row r="197" ht="15" customHeight="1" spans="1:14">
      <c r="A197" s="143"/>
      <c r="B197" s="178"/>
      <c r="C197" s="183"/>
      <c r="D197" s="143"/>
      <c r="E197" s="143"/>
      <c r="F197" s="143"/>
      <c r="G197" s="146"/>
      <c r="H197" s="39"/>
      <c r="I197" s="194">
        <f t="shared" si="2"/>
        <v>551</v>
      </c>
      <c r="J197" s="207"/>
      <c r="K197" s="6"/>
      <c r="L197" s="6"/>
      <c r="M197" s="6"/>
      <c r="N197" s="6"/>
    </row>
    <row r="198" ht="15" customHeight="1" spans="1:14">
      <c r="A198" s="143"/>
      <c r="B198" s="178"/>
      <c r="C198" s="183"/>
      <c r="D198" s="143"/>
      <c r="E198" s="143"/>
      <c r="F198" s="143"/>
      <c r="G198" s="146"/>
      <c r="H198" s="39"/>
      <c r="I198" s="194">
        <f t="shared" si="2"/>
        <v>552</v>
      </c>
      <c r="J198" s="207"/>
      <c r="K198" s="6"/>
      <c r="L198" s="6"/>
      <c r="M198" s="6"/>
      <c r="N198" s="6"/>
    </row>
    <row r="199" ht="15" customHeight="1" spans="1:14">
      <c r="A199" s="143"/>
      <c r="B199" s="178"/>
      <c r="C199" s="183"/>
      <c r="D199" s="143"/>
      <c r="E199" s="143"/>
      <c r="F199" s="143"/>
      <c r="G199" s="146"/>
      <c r="H199" s="39"/>
      <c r="I199" s="194">
        <f t="shared" si="2"/>
        <v>553</v>
      </c>
      <c r="J199" s="207"/>
      <c r="K199" s="6"/>
      <c r="L199" s="6"/>
      <c r="M199" s="6"/>
      <c r="N199" s="6"/>
    </row>
    <row r="200" ht="15" customHeight="1" spans="1:14">
      <c r="A200" s="143"/>
      <c r="B200" s="178"/>
      <c r="C200" s="183"/>
      <c r="D200" s="143"/>
      <c r="E200" s="143"/>
      <c r="F200" s="143"/>
      <c r="G200" s="146"/>
      <c r="H200" s="39"/>
      <c r="I200" s="194">
        <f t="shared" si="2"/>
        <v>554</v>
      </c>
      <c r="J200" s="207"/>
      <c r="K200" s="6"/>
      <c r="L200" s="6"/>
      <c r="M200" s="6"/>
      <c r="N200" s="6"/>
    </row>
    <row r="201" ht="15" customHeight="1" spans="1:14">
      <c r="A201" s="143"/>
      <c r="B201" s="178"/>
      <c r="C201" s="183"/>
      <c r="D201" s="143"/>
      <c r="E201" s="143"/>
      <c r="F201" s="143"/>
      <c r="G201" s="146"/>
      <c r="H201" s="39"/>
      <c r="I201" s="194">
        <f t="shared" si="2"/>
        <v>555</v>
      </c>
      <c r="J201" s="207"/>
      <c r="K201" s="6"/>
      <c r="L201" s="6"/>
      <c r="M201" s="6"/>
      <c r="N201" s="6"/>
    </row>
    <row r="202" ht="15" customHeight="1" spans="1:14">
      <c r="A202" s="143"/>
      <c r="B202" s="178"/>
      <c r="C202" s="183"/>
      <c r="D202" s="143"/>
      <c r="E202" s="143"/>
      <c r="F202" s="143"/>
      <c r="G202" s="146"/>
      <c r="H202" s="39"/>
      <c r="I202" s="194">
        <f t="shared" si="2"/>
        <v>556</v>
      </c>
      <c r="J202" s="207"/>
      <c r="K202" s="6"/>
      <c r="L202" s="6"/>
      <c r="M202" s="6"/>
      <c r="N202" s="6"/>
    </row>
    <row r="203" ht="15" customHeight="1" spans="1:14">
      <c r="A203" s="143"/>
      <c r="B203" s="178"/>
      <c r="C203" s="183"/>
      <c r="D203" s="143"/>
      <c r="E203" s="143"/>
      <c r="F203" s="143"/>
      <c r="G203" s="146"/>
      <c r="H203" s="39"/>
      <c r="I203" s="194">
        <f t="shared" si="2"/>
        <v>557</v>
      </c>
      <c r="J203" s="207"/>
      <c r="K203" s="6"/>
      <c r="L203" s="6"/>
      <c r="M203" s="6"/>
      <c r="N203" s="6"/>
    </row>
    <row r="204" ht="15" customHeight="1" spans="1:14">
      <c r="A204" s="143"/>
      <c r="B204" s="178"/>
      <c r="C204" s="183"/>
      <c r="D204" s="143"/>
      <c r="E204" s="143"/>
      <c r="F204" s="143"/>
      <c r="G204" s="146"/>
      <c r="H204" s="39"/>
      <c r="I204" s="194">
        <f t="shared" si="2"/>
        <v>558</v>
      </c>
      <c r="J204" s="207"/>
      <c r="K204" s="6"/>
      <c r="L204" s="6"/>
      <c r="M204" s="6"/>
      <c r="N204" s="6"/>
    </row>
    <row r="205" ht="15" customHeight="1" spans="1:14">
      <c r="A205" s="143"/>
      <c r="B205" s="178"/>
      <c r="C205" s="183"/>
      <c r="D205" s="143"/>
      <c r="E205" s="143"/>
      <c r="F205" s="143"/>
      <c r="G205" s="146"/>
      <c r="H205" s="39"/>
      <c r="I205" s="194">
        <f t="shared" si="2"/>
        <v>559</v>
      </c>
      <c r="J205" s="207"/>
      <c r="K205" s="6"/>
      <c r="L205" s="6"/>
      <c r="M205" s="6"/>
      <c r="N205" s="6"/>
    </row>
    <row r="206" ht="15" customHeight="1" spans="1:14">
      <c r="A206" s="143"/>
      <c r="B206" s="178"/>
      <c r="C206" s="183"/>
      <c r="D206" s="143"/>
      <c r="E206" s="143"/>
      <c r="F206" s="143"/>
      <c r="G206" s="146"/>
      <c r="H206" s="39"/>
      <c r="I206" s="194">
        <f t="shared" si="2"/>
        <v>560</v>
      </c>
      <c r="J206" s="207"/>
      <c r="K206" s="6"/>
      <c r="L206" s="6"/>
      <c r="M206" s="6"/>
      <c r="N206" s="6"/>
    </row>
    <row r="207" ht="15" customHeight="1" spans="1:14">
      <c r="A207" s="143"/>
      <c r="B207" s="178"/>
      <c r="C207" s="183"/>
      <c r="D207" s="143"/>
      <c r="E207" s="143"/>
      <c r="F207" s="143"/>
      <c r="G207" s="146"/>
      <c r="H207" s="39"/>
      <c r="I207" s="194">
        <f t="shared" si="2"/>
        <v>561</v>
      </c>
      <c r="J207" s="207"/>
      <c r="K207" s="6"/>
      <c r="L207" s="6"/>
      <c r="M207" s="6"/>
      <c r="N207" s="6"/>
    </row>
    <row r="208" ht="15" customHeight="1" spans="1:14">
      <c r="A208" s="143"/>
      <c r="B208" s="178"/>
      <c r="C208" s="183"/>
      <c r="D208" s="143"/>
      <c r="E208" s="143"/>
      <c r="F208" s="143"/>
      <c r="G208" s="146"/>
      <c r="H208" s="39"/>
      <c r="I208" s="194">
        <f t="shared" si="2"/>
        <v>562</v>
      </c>
      <c r="J208" s="207"/>
      <c r="K208" s="6"/>
      <c r="L208" s="6"/>
      <c r="M208" s="6"/>
      <c r="N208" s="6"/>
    </row>
    <row r="209" ht="15" customHeight="1" spans="1:14">
      <c r="A209" s="143"/>
      <c r="B209" s="178"/>
      <c r="C209" s="183"/>
      <c r="D209" s="143"/>
      <c r="E209" s="143"/>
      <c r="F209" s="143"/>
      <c r="G209" s="146"/>
      <c r="H209" s="39"/>
      <c r="I209" s="194">
        <f t="shared" si="2"/>
        <v>563</v>
      </c>
      <c r="J209" s="207"/>
      <c r="K209" s="6"/>
      <c r="L209" s="6"/>
      <c r="M209" s="6"/>
      <c r="N209" s="6"/>
    </row>
    <row r="210" ht="15" customHeight="1" spans="1:14">
      <c r="A210" s="143"/>
      <c r="B210" s="178"/>
      <c r="C210" s="183"/>
      <c r="D210" s="143"/>
      <c r="E210" s="143"/>
      <c r="F210" s="143"/>
      <c r="G210" s="146"/>
      <c r="H210" s="39"/>
      <c r="I210" s="194">
        <f t="shared" si="2"/>
        <v>564</v>
      </c>
      <c r="J210" s="207"/>
      <c r="K210" s="6"/>
      <c r="L210" s="6"/>
      <c r="M210" s="6"/>
      <c r="N210" s="6"/>
    </row>
    <row r="211" ht="15" customHeight="1" spans="1:14">
      <c r="A211" s="143"/>
      <c r="B211" s="178"/>
      <c r="C211" s="183"/>
      <c r="D211" s="143"/>
      <c r="E211" s="143"/>
      <c r="F211" s="143"/>
      <c r="G211" s="146"/>
      <c r="H211" s="39"/>
      <c r="I211" s="194">
        <f t="shared" si="2"/>
        <v>565</v>
      </c>
      <c r="J211" s="207"/>
      <c r="K211" s="6"/>
      <c r="L211" s="6"/>
      <c r="M211" s="6"/>
      <c r="N211" s="6"/>
    </row>
    <row r="212" ht="15" customHeight="1" spans="1:14">
      <c r="A212" s="143"/>
      <c r="B212" s="178"/>
      <c r="C212" s="183"/>
      <c r="D212" s="143"/>
      <c r="E212" s="143"/>
      <c r="F212" s="143"/>
      <c r="G212" s="146"/>
      <c r="H212" s="39"/>
      <c r="I212" s="194">
        <f t="shared" si="2"/>
        <v>566</v>
      </c>
      <c r="J212" s="207"/>
      <c r="K212" s="6"/>
      <c r="L212" s="6"/>
      <c r="M212" s="6"/>
      <c r="N212" s="6"/>
    </row>
    <row r="213" ht="15" customHeight="1" spans="1:14">
      <c r="A213" s="143"/>
      <c r="B213" s="178"/>
      <c r="C213" s="183"/>
      <c r="D213" s="143"/>
      <c r="E213" s="143"/>
      <c r="F213" s="143"/>
      <c r="G213" s="146"/>
      <c r="H213" s="39"/>
      <c r="I213" s="194">
        <f t="shared" si="2"/>
        <v>567</v>
      </c>
      <c r="J213" s="207"/>
      <c r="K213" s="6"/>
      <c r="L213" s="6"/>
      <c r="M213" s="6"/>
      <c r="N213" s="6"/>
    </row>
    <row r="214" ht="15" customHeight="1" spans="1:14">
      <c r="A214" s="143"/>
      <c r="B214" s="178"/>
      <c r="C214" s="183"/>
      <c r="D214" s="143"/>
      <c r="E214" s="143"/>
      <c r="F214" s="143"/>
      <c r="G214" s="146"/>
      <c r="H214" s="39"/>
      <c r="I214" s="194">
        <f t="shared" si="2"/>
        <v>568</v>
      </c>
      <c r="J214" s="207"/>
      <c r="K214" s="6"/>
      <c r="L214" s="6"/>
      <c r="M214" s="6"/>
      <c r="N214" s="6"/>
    </row>
    <row r="215" ht="15" customHeight="1" spans="1:14">
      <c r="A215" s="143"/>
      <c r="B215" s="178"/>
      <c r="C215" s="183"/>
      <c r="D215" s="143"/>
      <c r="E215" s="143"/>
      <c r="F215" s="143"/>
      <c r="G215" s="146"/>
      <c r="H215" s="39"/>
      <c r="I215" s="194">
        <f t="shared" si="2"/>
        <v>569</v>
      </c>
      <c r="J215" s="207"/>
      <c r="K215" s="6"/>
      <c r="L215" s="6"/>
      <c r="M215" s="6"/>
      <c r="N215" s="6"/>
    </row>
    <row r="216" ht="15" customHeight="1" spans="1:14">
      <c r="A216" s="143"/>
      <c r="B216" s="178"/>
      <c r="C216" s="183"/>
      <c r="D216" s="143"/>
      <c r="E216" s="143"/>
      <c r="F216" s="143"/>
      <c r="G216" s="146"/>
      <c r="H216" s="39"/>
      <c r="I216" s="194">
        <f t="shared" si="2"/>
        <v>570</v>
      </c>
      <c r="J216" s="207"/>
      <c r="K216" s="6"/>
      <c r="L216" s="6"/>
      <c r="M216" s="6"/>
      <c r="N216" s="6"/>
    </row>
    <row r="217" ht="15" customHeight="1" spans="1:14">
      <c r="A217" s="143"/>
      <c r="B217" s="178"/>
      <c r="C217" s="183"/>
      <c r="D217" s="143"/>
      <c r="E217" s="143"/>
      <c r="F217" s="143"/>
      <c r="G217" s="146"/>
      <c r="H217" s="39"/>
      <c r="I217" s="194">
        <f t="shared" si="2"/>
        <v>571</v>
      </c>
      <c r="J217" s="207"/>
      <c r="K217" s="6"/>
      <c r="L217" s="6"/>
      <c r="M217" s="6"/>
      <c r="N217" s="6"/>
    </row>
    <row r="218" ht="15" customHeight="1" spans="1:14">
      <c r="A218" s="143"/>
      <c r="B218" s="178"/>
      <c r="C218" s="183"/>
      <c r="D218" s="143"/>
      <c r="E218" s="143"/>
      <c r="F218" s="143"/>
      <c r="G218" s="146"/>
      <c r="H218" s="39"/>
      <c r="I218" s="194">
        <f t="shared" ref="I218:I281" si="3">IF(380+J$22*(ROW()-ROW(I$25)-1)&gt;780,"",380+J$22*(ROW()-ROW(I$25)-1))</f>
        <v>572</v>
      </c>
      <c r="J218" s="207"/>
      <c r="K218" s="6"/>
      <c r="L218" s="6"/>
      <c r="M218" s="6"/>
      <c r="N218" s="6"/>
    </row>
    <row r="219" ht="15" customHeight="1" spans="1:14">
      <c r="A219" s="143"/>
      <c r="B219" s="178"/>
      <c r="C219" s="183"/>
      <c r="D219" s="143"/>
      <c r="E219" s="143"/>
      <c r="F219" s="143"/>
      <c r="G219" s="146"/>
      <c r="H219" s="39"/>
      <c r="I219" s="194">
        <f t="shared" si="3"/>
        <v>573</v>
      </c>
      <c r="J219" s="207"/>
      <c r="K219" s="6"/>
      <c r="L219" s="6"/>
      <c r="M219" s="6"/>
      <c r="N219" s="6"/>
    </row>
    <row r="220" ht="15" customHeight="1" spans="1:14">
      <c r="A220" s="143"/>
      <c r="B220" s="178"/>
      <c r="C220" s="183"/>
      <c r="D220" s="143"/>
      <c r="E220" s="143"/>
      <c r="F220" s="143"/>
      <c r="G220" s="146"/>
      <c r="H220" s="39"/>
      <c r="I220" s="194">
        <f t="shared" si="3"/>
        <v>574</v>
      </c>
      <c r="J220" s="207"/>
      <c r="K220" s="6"/>
      <c r="L220" s="6"/>
      <c r="M220" s="6"/>
      <c r="N220" s="6"/>
    </row>
    <row r="221" ht="15" customHeight="1" spans="1:14">
      <c r="A221" s="143"/>
      <c r="B221" s="178"/>
      <c r="C221" s="183"/>
      <c r="D221" s="143"/>
      <c r="E221" s="143"/>
      <c r="F221" s="143"/>
      <c r="G221" s="146"/>
      <c r="H221" s="39"/>
      <c r="I221" s="194">
        <f t="shared" si="3"/>
        <v>575</v>
      </c>
      <c r="J221" s="207"/>
      <c r="K221" s="6"/>
      <c r="L221" s="6"/>
      <c r="M221" s="6"/>
      <c r="N221" s="6"/>
    </row>
    <row r="222" ht="15" customHeight="1" spans="1:14">
      <c r="A222" s="143"/>
      <c r="B222" s="178"/>
      <c r="C222" s="183"/>
      <c r="D222" s="143"/>
      <c r="E222" s="143"/>
      <c r="F222" s="143"/>
      <c r="G222" s="146"/>
      <c r="H222" s="39"/>
      <c r="I222" s="194">
        <f t="shared" si="3"/>
        <v>576</v>
      </c>
      <c r="J222" s="207"/>
      <c r="K222" s="6"/>
      <c r="L222" s="6"/>
      <c r="M222" s="6"/>
      <c r="N222" s="6"/>
    </row>
    <row r="223" ht="15" customHeight="1" spans="1:14">
      <c r="A223" s="143"/>
      <c r="B223" s="178"/>
      <c r="C223" s="183"/>
      <c r="D223" s="143"/>
      <c r="E223" s="143"/>
      <c r="F223" s="143"/>
      <c r="G223" s="146"/>
      <c r="H223" s="39"/>
      <c r="I223" s="194">
        <f t="shared" si="3"/>
        <v>577</v>
      </c>
      <c r="J223" s="207"/>
      <c r="K223" s="6"/>
      <c r="L223" s="6"/>
      <c r="M223" s="6"/>
      <c r="N223" s="6"/>
    </row>
    <row r="224" ht="15" customHeight="1" spans="1:14">
      <c r="A224" s="143"/>
      <c r="B224" s="178"/>
      <c r="C224" s="183"/>
      <c r="D224" s="143"/>
      <c r="E224" s="143"/>
      <c r="F224" s="143"/>
      <c r="G224" s="146"/>
      <c r="H224" s="39"/>
      <c r="I224" s="194">
        <f t="shared" si="3"/>
        <v>578</v>
      </c>
      <c r="J224" s="207"/>
      <c r="K224" s="6"/>
      <c r="L224" s="6"/>
      <c r="M224" s="6"/>
      <c r="N224" s="6"/>
    </row>
    <row r="225" ht="15" customHeight="1" spans="1:14">
      <c r="A225" s="143"/>
      <c r="B225" s="178"/>
      <c r="C225" s="183"/>
      <c r="D225" s="143"/>
      <c r="E225" s="143"/>
      <c r="F225" s="143"/>
      <c r="G225" s="146"/>
      <c r="H225" s="39"/>
      <c r="I225" s="194">
        <f t="shared" si="3"/>
        <v>579</v>
      </c>
      <c r="J225" s="207"/>
      <c r="K225" s="6"/>
      <c r="L225" s="6"/>
      <c r="M225" s="6"/>
      <c r="N225" s="6"/>
    </row>
    <row r="226" ht="15" customHeight="1" spans="1:14">
      <c r="A226" s="143"/>
      <c r="B226" s="178"/>
      <c r="C226" s="183"/>
      <c r="D226" s="143"/>
      <c r="E226" s="143"/>
      <c r="F226" s="143"/>
      <c r="G226" s="146"/>
      <c r="H226" s="39"/>
      <c r="I226" s="194">
        <f t="shared" si="3"/>
        <v>580</v>
      </c>
      <c r="J226" s="207"/>
      <c r="K226" s="6"/>
      <c r="L226" s="6"/>
      <c r="M226" s="6"/>
      <c r="N226" s="6"/>
    </row>
    <row r="227" ht="15" customHeight="1" spans="1:14">
      <c r="A227" s="143"/>
      <c r="B227" s="178"/>
      <c r="C227" s="183"/>
      <c r="D227" s="143"/>
      <c r="E227" s="143"/>
      <c r="F227" s="143"/>
      <c r="G227" s="146"/>
      <c r="H227" s="39"/>
      <c r="I227" s="194">
        <f t="shared" si="3"/>
        <v>581</v>
      </c>
      <c r="J227" s="207"/>
      <c r="K227" s="6"/>
      <c r="L227" s="6"/>
      <c r="M227" s="6"/>
      <c r="N227" s="6"/>
    </row>
    <row r="228" ht="15" customHeight="1" spans="1:14">
      <c r="A228" s="143"/>
      <c r="B228" s="178"/>
      <c r="C228" s="183"/>
      <c r="D228" s="143"/>
      <c r="E228" s="143"/>
      <c r="F228" s="143"/>
      <c r="G228" s="146"/>
      <c r="H228" s="39"/>
      <c r="I228" s="194">
        <f t="shared" si="3"/>
        <v>582</v>
      </c>
      <c r="J228" s="207"/>
      <c r="K228" s="6"/>
      <c r="L228" s="6"/>
      <c r="M228" s="6"/>
      <c r="N228" s="6"/>
    </row>
    <row r="229" ht="15" customHeight="1" spans="1:14">
      <c r="A229" s="143"/>
      <c r="B229" s="178"/>
      <c r="C229" s="183"/>
      <c r="D229" s="143"/>
      <c r="E229" s="143"/>
      <c r="F229" s="143"/>
      <c r="G229" s="146"/>
      <c r="H229" s="39"/>
      <c r="I229" s="194">
        <f t="shared" si="3"/>
        <v>583</v>
      </c>
      <c r="J229" s="207"/>
      <c r="K229" s="6"/>
      <c r="L229" s="6"/>
      <c r="M229" s="6"/>
      <c r="N229" s="6"/>
    </row>
    <row r="230" ht="15" customHeight="1" spans="1:14">
      <c r="A230" s="143"/>
      <c r="B230" s="178"/>
      <c r="C230" s="183"/>
      <c r="D230" s="143"/>
      <c r="E230" s="143"/>
      <c r="F230" s="143"/>
      <c r="G230" s="146"/>
      <c r="H230" s="39"/>
      <c r="I230" s="194">
        <f t="shared" si="3"/>
        <v>584</v>
      </c>
      <c r="J230" s="207"/>
      <c r="K230" s="6"/>
      <c r="L230" s="6"/>
      <c r="M230" s="6"/>
      <c r="N230" s="6"/>
    </row>
    <row r="231" ht="15" customHeight="1" spans="1:14">
      <c r="A231" s="143"/>
      <c r="B231" s="178"/>
      <c r="C231" s="183"/>
      <c r="D231" s="143"/>
      <c r="E231" s="143"/>
      <c r="F231" s="143"/>
      <c r="G231" s="146"/>
      <c r="H231" s="39"/>
      <c r="I231" s="194">
        <f t="shared" si="3"/>
        <v>585</v>
      </c>
      <c r="J231" s="207"/>
      <c r="K231" s="6"/>
      <c r="L231" s="6"/>
      <c r="M231" s="6"/>
      <c r="N231" s="6"/>
    </row>
    <row r="232" ht="15" customHeight="1" spans="1:14">
      <c r="A232" s="143"/>
      <c r="B232" s="178"/>
      <c r="C232" s="183"/>
      <c r="D232" s="143"/>
      <c r="E232" s="143"/>
      <c r="F232" s="143"/>
      <c r="G232" s="146"/>
      <c r="H232" s="39"/>
      <c r="I232" s="194">
        <f t="shared" si="3"/>
        <v>586</v>
      </c>
      <c r="J232" s="207"/>
      <c r="K232" s="6"/>
      <c r="L232" s="6"/>
      <c r="M232" s="6"/>
      <c r="N232" s="6"/>
    </row>
    <row r="233" ht="15" customHeight="1" spans="1:14">
      <c r="A233" s="143"/>
      <c r="B233" s="178"/>
      <c r="C233" s="183"/>
      <c r="D233" s="143"/>
      <c r="E233" s="143"/>
      <c r="F233" s="143"/>
      <c r="G233" s="146"/>
      <c r="H233" s="39"/>
      <c r="I233" s="194">
        <f t="shared" si="3"/>
        <v>587</v>
      </c>
      <c r="J233" s="207"/>
      <c r="K233" s="6"/>
      <c r="L233" s="6"/>
      <c r="M233" s="6"/>
      <c r="N233" s="6"/>
    </row>
    <row r="234" ht="15" customHeight="1" spans="1:14">
      <c r="A234" s="143"/>
      <c r="B234" s="178"/>
      <c r="C234" s="183"/>
      <c r="D234" s="143"/>
      <c r="E234" s="143"/>
      <c r="F234" s="143"/>
      <c r="G234" s="146"/>
      <c r="H234" s="39"/>
      <c r="I234" s="194">
        <f t="shared" si="3"/>
        <v>588</v>
      </c>
      <c r="J234" s="207"/>
      <c r="K234" s="6"/>
      <c r="L234" s="6"/>
      <c r="M234" s="6"/>
      <c r="N234" s="6"/>
    </row>
    <row r="235" ht="15" customHeight="1" spans="1:14">
      <c r="A235" s="143"/>
      <c r="B235" s="178"/>
      <c r="C235" s="183"/>
      <c r="D235" s="143"/>
      <c r="E235" s="143"/>
      <c r="F235" s="143"/>
      <c r="G235" s="146"/>
      <c r="H235" s="39"/>
      <c r="I235" s="194">
        <f t="shared" si="3"/>
        <v>589</v>
      </c>
      <c r="J235" s="207"/>
      <c r="K235" s="6"/>
      <c r="L235" s="6"/>
      <c r="M235" s="6"/>
      <c r="N235" s="6"/>
    </row>
    <row r="236" ht="15" customHeight="1" spans="1:14">
      <c r="A236" s="143"/>
      <c r="B236" s="178"/>
      <c r="C236" s="183"/>
      <c r="D236" s="143"/>
      <c r="E236" s="143"/>
      <c r="F236" s="143"/>
      <c r="G236" s="146"/>
      <c r="H236" s="39"/>
      <c r="I236" s="194">
        <f t="shared" si="3"/>
        <v>590</v>
      </c>
      <c r="J236" s="207"/>
      <c r="K236" s="6"/>
      <c r="L236" s="6"/>
      <c r="M236" s="6"/>
      <c r="N236" s="6"/>
    </row>
    <row r="237" ht="15" customHeight="1" spans="1:14">
      <c r="A237" s="143"/>
      <c r="B237" s="178"/>
      <c r="C237" s="183"/>
      <c r="D237" s="143"/>
      <c r="E237" s="143"/>
      <c r="F237" s="143"/>
      <c r="G237" s="146"/>
      <c r="H237" s="39"/>
      <c r="I237" s="194">
        <f t="shared" si="3"/>
        <v>591</v>
      </c>
      <c r="J237" s="207"/>
      <c r="K237" s="6"/>
      <c r="L237" s="6"/>
      <c r="M237" s="6"/>
      <c r="N237" s="6"/>
    </row>
    <row r="238" ht="15" customHeight="1" spans="1:14">
      <c r="A238" s="143"/>
      <c r="B238" s="178"/>
      <c r="C238" s="183"/>
      <c r="D238" s="143"/>
      <c r="E238" s="143"/>
      <c r="F238" s="143"/>
      <c r="G238" s="146"/>
      <c r="H238" s="39"/>
      <c r="I238" s="194">
        <f t="shared" si="3"/>
        <v>592</v>
      </c>
      <c r="J238" s="207"/>
      <c r="K238" s="6"/>
      <c r="L238" s="6"/>
      <c r="M238" s="6"/>
      <c r="N238" s="6"/>
    </row>
    <row r="239" ht="15" customHeight="1" spans="1:14">
      <c r="A239" s="143"/>
      <c r="B239" s="178"/>
      <c r="C239" s="183"/>
      <c r="D239" s="143"/>
      <c r="E239" s="143"/>
      <c r="F239" s="143"/>
      <c r="G239" s="146"/>
      <c r="H239" s="39"/>
      <c r="I239" s="194">
        <f t="shared" si="3"/>
        <v>593</v>
      </c>
      <c r="J239" s="207"/>
      <c r="K239" s="6"/>
      <c r="L239" s="6"/>
      <c r="M239" s="6"/>
      <c r="N239" s="6"/>
    </row>
    <row r="240" ht="15" customHeight="1" spans="1:14">
      <c r="A240" s="143"/>
      <c r="B240" s="178"/>
      <c r="C240" s="183"/>
      <c r="D240" s="143"/>
      <c r="E240" s="143"/>
      <c r="F240" s="143"/>
      <c r="G240" s="146"/>
      <c r="H240" s="39"/>
      <c r="I240" s="194">
        <f t="shared" si="3"/>
        <v>594</v>
      </c>
      <c r="J240" s="207"/>
      <c r="K240" s="6"/>
      <c r="L240" s="6"/>
      <c r="M240" s="6"/>
      <c r="N240" s="6"/>
    </row>
    <row r="241" ht="15" customHeight="1" spans="1:14">
      <c r="A241" s="143"/>
      <c r="B241" s="178"/>
      <c r="C241" s="183"/>
      <c r="D241" s="143"/>
      <c r="E241" s="143"/>
      <c r="F241" s="143"/>
      <c r="G241" s="146"/>
      <c r="H241" s="39"/>
      <c r="I241" s="194">
        <f t="shared" si="3"/>
        <v>595</v>
      </c>
      <c r="J241" s="207"/>
      <c r="K241" s="6"/>
      <c r="L241" s="6"/>
      <c r="M241" s="6"/>
      <c r="N241" s="6"/>
    </row>
    <row r="242" ht="15" customHeight="1" spans="1:14">
      <c r="A242" s="143"/>
      <c r="B242" s="178"/>
      <c r="C242" s="183"/>
      <c r="D242" s="143"/>
      <c r="E242" s="143"/>
      <c r="F242" s="143"/>
      <c r="G242" s="146"/>
      <c r="H242" s="39"/>
      <c r="I242" s="194">
        <f t="shared" si="3"/>
        <v>596</v>
      </c>
      <c r="J242" s="207"/>
      <c r="K242" s="6"/>
      <c r="L242" s="6"/>
      <c r="M242" s="6"/>
      <c r="N242" s="6"/>
    </row>
    <row r="243" ht="15" customHeight="1" spans="1:14">
      <c r="A243" s="143"/>
      <c r="B243" s="178"/>
      <c r="C243" s="183"/>
      <c r="D243" s="143"/>
      <c r="E243" s="143"/>
      <c r="F243" s="143"/>
      <c r="G243" s="146"/>
      <c r="H243" s="39"/>
      <c r="I243" s="194">
        <f t="shared" si="3"/>
        <v>597</v>
      </c>
      <c r="J243" s="207"/>
      <c r="K243" s="6"/>
      <c r="L243" s="6"/>
      <c r="M243" s="6"/>
      <c r="N243" s="6"/>
    </row>
    <row r="244" ht="15" customHeight="1" spans="1:14">
      <c r="A244" s="143"/>
      <c r="B244" s="178"/>
      <c r="C244" s="183"/>
      <c r="D244" s="143"/>
      <c r="E244" s="143"/>
      <c r="F244" s="143"/>
      <c r="G244" s="146"/>
      <c r="H244" s="39"/>
      <c r="I244" s="194">
        <f t="shared" si="3"/>
        <v>598</v>
      </c>
      <c r="J244" s="207"/>
      <c r="K244" s="6"/>
      <c r="L244" s="6"/>
      <c r="M244" s="6"/>
      <c r="N244" s="6"/>
    </row>
    <row r="245" ht="15" customHeight="1" spans="1:14">
      <c r="A245" s="143"/>
      <c r="B245" s="178"/>
      <c r="C245" s="183"/>
      <c r="D245" s="143"/>
      <c r="E245" s="143"/>
      <c r="F245" s="143"/>
      <c r="G245" s="146"/>
      <c r="H245" s="39"/>
      <c r="I245" s="194">
        <f t="shared" si="3"/>
        <v>599</v>
      </c>
      <c r="J245" s="207"/>
      <c r="K245" s="6"/>
      <c r="L245" s="6"/>
      <c r="M245" s="6"/>
      <c r="N245" s="6"/>
    </row>
    <row r="246" ht="15" customHeight="1" spans="1:14">
      <c r="A246" s="143"/>
      <c r="B246" s="178"/>
      <c r="C246" s="183"/>
      <c r="D246" s="143"/>
      <c r="E246" s="143"/>
      <c r="F246" s="143"/>
      <c r="G246" s="146"/>
      <c r="H246" s="39"/>
      <c r="I246" s="194">
        <f t="shared" si="3"/>
        <v>600</v>
      </c>
      <c r="J246" s="207"/>
      <c r="K246" s="6"/>
      <c r="L246" s="6"/>
      <c r="M246" s="6"/>
      <c r="N246" s="6"/>
    </row>
    <row r="247" ht="15" customHeight="1" spans="1:14">
      <c r="A247" s="143"/>
      <c r="B247" s="178"/>
      <c r="C247" s="183"/>
      <c r="D247" s="143"/>
      <c r="E247" s="143"/>
      <c r="F247" s="143"/>
      <c r="G247" s="146"/>
      <c r="H247" s="39"/>
      <c r="I247" s="194">
        <f t="shared" si="3"/>
        <v>601</v>
      </c>
      <c r="J247" s="207"/>
      <c r="K247" s="6"/>
      <c r="L247" s="6"/>
      <c r="M247" s="6"/>
      <c r="N247" s="6"/>
    </row>
    <row r="248" ht="15" customHeight="1" spans="1:14">
      <c r="A248" s="143"/>
      <c r="B248" s="178"/>
      <c r="C248" s="183"/>
      <c r="D248" s="143"/>
      <c r="E248" s="143"/>
      <c r="F248" s="143"/>
      <c r="G248" s="146"/>
      <c r="H248" s="39"/>
      <c r="I248" s="194">
        <f t="shared" si="3"/>
        <v>602</v>
      </c>
      <c r="J248" s="207"/>
      <c r="K248" s="6"/>
      <c r="L248" s="6"/>
      <c r="M248" s="6"/>
      <c r="N248" s="6"/>
    </row>
    <row r="249" ht="15" customHeight="1" spans="1:14">
      <c r="A249" s="143"/>
      <c r="B249" s="178"/>
      <c r="C249" s="183"/>
      <c r="D249" s="143"/>
      <c r="E249" s="143"/>
      <c r="F249" s="143"/>
      <c r="G249" s="146"/>
      <c r="H249" s="39"/>
      <c r="I249" s="194">
        <f t="shared" si="3"/>
        <v>603</v>
      </c>
      <c r="J249" s="207"/>
      <c r="K249" s="6"/>
      <c r="L249" s="6"/>
      <c r="M249" s="6"/>
      <c r="N249" s="6"/>
    </row>
    <row r="250" ht="15" customHeight="1" spans="1:14">
      <c r="A250" s="143"/>
      <c r="B250" s="178"/>
      <c r="C250" s="183"/>
      <c r="D250" s="143"/>
      <c r="E250" s="143"/>
      <c r="F250" s="143"/>
      <c r="G250" s="146"/>
      <c r="H250" s="39"/>
      <c r="I250" s="194">
        <f t="shared" si="3"/>
        <v>604</v>
      </c>
      <c r="J250" s="207"/>
      <c r="K250" s="6"/>
      <c r="L250" s="6"/>
      <c r="M250" s="6"/>
      <c r="N250" s="6"/>
    </row>
    <row r="251" ht="15" customHeight="1" spans="1:14">
      <c r="A251" s="143"/>
      <c r="B251" s="178"/>
      <c r="C251" s="183"/>
      <c r="D251" s="143"/>
      <c r="E251" s="143"/>
      <c r="F251" s="143"/>
      <c r="G251" s="146"/>
      <c r="H251" s="39"/>
      <c r="I251" s="194">
        <f t="shared" si="3"/>
        <v>605</v>
      </c>
      <c r="J251" s="207"/>
      <c r="K251" s="6"/>
      <c r="L251" s="6"/>
      <c r="M251" s="6"/>
      <c r="N251" s="6"/>
    </row>
    <row r="252" ht="15" customHeight="1" spans="1:14">
      <c r="A252" s="143"/>
      <c r="B252" s="178"/>
      <c r="C252" s="183"/>
      <c r="D252" s="143"/>
      <c r="E252" s="143"/>
      <c r="F252" s="143"/>
      <c r="G252" s="146"/>
      <c r="H252" s="39"/>
      <c r="I252" s="194">
        <f t="shared" si="3"/>
        <v>606</v>
      </c>
      <c r="J252" s="207"/>
      <c r="K252" s="6"/>
      <c r="L252" s="6"/>
      <c r="M252" s="6"/>
      <c r="N252" s="6"/>
    </row>
    <row r="253" ht="15" customHeight="1" spans="1:14">
      <c r="A253" s="143"/>
      <c r="B253" s="178"/>
      <c r="C253" s="183"/>
      <c r="D253" s="143"/>
      <c r="E253" s="143"/>
      <c r="F253" s="143"/>
      <c r="G253" s="146"/>
      <c r="H253" s="39"/>
      <c r="I253" s="194">
        <f t="shared" si="3"/>
        <v>607</v>
      </c>
      <c r="J253" s="207"/>
      <c r="K253" s="6"/>
      <c r="L253" s="6"/>
      <c r="M253" s="6"/>
      <c r="N253" s="6"/>
    </row>
    <row r="254" ht="15" customHeight="1" spans="1:14">
      <c r="A254" s="143"/>
      <c r="B254" s="178"/>
      <c r="C254" s="183"/>
      <c r="D254" s="143"/>
      <c r="E254" s="143"/>
      <c r="F254" s="143"/>
      <c r="G254" s="146"/>
      <c r="H254" s="39"/>
      <c r="I254" s="194">
        <f t="shared" si="3"/>
        <v>608</v>
      </c>
      <c r="J254" s="207"/>
      <c r="K254" s="6"/>
      <c r="L254" s="6"/>
      <c r="M254" s="6"/>
      <c r="N254" s="6"/>
    </row>
    <row r="255" ht="15" customHeight="1" spans="1:14">
      <c r="A255" s="143"/>
      <c r="B255" s="178"/>
      <c r="C255" s="183"/>
      <c r="D255" s="143"/>
      <c r="E255" s="143"/>
      <c r="F255" s="143"/>
      <c r="G255" s="146"/>
      <c r="H255" s="39"/>
      <c r="I255" s="194">
        <f t="shared" si="3"/>
        <v>609</v>
      </c>
      <c r="J255" s="207"/>
      <c r="K255" s="6"/>
      <c r="L255" s="6"/>
      <c r="M255" s="6"/>
      <c r="N255" s="6"/>
    </row>
    <row r="256" ht="15" customHeight="1" spans="1:14">
      <c r="A256" s="143"/>
      <c r="B256" s="178"/>
      <c r="C256" s="183"/>
      <c r="D256" s="143"/>
      <c r="E256" s="143"/>
      <c r="F256" s="143"/>
      <c r="G256" s="146"/>
      <c r="H256" s="39"/>
      <c r="I256" s="194">
        <f t="shared" si="3"/>
        <v>610</v>
      </c>
      <c r="J256" s="207"/>
      <c r="K256" s="6"/>
      <c r="L256" s="6"/>
      <c r="M256" s="6"/>
      <c r="N256" s="6"/>
    </row>
    <row r="257" ht="15" customHeight="1" spans="1:14">
      <c r="A257" s="143"/>
      <c r="B257" s="178"/>
      <c r="C257" s="183"/>
      <c r="D257" s="143"/>
      <c r="E257" s="143"/>
      <c r="F257" s="143"/>
      <c r="G257" s="146"/>
      <c r="H257" s="39"/>
      <c r="I257" s="194">
        <f t="shared" si="3"/>
        <v>611</v>
      </c>
      <c r="J257" s="207"/>
      <c r="K257" s="6"/>
      <c r="L257" s="6"/>
      <c r="M257" s="6"/>
      <c r="N257" s="6"/>
    </row>
    <row r="258" ht="15" customHeight="1" spans="1:14">
      <c r="A258" s="143"/>
      <c r="B258" s="178"/>
      <c r="C258" s="183"/>
      <c r="D258" s="143"/>
      <c r="E258" s="143"/>
      <c r="F258" s="143"/>
      <c r="G258" s="146"/>
      <c r="H258" s="39"/>
      <c r="I258" s="194">
        <f t="shared" si="3"/>
        <v>612</v>
      </c>
      <c r="J258" s="207"/>
      <c r="K258" s="6"/>
      <c r="L258" s="6"/>
      <c r="M258" s="6"/>
      <c r="N258" s="6"/>
    </row>
    <row r="259" ht="15" customHeight="1" spans="1:14">
      <c r="A259" s="143"/>
      <c r="B259" s="178"/>
      <c r="C259" s="183"/>
      <c r="D259" s="143"/>
      <c r="E259" s="143"/>
      <c r="F259" s="143"/>
      <c r="G259" s="146"/>
      <c r="H259" s="39"/>
      <c r="I259" s="194">
        <f t="shared" si="3"/>
        <v>613</v>
      </c>
      <c r="J259" s="207"/>
      <c r="K259" s="6"/>
      <c r="L259" s="6"/>
      <c r="M259" s="6"/>
      <c r="N259" s="6"/>
    </row>
    <row r="260" ht="15" customHeight="1" spans="1:14">
      <c r="A260" s="143"/>
      <c r="B260" s="178"/>
      <c r="C260" s="183"/>
      <c r="D260" s="143"/>
      <c r="E260" s="143"/>
      <c r="F260" s="143"/>
      <c r="G260" s="146"/>
      <c r="H260" s="39"/>
      <c r="I260" s="194">
        <f t="shared" si="3"/>
        <v>614</v>
      </c>
      <c r="J260" s="207"/>
      <c r="K260" s="6"/>
      <c r="L260" s="6"/>
      <c r="M260" s="6"/>
      <c r="N260" s="6"/>
    </row>
    <row r="261" ht="15" customHeight="1" spans="1:14">
      <c r="A261" s="143"/>
      <c r="B261" s="178"/>
      <c r="C261" s="183"/>
      <c r="D261" s="143"/>
      <c r="E261" s="143"/>
      <c r="F261" s="143"/>
      <c r="G261" s="146"/>
      <c r="H261" s="39"/>
      <c r="I261" s="194">
        <f t="shared" si="3"/>
        <v>615</v>
      </c>
      <c r="J261" s="207"/>
      <c r="K261" s="6"/>
      <c r="L261" s="6"/>
      <c r="M261" s="6"/>
      <c r="N261" s="6"/>
    </row>
    <row r="262" ht="15" customHeight="1" spans="1:14">
      <c r="A262" s="143"/>
      <c r="B262" s="178"/>
      <c r="C262" s="183"/>
      <c r="D262" s="143"/>
      <c r="E262" s="143"/>
      <c r="F262" s="143"/>
      <c r="G262" s="146"/>
      <c r="H262" s="39"/>
      <c r="I262" s="194">
        <f t="shared" si="3"/>
        <v>616</v>
      </c>
      <c r="J262" s="207"/>
      <c r="K262" s="6"/>
      <c r="L262" s="6"/>
      <c r="M262" s="6"/>
      <c r="N262" s="6"/>
    </row>
    <row r="263" ht="15" customHeight="1" spans="1:14">
      <c r="A263" s="143"/>
      <c r="B263" s="178"/>
      <c r="C263" s="183"/>
      <c r="D263" s="143"/>
      <c r="E263" s="143"/>
      <c r="F263" s="143"/>
      <c r="G263" s="146"/>
      <c r="H263" s="39"/>
      <c r="I263" s="194">
        <f t="shared" si="3"/>
        <v>617</v>
      </c>
      <c r="J263" s="207"/>
      <c r="K263" s="6"/>
      <c r="L263" s="6"/>
      <c r="M263" s="6"/>
      <c r="N263" s="6"/>
    </row>
    <row r="264" ht="15" customHeight="1" spans="1:14">
      <c r="A264" s="143"/>
      <c r="B264" s="178"/>
      <c r="C264" s="183"/>
      <c r="D264" s="143"/>
      <c r="E264" s="143"/>
      <c r="F264" s="143"/>
      <c r="G264" s="146"/>
      <c r="H264" s="39"/>
      <c r="I264" s="194">
        <f t="shared" si="3"/>
        <v>618</v>
      </c>
      <c r="J264" s="207"/>
      <c r="K264" s="6"/>
      <c r="L264" s="6"/>
      <c r="M264" s="6"/>
      <c r="N264" s="6"/>
    </row>
    <row r="265" ht="15" customHeight="1" spans="1:14">
      <c r="A265" s="143"/>
      <c r="B265" s="178"/>
      <c r="C265" s="183"/>
      <c r="D265" s="143"/>
      <c r="E265" s="143"/>
      <c r="F265" s="143"/>
      <c r="G265" s="146"/>
      <c r="H265" s="39"/>
      <c r="I265" s="194">
        <f t="shared" si="3"/>
        <v>619</v>
      </c>
      <c r="J265" s="207"/>
      <c r="K265" s="6"/>
      <c r="L265" s="6"/>
      <c r="M265" s="6"/>
      <c r="N265" s="6"/>
    </row>
    <row r="266" ht="15" customHeight="1" spans="1:14">
      <c r="A266" s="143"/>
      <c r="B266" s="178"/>
      <c r="C266" s="183"/>
      <c r="D266" s="143"/>
      <c r="E266" s="143"/>
      <c r="F266" s="143"/>
      <c r="G266" s="146"/>
      <c r="H266" s="39"/>
      <c r="I266" s="194">
        <f t="shared" si="3"/>
        <v>620</v>
      </c>
      <c r="J266" s="207"/>
      <c r="K266" s="6"/>
      <c r="L266" s="6"/>
      <c r="M266" s="6"/>
      <c r="N266" s="6"/>
    </row>
    <row r="267" ht="15" customHeight="1" spans="1:14">
      <c r="A267" s="143"/>
      <c r="B267" s="178"/>
      <c r="C267" s="183"/>
      <c r="D267" s="143"/>
      <c r="E267" s="143"/>
      <c r="F267" s="143"/>
      <c r="G267" s="146"/>
      <c r="H267" s="39"/>
      <c r="I267" s="194">
        <f t="shared" si="3"/>
        <v>621</v>
      </c>
      <c r="J267" s="207"/>
      <c r="K267" s="6"/>
      <c r="L267" s="6"/>
      <c r="M267" s="6"/>
      <c r="N267" s="6"/>
    </row>
    <row r="268" ht="15" customHeight="1" spans="1:14">
      <c r="A268" s="143"/>
      <c r="B268" s="178"/>
      <c r="C268" s="183"/>
      <c r="D268" s="143"/>
      <c r="E268" s="143"/>
      <c r="F268" s="143"/>
      <c r="G268" s="146"/>
      <c r="H268" s="39"/>
      <c r="I268" s="194">
        <f t="shared" si="3"/>
        <v>622</v>
      </c>
      <c r="J268" s="207"/>
      <c r="K268" s="6"/>
      <c r="L268" s="6"/>
      <c r="M268" s="6"/>
      <c r="N268" s="6"/>
    </row>
    <row r="269" ht="15" customHeight="1" spans="1:14">
      <c r="A269" s="143"/>
      <c r="B269" s="178"/>
      <c r="C269" s="183"/>
      <c r="D269" s="143"/>
      <c r="E269" s="143"/>
      <c r="F269" s="143"/>
      <c r="G269" s="146"/>
      <c r="H269" s="39"/>
      <c r="I269" s="194">
        <f t="shared" si="3"/>
        <v>623</v>
      </c>
      <c r="J269" s="207"/>
      <c r="K269" s="6"/>
      <c r="L269" s="6"/>
      <c r="M269" s="6"/>
      <c r="N269" s="6"/>
    </row>
    <row r="270" ht="15" customHeight="1" spans="1:14">
      <c r="A270" s="143"/>
      <c r="B270" s="178"/>
      <c r="C270" s="183"/>
      <c r="D270" s="143"/>
      <c r="E270" s="143"/>
      <c r="F270" s="143"/>
      <c r="G270" s="146"/>
      <c r="H270" s="39"/>
      <c r="I270" s="194">
        <f t="shared" si="3"/>
        <v>624</v>
      </c>
      <c r="J270" s="207"/>
      <c r="K270" s="6"/>
      <c r="L270" s="6"/>
      <c r="M270" s="6"/>
      <c r="N270" s="6"/>
    </row>
    <row r="271" ht="15" customHeight="1" spans="1:14">
      <c r="A271" s="143"/>
      <c r="B271" s="178"/>
      <c r="C271" s="183"/>
      <c r="D271" s="143"/>
      <c r="E271" s="143"/>
      <c r="F271" s="143"/>
      <c r="G271" s="146"/>
      <c r="H271" s="39"/>
      <c r="I271" s="194">
        <f t="shared" si="3"/>
        <v>625</v>
      </c>
      <c r="J271" s="207"/>
      <c r="K271" s="6"/>
      <c r="L271" s="6"/>
      <c r="M271" s="6"/>
      <c r="N271" s="6"/>
    </row>
    <row r="272" ht="15" customHeight="1" spans="1:14">
      <c r="A272" s="143"/>
      <c r="B272" s="178"/>
      <c r="C272" s="183"/>
      <c r="D272" s="143"/>
      <c r="E272" s="143"/>
      <c r="F272" s="143"/>
      <c r="G272" s="146"/>
      <c r="H272" s="39"/>
      <c r="I272" s="194">
        <f t="shared" si="3"/>
        <v>626</v>
      </c>
      <c r="J272" s="207"/>
      <c r="K272" s="6"/>
      <c r="L272" s="6"/>
      <c r="M272" s="6"/>
      <c r="N272" s="6"/>
    </row>
    <row r="273" ht="15" customHeight="1" spans="1:14">
      <c r="A273" s="143"/>
      <c r="B273" s="178"/>
      <c r="C273" s="183"/>
      <c r="D273" s="143"/>
      <c r="E273" s="143"/>
      <c r="F273" s="143"/>
      <c r="G273" s="146"/>
      <c r="H273" s="39"/>
      <c r="I273" s="194">
        <f t="shared" si="3"/>
        <v>627</v>
      </c>
      <c r="J273" s="207"/>
      <c r="K273" s="6"/>
      <c r="L273" s="6"/>
      <c r="M273" s="6"/>
      <c r="N273" s="6"/>
    </row>
    <row r="274" ht="15" customHeight="1" spans="1:14">
      <c r="A274" s="143"/>
      <c r="B274" s="178"/>
      <c r="C274" s="183"/>
      <c r="D274" s="143"/>
      <c r="E274" s="143"/>
      <c r="F274" s="143"/>
      <c r="G274" s="146"/>
      <c r="H274" s="39"/>
      <c r="I274" s="194">
        <f t="shared" si="3"/>
        <v>628</v>
      </c>
      <c r="J274" s="207"/>
      <c r="K274" s="6"/>
      <c r="L274" s="6"/>
      <c r="M274" s="6"/>
      <c r="N274" s="6"/>
    </row>
    <row r="275" ht="15" customHeight="1" spans="1:14">
      <c r="A275" s="143"/>
      <c r="B275" s="178"/>
      <c r="C275" s="183"/>
      <c r="D275" s="143"/>
      <c r="E275" s="143"/>
      <c r="F275" s="143"/>
      <c r="G275" s="146"/>
      <c r="H275" s="39"/>
      <c r="I275" s="194">
        <f t="shared" si="3"/>
        <v>629</v>
      </c>
      <c r="J275" s="207"/>
      <c r="K275" s="6"/>
      <c r="L275" s="6"/>
      <c r="M275" s="6"/>
      <c r="N275" s="6"/>
    </row>
    <row r="276" ht="15" customHeight="1" spans="1:14">
      <c r="A276" s="143"/>
      <c r="B276" s="178"/>
      <c r="C276" s="183"/>
      <c r="D276" s="143"/>
      <c r="E276" s="143"/>
      <c r="F276" s="143"/>
      <c r="G276" s="146"/>
      <c r="H276" s="39"/>
      <c r="I276" s="194">
        <f t="shared" si="3"/>
        <v>630</v>
      </c>
      <c r="J276" s="207"/>
      <c r="K276" s="6"/>
      <c r="L276" s="6"/>
      <c r="M276" s="6"/>
      <c r="N276" s="6"/>
    </row>
    <row r="277" ht="15" customHeight="1" spans="1:14">
      <c r="A277" s="143"/>
      <c r="B277" s="178"/>
      <c r="C277" s="183"/>
      <c r="D277" s="143"/>
      <c r="E277" s="143"/>
      <c r="F277" s="143"/>
      <c r="G277" s="146"/>
      <c r="H277" s="39"/>
      <c r="I277" s="194">
        <f t="shared" si="3"/>
        <v>631</v>
      </c>
      <c r="J277" s="207"/>
      <c r="K277" s="6"/>
      <c r="L277" s="6"/>
      <c r="M277" s="6"/>
      <c r="N277" s="6"/>
    </row>
    <row r="278" ht="15" customHeight="1" spans="1:14">
      <c r="A278" s="143"/>
      <c r="B278" s="178"/>
      <c r="C278" s="183"/>
      <c r="D278" s="143"/>
      <c r="E278" s="143"/>
      <c r="F278" s="143"/>
      <c r="G278" s="146"/>
      <c r="H278" s="39"/>
      <c r="I278" s="194">
        <f t="shared" si="3"/>
        <v>632</v>
      </c>
      <c r="J278" s="207"/>
      <c r="K278" s="6"/>
      <c r="L278" s="6"/>
      <c r="M278" s="6"/>
      <c r="N278" s="6"/>
    </row>
    <row r="279" ht="15" customHeight="1" spans="1:14">
      <c r="A279" s="143"/>
      <c r="B279" s="178"/>
      <c r="C279" s="183"/>
      <c r="D279" s="143"/>
      <c r="E279" s="143"/>
      <c r="F279" s="143"/>
      <c r="G279" s="146"/>
      <c r="H279" s="39"/>
      <c r="I279" s="194">
        <f t="shared" si="3"/>
        <v>633</v>
      </c>
      <c r="J279" s="207"/>
      <c r="K279" s="6"/>
      <c r="L279" s="6"/>
      <c r="M279" s="6"/>
      <c r="N279" s="6"/>
    </row>
    <row r="280" ht="15" customHeight="1" spans="1:14">
      <c r="A280" s="143"/>
      <c r="B280" s="178"/>
      <c r="C280" s="183"/>
      <c r="D280" s="143"/>
      <c r="E280" s="143"/>
      <c r="F280" s="143"/>
      <c r="G280" s="146"/>
      <c r="H280" s="39"/>
      <c r="I280" s="194">
        <f t="shared" si="3"/>
        <v>634</v>
      </c>
      <c r="J280" s="207"/>
      <c r="K280" s="6"/>
      <c r="L280" s="6"/>
      <c r="M280" s="6"/>
      <c r="N280" s="6"/>
    </row>
    <row r="281" ht="15" customHeight="1" spans="1:14">
      <c r="A281" s="143"/>
      <c r="B281" s="178"/>
      <c r="C281" s="183"/>
      <c r="D281" s="143"/>
      <c r="E281" s="143"/>
      <c r="F281" s="143"/>
      <c r="G281" s="146"/>
      <c r="H281" s="39"/>
      <c r="I281" s="194">
        <f t="shared" si="3"/>
        <v>635</v>
      </c>
      <c r="J281" s="207"/>
      <c r="K281" s="6"/>
      <c r="L281" s="6"/>
      <c r="M281" s="6"/>
      <c r="N281" s="6"/>
    </row>
    <row r="282" ht="15" customHeight="1" spans="1:14">
      <c r="A282" s="143"/>
      <c r="B282" s="178"/>
      <c r="C282" s="183"/>
      <c r="D282" s="143"/>
      <c r="E282" s="143"/>
      <c r="F282" s="143"/>
      <c r="G282" s="146"/>
      <c r="H282" s="39"/>
      <c r="I282" s="194">
        <f t="shared" ref="I282:I345" si="4">IF(380+J$22*(ROW()-ROW(I$25)-1)&gt;780,"",380+J$22*(ROW()-ROW(I$25)-1))</f>
        <v>636</v>
      </c>
      <c r="J282" s="207"/>
      <c r="K282" s="6"/>
      <c r="L282" s="6"/>
      <c r="M282" s="6"/>
      <c r="N282" s="6"/>
    </row>
    <row r="283" ht="15" customHeight="1" spans="1:14">
      <c r="A283" s="143"/>
      <c r="B283" s="178"/>
      <c r="C283" s="183"/>
      <c r="D283" s="143"/>
      <c r="E283" s="143"/>
      <c r="F283" s="143"/>
      <c r="G283" s="146"/>
      <c r="H283" s="39"/>
      <c r="I283" s="194">
        <f t="shared" si="4"/>
        <v>637</v>
      </c>
      <c r="J283" s="207"/>
      <c r="K283" s="6"/>
      <c r="L283" s="6"/>
      <c r="M283" s="6"/>
      <c r="N283" s="6"/>
    </row>
    <row r="284" ht="15" customHeight="1" spans="1:14">
      <c r="A284" s="143"/>
      <c r="B284" s="178"/>
      <c r="C284" s="183"/>
      <c r="D284" s="143"/>
      <c r="E284" s="143"/>
      <c r="F284" s="143"/>
      <c r="G284" s="146"/>
      <c r="H284" s="39"/>
      <c r="I284" s="194">
        <f t="shared" si="4"/>
        <v>638</v>
      </c>
      <c r="J284" s="207"/>
      <c r="K284" s="6"/>
      <c r="L284" s="6"/>
      <c r="M284" s="6"/>
      <c r="N284" s="6"/>
    </row>
    <row r="285" ht="15" customHeight="1" spans="1:14">
      <c r="A285" s="143"/>
      <c r="B285" s="178"/>
      <c r="C285" s="183"/>
      <c r="D285" s="143"/>
      <c r="E285" s="143"/>
      <c r="F285" s="143"/>
      <c r="G285" s="146"/>
      <c r="H285" s="39"/>
      <c r="I285" s="194">
        <f t="shared" si="4"/>
        <v>639</v>
      </c>
      <c r="J285" s="207"/>
      <c r="K285" s="6"/>
      <c r="L285" s="6"/>
      <c r="M285" s="6"/>
      <c r="N285" s="6"/>
    </row>
    <row r="286" ht="15" customHeight="1" spans="1:14">
      <c r="A286" s="143"/>
      <c r="B286" s="178"/>
      <c r="C286" s="183"/>
      <c r="D286" s="143"/>
      <c r="E286" s="143"/>
      <c r="F286" s="143"/>
      <c r="G286" s="146"/>
      <c r="H286" s="39"/>
      <c r="I286" s="194">
        <f t="shared" si="4"/>
        <v>640</v>
      </c>
      <c r="J286" s="207"/>
      <c r="K286" s="6"/>
      <c r="L286" s="6"/>
      <c r="M286" s="6"/>
      <c r="N286" s="6"/>
    </row>
    <row r="287" ht="15" customHeight="1" spans="1:14">
      <c r="A287" s="143"/>
      <c r="B287" s="178"/>
      <c r="C287" s="183"/>
      <c r="D287" s="143"/>
      <c r="E287" s="143"/>
      <c r="F287" s="143"/>
      <c r="G287" s="146"/>
      <c r="H287" s="39"/>
      <c r="I287" s="194">
        <f t="shared" si="4"/>
        <v>641</v>
      </c>
      <c r="J287" s="207"/>
      <c r="K287" s="6"/>
      <c r="L287" s="6"/>
      <c r="M287" s="6"/>
      <c r="N287" s="6"/>
    </row>
    <row r="288" ht="15" customHeight="1" spans="1:14">
      <c r="A288" s="143"/>
      <c r="B288" s="178"/>
      <c r="C288" s="183"/>
      <c r="D288" s="143"/>
      <c r="E288" s="143"/>
      <c r="F288" s="143"/>
      <c r="G288" s="146"/>
      <c r="H288" s="39"/>
      <c r="I288" s="194">
        <f t="shared" si="4"/>
        <v>642</v>
      </c>
      <c r="J288" s="207"/>
      <c r="K288" s="6"/>
      <c r="L288" s="6"/>
      <c r="M288" s="6"/>
      <c r="N288" s="6"/>
    </row>
    <row r="289" ht="15" customHeight="1" spans="1:14">
      <c r="A289" s="143"/>
      <c r="B289" s="178"/>
      <c r="C289" s="183"/>
      <c r="D289" s="143"/>
      <c r="E289" s="143"/>
      <c r="F289" s="143"/>
      <c r="G289" s="146"/>
      <c r="H289" s="39"/>
      <c r="I289" s="194">
        <f t="shared" si="4"/>
        <v>643</v>
      </c>
      <c r="J289" s="207"/>
      <c r="K289" s="6"/>
      <c r="L289" s="6"/>
      <c r="M289" s="6"/>
      <c r="N289" s="6"/>
    </row>
    <row r="290" ht="15" customHeight="1" spans="1:14">
      <c r="A290" s="143"/>
      <c r="B290" s="178"/>
      <c r="C290" s="183"/>
      <c r="D290" s="143"/>
      <c r="E290" s="143"/>
      <c r="F290" s="143"/>
      <c r="G290" s="146"/>
      <c r="H290" s="39"/>
      <c r="I290" s="194">
        <f t="shared" si="4"/>
        <v>644</v>
      </c>
      <c r="J290" s="207"/>
      <c r="K290" s="6"/>
      <c r="L290" s="6"/>
      <c r="M290" s="6"/>
      <c r="N290" s="6"/>
    </row>
    <row r="291" ht="15" customHeight="1" spans="1:14">
      <c r="A291" s="143"/>
      <c r="B291" s="178"/>
      <c r="C291" s="183"/>
      <c r="D291" s="143"/>
      <c r="E291" s="143"/>
      <c r="F291" s="143"/>
      <c r="G291" s="146"/>
      <c r="H291" s="39"/>
      <c r="I291" s="194">
        <f t="shared" si="4"/>
        <v>645</v>
      </c>
      <c r="J291" s="207"/>
      <c r="K291" s="6"/>
      <c r="L291" s="6"/>
      <c r="M291" s="6"/>
      <c r="N291" s="6"/>
    </row>
    <row r="292" ht="15" customHeight="1" spans="1:14">
      <c r="A292" s="143"/>
      <c r="B292" s="178"/>
      <c r="C292" s="183"/>
      <c r="D292" s="143"/>
      <c r="E292" s="143"/>
      <c r="F292" s="143"/>
      <c r="G292" s="146"/>
      <c r="H292" s="39"/>
      <c r="I292" s="194">
        <f t="shared" si="4"/>
        <v>646</v>
      </c>
      <c r="J292" s="207"/>
      <c r="K292" s="6"/>
      <c r="L292" s="6"/>
      <c r="M292" s="6"/>
      <c r="N292" s="6"/>
    </row>
    <row r="293" ht="15" customHeight="1" spans="1:14">
      <c r="A293" s="143"/>
      <c r="B293" s="178"/>
      <c r="C293" s="183"/>
      <c r="D293" s="143"/>
      <c r="E293" s="143"/>
      <c r="F293" s="143"/>
      <c r="G293" s="146"/>
      <c r="H293" s="39"/>
      <c r="I293" s="194">
        <f t="shared" si="4"/>
        <v>647</v>
      </c>
      <c r="J293" s="207"/>
      <c r="K293" s="6"/>
      <c r="L293" s="6"/>
      <c r="M293" s="6"/>
      <c r="N293" s="6"/>
    </row>
    <row r="294" ht="15" customHeight="1" spans="1:14">
      <c r="A294" s="143"/>
      <c r="B294" s="178"/>
      <c r="C294" s="183"/>
      <c r="D294" s="143"/>
      <c r="E294" s="143"/>
      <c r="F294" s="143"/>
      <c r="G294" s="146"/>
      <c r="H294" s="39"/>
      <c r="I294" s="194">
        <f t="shared" si="4"/>
        <v>648</v>
      </c>
      <c r="J294" s="207"/>
      <c r="K294" s="6"/>
      <c r="L294" s="6"/>
      <c r="M294" s="6"/>
      <c r="N294" s="6"/>
    </row>
    <row r="295" ht="15" customHeight="1" spans="1:14">
      <c r="A295" s="143"/>
      <c r="B295" s="178"/>
      <c r="C295" s="183"/>
      <c r="D295" s="143"/>
      <c r="E295" s="143"/>
      <c r="F295" s="143"/>
      <c r="G295" s="146"/>
      <c r="H295" s="39"/>
      <c r="I295" s="194">
        <f t="shared" si="4"/>
        <v>649</v>
      </c>
      <c r="J295" s="207"/>
      <c r="K295" s="6"/>
      <c r="L295" s="6"/>
      <c r="M295" s="6"/>
      <c r="N295" s="6"/>
    </row>
    <row r="296" ht="15" customHeight="1" spans="1:14">
      <c r="A296" s="143"/>
      <c r="B296" s="178"/>
      <c r="C296" s="183"/>
      <c r="D296" s="143"/>
      <c r="E296" s="143"/>
      <c r="F296" s="143"/>
      <c r="G296" s="146"/>
      <c r="H296" s="39"/>
      <c r="I296" s="194">
        <f t="shared" si="4"/>
        <v>650</v>
      </c>
      <c r="J296" s="207"/>
      <c r="K296" s="6"/>
      <c r="L296" s="6"/>
      <c r="M296" s="6"/>
      <c r="N296" s="6"/>
    </row>
    <row r="297" ht="15" customHeight="1" spans="1:14">
      <c r="A297" s="143"/>
      <c r="B297" s="178"/>
      <c r="C297" s="183"/>
      <c r="D297" s="143"/>
      <c r="E297" s="143"/>
      <c r="F297" s="143"/>
      <c r="G297" s="146"/>
      <c r="H297" s="39"/>
      <c r="I297" s="194">
        <f t="shared" si="4"/>
        <v>651</v>
      </c>
      <c r="J297" s="207"/>
      <c r="K297" s="6"/>
      <c r="L297" s="6"/>
      <c r="M297" s="6"/>
      <c r="N297" s="6"/>
    </row>
    <row r="298" ht="15" customHeight="1" spans="1:14">
      <c r="A298" s="143"/>
      <c r="B298" s="178"/>
      <c r="C298" s="183"/>
      <c r="D298" s="143"/>
      <c r="E298" s="143"/>
      <c r="F298" s="143"/>
      <c r="G298" s="146"/>
      <c r="H298" s="39"/>
      <c r="I298" s="194">
        <f t="shared" si="4"/>
        <v>652</v>
      </c>
      <c r="J298" s="207"/>
      <c r="K298" s="6"/>
      <c r="L298" s="6"/>
      <c r="M298" s="6"/>
      <c r="N298" s="6"/>
    </row>
    <row r="299" ht="15" customHeight="1" spans="1:14">
      <c r="A299" s="143"/>
      <c r="B299" s="178"/>
      <c r="C299" s="183"/>
      <c r="D299" s="143"/>
      <c r="E299" s="143"/>
      <c r="F299" s="143"/>
      <c r="G299" s="146"/>
      <c r="H299" s="39"/>
      <c r="I299" s="194">
        <f t="shared" si="4"/>
        <v>653</v>
      </c>
      <c r="J299" s="207"/>
      <c r="K299" s="6"/>
      <c r="L299" s="6"/>
      <c r="M299" s="6"/>
      <c r="N299" s="6"/>
    </row>
    <row r="300" ht="15" customHeight="1" spans="1:14">
      <c r="A300" s="143"/>
      <c r="B300" s="178"/>
      <c r="C300" s="183"/>
      <c r="D300" s="143"/>
      <c r="E300" s="143"/>
      <c r="F300" s="143"/>
      <c r="G300" s="146"/>
      <c r="H300" s="39"/>
      <c r="I300" s="194">
        <f t="shared" si="4"/>
        <v>654</v>
      </c>
      <c r="J300" s="207"/>
      <c r="K300" s="6"/>
      <c r="L300" s="6"/>
      <c r="M300" s="6"/>
      <c r="N300" s="6"/>
    </row>
    <row r="301" ht="15" customHeight="1" spans="1:14">
      <c r="A301" s="143"/>
      <c r="B301" s="178"/>
      <c r="C301" s="183"/>
      <c r="D301" s="143"/>
      <c r="E301" s="143"/>
      <c r="F301" s="143"/>
      <c r="G301" s="146"/>
      <c r="H301" s="39"/>
      <c r="I301" s="194">
        <f t="shared" si="4"/>
        <v>655</v>
      </c>
      <c r="J301" s="207"/>
      <c r="K301" s="6"/>
      <c r="L301" s="6"/>
      <c r="M301" s="6"/>
      <c r="N301" s="6"/>
    </row>
    <row r="302" ht="15" customHeight="1" spans="1:14">
      <c r="A302" s="143"/>
      <c r="B302" s="178"/>
      <c r="C302" s="183"/>
      <c r="D302" s="143"/>
      <c r="E302" s="143"/>
      <c r="F302" s="143"/>
      <c r="G302" s="146"/>
      <c r="H302" s="39"/>
      <c r="I302" s="194">
        <f t="shared" si="4"/>
        <v>656</v>
      </c>
      <c r="J302" s="207"/>
      <c r="K302" s="6"/>
      <c r="L302" s="6"/>
      <c r="M302" s="6"/>
      <c r="N302" s="6"/>
    </row>
    <row r="303" ht="15" customHeight="1" spans="1:14">
      <c r="A303" s="143"/>
      <c r="B303" s="178"/>
      <c r="C303" s="183"/>
      <c r="D303" s="143"/>
      <c r="E303" s="143"/>
      <c r="F303" s="143"/>
      <c r="G303" s="146"/>
      <c r="H303" s="39"/>
      <c r="I303" s="194">
        <f t="shared" si="4"/>
        <v>657</v>
      </c>
      <c r="J303" s="207"/>
      <c r="K303" s="6"/>
      <c r="L303" s="6"/>
      <c r="M303" s="6"/>
      <c r="N303" s="6"/>
    </row>
    <row r="304" ht="15" customHeight="1" spans="1:14">
      <c r="A304" s="143"/>
      <c r="B304" s="178"/>
      <c r="C304" s="183"/>
      <c r="D304" s="143"/>
      <c r="E304" s="143"/>
      <c r="F304" s="143"/>
      <c r="G304" s="146"/>
      <c r="H304" s="39"/>
      <c r="I304" s="194">
        <f t="shared" si="4"/>
        <v>658</v>
      </c>
      <c r="J304" s="207"/>
      <c r="K304" s="6"/>
      <c r="L304" s="6"/>
      <c r="M304" s="6"/>
      <c r="N304" s="6"/>
    </row>
    <row r="305" ht="15" customHeight="1" spans="1:14">
      <c r="A305" s="143"/>
      <c r="B305" s="178"/>
      <c r="C305" s="183"/>
      <c r="D305" s="143"/>
      <c r="E305" s="143"/>
      <c r="F305" s="143"/>
      <c r="G305" s="146"/>
      <c r="H305" s="39"/>
      <c r="I305" s="194">
        <f t="shared" si="4"/>
        <v>659</v>
      </c>
      <c r="J305" s="207"/>
      <c r="K305" s="6"/>
      <c r="L305" s="6"/>
      <c r="M305" s="6"/>
      <c r="N305" s="6"/>
    </row>
    <row r="306" ht="15" customHeight="1" spans="1:14">
      <c r="A306" s="143"/>
      <c r="B306" s="178"/>
      <c r="C306" s="183"/>
      <c r="D306" s="143"/>
      <c r="E306" s="143"/>
      <c r="F306" s="143"/>
      <c r="G306" s="146"/>
      <c r="H306" s="39"/>
      <c r="I306" s="194">
        <f t="shared" si="4"/>
        <v>660</v>
      </c>
      <c r="J306" s="207"/>
      <c r="K306" s="6"/>
      <c r="L306" s="6"/>
      <c r="M306" s="6"/>
      <c r="N306" s="6"/>
    </row>
    <row r="307" ht="15" customHeight="1" spans="1:14">
      <c r="A307" s="143"/>
      <c r="B307" s="178"/>
      <c r="C307" s="183"/>
      <c r="D307" s="143"/>
      <c r="E307" s="143"/>
      <c r="F307" s="143"/>
      <c r="G307" s="146"/>
      <c r="H307" s="39"/>
      <c r="I307" s="194">
        <f t="shared" si="4"/>
        <v>661</v>
      </c>
      <c r="J307" s="207"/>
      <c r="K307" s="6"/>
      <c r="L307" s="6"/>
      <c r="M307" s="6"/>
      <c r="N307" s="6"/>
    </row>
    <row r="308" ht="15" customHeight="1" spans="1:14">
      <c r="A308" s="143"/>
      <c r="B308" s="178"/>
      <c r="C308" s="183"/>
      <c r="D308" s="143"/>
      <c r="E308" s="143"/>
      <c r="F308" s="143"/>
      <c r="G308" s="146"/>
      <c r="H308" s="39"/>
      <c r="I308" s="194">
        <f t="shared" si="4"/>
        <v>662</v>
      </c>
      <c r="J308" s="207"/>
      <c r="K308" s="6"/>
      <c r="L308" s="6"/>
      <c r="M308" s="6"/>
      <c r="N308" s="6"/>
    </row>
    <row r="309" ht="15" customHeight="1" spans="1:14">
      <c r="A309" s="143"/>
      <c r="B309" s="178"/>
      <c r="C309" s="183"/>
      <c r="D309" s="143"/>
      <c r="E309" s="143"/>
      <c r="F309" s="143"/>
      <c r="G309" s="146"/>
      <c r="H309" s="39"/>
      <c r="I309" s="194">
        <f t="shared" si="4"/>
        <v>663</v>
      </c>
      <c r="J309" s="207"/>
      <c r="K309" s="6"/>
      <c r="L309" s="6"/>
      <c r="M309" s="6"/>
      <c r="N309" s="6"/>
    </row>
    <row r="310" ht="15" customHeight="1" spans="1:14">
      <c r="A310" s="143"/>
      <c r="B310" s="178"/>
      <c r="C310" s="183"/>
      <c r="D310" s="143"/>
      <c r="E310" s="143"/>
      <c r="F310" s="143"/>
      <c r="G310" s="146"/>
      <c r="H310" s="39"/>
      <c r="I310" s="194">
        <f t="shared" si="4"/>
        <v>664</v>
      </c>
      <c r="J310" s="207"/>
      <c r="K310" s="6"/>
      <c r="L310" s="6"/>
      <c r="M310" s="6"/>
      <c r="N310" s="6"/>
    </row>
    <row r="311" ht="15" customHeight="1" spans="1:14">
      <c r="A311" s="143"/>
      <c r="B311" s="178"/>
      <c r="C311" s="183"/>
      <c r="D311" s="143"/>
      <c r="E311" s="143"/>
      <c r="F311" s="143"/>
      <c r="G311" s="146"/>
      <c r="H311" s="39"/>
      <c r="I311" s="194">
        <f t="shared" si="4"/>
        <v>665</v>
      </c>
      <c r="J311" s="207"/>
      <c r="K311" s="6"/>
      <c r="L311" s="6"/>
      <c r="M311" s="6"/>
      <c r="N311" s="6"/>
    </row>
    <row r="312" ht="15" customHeight="1" spans="1:14">
      <c r="A312" s="143"/>
      <c r="B312" s="178"/>
      <c r="C312" s="183"/>
      <c r="D312" s="143"/>
      <c r="E312" s="143"/>
      <c r="F312" s="143"/>
      <c r="G312" s="146"/>
      <c r="H312" s="39"/>
      <c r="I312" s="194">
        <f t="shared" si="4"/>
        <v>666</v>
      </c>
      <c r="J312" s="207"/>
      <c r="K312" s="6"/>
      <c r="L312" s="6"/>
      <c r="M312" s="6"/>
      <c r="N312" s="6"/>
    </row>
    <row r="313" ht="15" customHeight="1" spans="1:14">
      <c r="A313" s="143"/>
      <c r="B313" s="178"/>
      <c r="C313" s="183"/>
      <c r="D313" s="143"/>
      <c r="E313" s="143"/>
      <c r="F313" s="143"/>
      <c r="G313" s="146"/>
      <c r="H313" s="39"/>
      <c r="I313" s="194">
        <f t="shared" si="4"/>
        <v>667</v>
      </c>
      <c r="J313" s="207"/>
      <c r="K313" s="6"/>
      <c r="L313" s="6"/>
      <c r="M313" s="6"/>
      <c r="N313" s="6"/>
    </row>
    <row r="314" ht="15" customHeight="1" spans="1:14">
      <c r="A314" s="143"/>
      <c r="B314" s="178"/>
      <c r="C314" s="183"/>
      <c r="D314" s="143"/>
      <c r="E314" s="143"/>
      <c r="F314" s="143"/>
      <c r="G314" s="146"/>
      <c r="H314" s="39"/>
      <c r="I314" s="194">
        <f t="shared" si="4"/>
        <v>668</v>
      </c>
      <c r="J314" s="207"/>
      <c r="K314" s="6"/>
      <c r="L314" s="6"/>
      <c r="M314" s="6"/>
      <c r="N314" s="6"/>
    </row>
    <row r="315" ht="15" customHeight="1" spans="1:14">
      <c r="A315" s="143"/>
      <c r="B315" s="178"/>
      <c r="C315" s="183"/>
      <c r="D315" s="143"/>
      <c r="E315" s="143"/>
      <c r="F315" s="143"/>
      <c r="G315" s="146"/>
      <c r="H315" s="39"/>
      <c r="I315" s="194">
        <f t="shared" si="4"/>
        <v>669</v>
      </c>
      <c r="J315" s="207"/>
      <c r="K315" s="6"/>
      <c r="L315" s="6"/>
      <c r="M315" s="6"/>
      <c r="N315" s="6"/>
    </row>
    <row r="316" ht="15" customHeight="1" spans="1:14">
      <c r="A316" s="143"/>
      <c r="B316" s="178"/>
      <c r="C316" s="183"/>
      <c r="D316" s="143"/>
      <c r="E316" s="143"/>
      <c r="F316" s="143"/>
      <c r="G316" s="146"/>
      <c r="H316" s="39"/>
      <c r="I316" s="194">
        <f t="shared" si="4"/>
        <v>670</v>
      </c>
      <c r="J316" s="207"/>
      <c r="K316" s="6"/>
      <c r="L316" s="6"/>
      <c r="M316" s="6"/>
      <c r="N316" s="6"/>
    </row>
    <row r="317" ht="15" customHeight="1" spans="1:14">
      <c r="A317" s="143"/>
      <c r="B317" s="178"/>
      <c r="C317" s="183"/>
      <c r="D317" s="143"/>
      <c r="E317" s="143"/>
      <c r="F317" s="143"/>
      <c r="G317" s="146"/>
      <c r="H317" s="39"/>
      <c r="I317" s="194">
        <f t="shared" si="4"/>
        <v>671</v>
      </c>
      <c r="J317" s="207"/>
      <c r="K317" s="6"/>
      <c r="L317" s="6"/>
      <c r="M317" s="6"/>
      <c r="N317" s="6"/>
    </row>
    <row r="318" ht="15" customHeight="1" spans="1:14">
      <c r="A318" s="143"/>
      <c r="B318" s="178"/>
      <c r="C318" s="183"/>
      <c r="D318" s="143"/>
      <c r="E318" s="143"/>
      <c r="F318" s="143"/>
      <c r="G318" s="146"/>
      <c r="H318" s="39"/>
      <c r="I318" s="194">
        <f t="shared" si="4"/>
        <v>672</v>
      </c>
      <c r="J318" s="207"/>
      <c r="K318" s="6"/>
      <c r="L318" s="6"/>
      <c r="M318" s="6"/>
      <c r="N318" s="6"/>
    </row>
    <row r="319" ht="15" customHeight="1" spans="1:14">
      <c r="A319" s="143"/>
      <c r="B319" s="178"/>
      <c r="C319" s="183"/>
      <c r="D319" s="143"/>
      <c r="E319" s="143"/>
      <c r="F319" s="143"/>
      <c r="G319" s="146"/>
      <c r="H319" s="39"/>
      <c r="I319" s="194">
        <f t="shared" si="4"/>
        <v>673</v>
      </c>
      <c r="J319" s="207"/>
      <c r="K319" s="6"/>
      <c r="L319" s="6"/>
      <c r="M319" s="6"/>
      <c r="N319" s="6"/>
    </row>
    <row r="320" ht="15" customHeight="1" spans="1:14">
      <c r="A320" s="143"/>
      <c r="B320" s="178"/>
      <c r="C320" s="183"/>
      <c r="D320" s="143"/>
      <c r="E320" s="143"/>
      <c r="F320" s="143"/>
      <c r="G320" s="146"/>
      <c r="H320" s="39"/>
      <c r="I320" s="194">
        <f t="shared" si="4"/>
        <v>674</v>
      </c>
      <c r="J320" s="207"/>
      <c r="K320" s="6"/>
      <c r="L320" s="6"/>
      <c r="M320" s="6"/>
      <c r="N320" s="6"/>
    </row>
    <row r="321" ht="15" customHeight="1" spans="1:14">
      <c r="A321" s="143"/>
      <c r="B321" s="178"/>
      <c r="C321" s="183"/>
      <c r="D321" s="143"/>
      <c r="E321" s="143"/>
      <c r="F321" s="143"/>
      <c r="G321" s="146"/>
      <c r="H321" s="39"/>
      <c r="I321" s="194">
        <f t="shared" si="4"/>
        <v>675</v>
      </c>
      <c r="J321" s="207"/>
      <c r="K321" s="6"/>
      <c r="L321" s="6"/>
      <c r="M321" s="6"/>
      <c r="N321" s="6"/>
    </row>
    <row r="322" ht="15" customHeight="1" spans="1:14">
      <c r="A322" s="143"/>
      <c r="B322" s="178"/>
      <c r="C322" s="183"/>
      <c r="D322" s="143"/>
      <c r="E322" s="143"/>
      <c r="F322" s="143"/>
      <c r="G322" s="146"/>
      <c r="H322" s="39"/>
      <c r="I322" s="194">
        <f t="shared" si="4"/>
        <v>676</v>
      </c>
      <c r="J322" s="207"/>
      <c r="K322" s="6"/>
      <c r="L322" s="6"/>
      <c r="M322" s="6"/>
      <c r="N322" s="6"/>
    </row>
    <row r="323" ht="15" customHeight="1" spans="1:14">
      <c r="A323" s="143"/>
      <c r="B323" s="178"/>
      <c r="C323" s="183"/>
      <c r="D323" s="143"/>
      <c r="E323" s="143"/>
      <c r="F323" s="143"/>
      <c r="G323" s="146"/>
      <c r="H323" s="39"/>
      <c r="I323" s="194">
        <f t="shared" si="4"/>
        <v>677</v>
      </c>
      <c r="J323" s="207"/>
      <c r="K323" s="6"/>
      <c r="L323" s="6"/>
      <c r="M323" s="6"/>
      <c r="N323" s="6"/>
    </row>
    <row r="324" ht="15" customHeight="1" spans="1:14">
      <c r="A324" s="143"/>
      <c r="B324" s="178"/>
      <c r="C324" s="183"/>
      <c r="D324" s="143"/>
      <c r="E324" s="143"/>
      <c r="F324" s="143"/>
      <c r="G324" s="146"/>
      <c r="H324" s="39"/>
      <c r="I324" s="194">
        <f t="shared" si="4"/>
        <v>678</v>
      </c>
      <c r="J324" s="207"/>
      <c r="K324" s="6"/>
      <c r="L324" s="6"/>
      <c r="M324" s="6"/>
      <c r="N324" s="6"/>
    </row>
    <row r="325" ht="15" customHeight="1" spans="1:14">
      <c r="A325" s="143"/>
      <c r="B325" s="178"/>
      <c r="C325" s="183"/>
      <c r="D325" s="143"/>
      <c r="E325" s="143"/>
      <c r="F325" s="143"/>
      <c r="G325" s="146"/>
      <c r="H325" s="39"/>
      <c r="I325" s="194">
        <f t="shared" si="4"/>
        <v>679</v>
      </c>
      <c r="J325" s="207"/>
      <c r="K325" s="6"/>
      <c r="L325" s="6"/>
      <c r="M325" s="6"/>
      <c r="N325" s="6"/>
    </row>
    <row r="326" ht="15" customHeight="1" spans="1:14">
      <c r="A326" s="143"/>
      <c r="B326" s="178"/>
      <c r="C326" s="183"/>
      <c r="D326" s="143"/>
      <c r="E326" s="143"/>
      <c r="F326" s="143"/>
      <c r="G326" s="146"/>
      <c r="H326" s="39"/>
      <c r="I326" s="194">
        <f t="shared" si="4"/>
        <v>680</v>
      </c>
      <c r="J326" s="207"/>
      <c r="K326" s="6"/>
      <c r="L326" s="6"/>
      <c r="M326" s="6"/>
      <c r="N326" s="6"/>
    </row>
    <row r="327" ht="15" customHeight="1" spans="1:14">
      <c r="A327" s="143"/>
      <c r="B327" s="178"/>
      <c r="C327" s="183"/>
      <c r="D327" s="143"/>
      <c r="E327" s="143"/>
      <c r="F327" s="143"/>
      <c r="G327" s="146"/>
      <c r="H327" s="39"/>
      <c r="I327" s="194">
        <f t="shared" si="4"/>
        <v>681</v>
      </c>
      <c r="J327" s="207"/>
      <c r="K327" s="6"/>
      <c r="L327" s="6"/>
      <c r="M327" s="6"/>
      <c r="N327" s="6"/>
    </row>
    <row r="328" ht="15" customHeight="1" spans="1:14">
      <c r="A328" s="143"/>
      <c r="B328" s="178"/>
      <c r="C328" s="183"/>
      <c r="D328" s="143"/>
      <c r="E328" s="143"/>
      <c r="F328" s="143"/>
      <c r="G328" s="146"/>
      <c r="H328" s="39"/>
      <c r="I328" s="194">
        <f t="shared" si="4"/>
        <v>682</v>
      </c>
      <c r="J328" s="207"/>
      <c r="K328" s="6"/>
      <c r="L328" s="6"/>
      <c r="M328" s="6"/>
      <c r="N328" s="6"/>
    </row>
    <row r="329" ht="15" customHeight="1" spans="1:14">
      <c r="A329" s="143"/>
      <c r="B329" s="178"/>
      <c r="C329" s="183"/>
      <c r="D329" s="143"/>
      <c r="E329" s="143"/>
      <c r="F329" s="143"/>
      <c r="G329" s="146"/>
      <c r="H329" s="39"/>
      <c r="I329" s="194">
        <f t="shared" si="4"/>
        <v>683</v>
      </c>
      <c r="J329" s="207"/>
      <c r="K329" s="6"/>
      <c r="L329" s="6"/>
      <c r="M329" s="6"/>
      <c r="N329" s="6"/>
    </row>
    <row r="330" ht="15" customHeight="1" spans="1:14">
      <c r="A330" s="143"/>
      <c r="B330" s="178"/>
      <c r="C330" s="183"/>
      <c r="D330" s="143"/>
      <c r="E330" s="143"/>
      <c r="F330" s="143"/>
      <c r="G330" s="146"/>
      <c r="H330" s="39"/>
      <c r="I330" s="194">
        <f t="shared" si="4"/>
        <v>684</v>
      </c>
      <c r="J330" s="207"/>
      <c r="K330" s="6"/>
      <c r="L330" s="6"/>
      <c r="M330" s="6"/>
      <c r="N330" s="6"/>
    </row>
    <row r="331" ht="15" customHeight="1" spans="1:14">
      <c r="A331" s="143"/>
      <c r="B331" s="178"/>
      <c r="C331" s="183"/>
      <c r="D331" s="143"/>
      <c r="E331" s="143"/>
      <c r="F331" s="143"/>
      <c r="G331" s="146"/>
      <c r="H331" s="39"/>
      <c r="I331" s="194">
        <f t="shared" si="4"/>
        <v>685</v>
      </c>
      <c r="J331" s="207"/>
      <c r="K331" s="6"/>
      <c r="L331" s="6"/>
      <c r="M331" s="6"/>
      <c r="N331" s="6"/>
    </row>
    <row r="332" ht="15" customHeight="1" spans="1:14">
      <c r="A332" s="143"/>
      <c r="B332" s="178"/>
      <c r="C332" s="183"/>
      <c r="D332" s="143"/>
      <c r="E332" s="143"/>
      <c r="F332" s="143"/>
      <c r="G332" s="146"/>
      <c r="H332" s="39"/>
      <c r="I332" s="194">
        <f t="shared" si="4"/>
        <v>686</v>
      </c>
      <c r="J332" s="207"/>
      <c r="K332" s="6"/>
      <c r="L332" s="6"/>
      <c r="M332" s="6"/>
      <c r="N332" s="6"/>
    </row>
    <row r="333" ht="15" customHeight="1" spans="1:14">
      <c r="A333" s="143"/>
      <c r="B333" s="178"/>
      <c r="C333" s="183"/>
      <c r="D333" s="143"/>
      <c r="E333" s="143"/>
      <c r="F333" s="143"/>
      <c r="G333" s="146"/>
      <c r="H333" s="39"/>
      <c r="I333" s="194">
        <f t="shared" si="4"/>
        <v>687</v>
      </c>
      <c r="J333" s="207"/>
      <c r="K333" s="6"/>
      <c r="L333" s="6"/>
      <c r="M333" s="6"/>
      <c r="N333" s="6"/>
    </row>
    <row r="334" ht="15" customHeight="1" spans="1:14">
      <c r="A334" s="143"/>
      <c r="B334" s="178"/>
      <c r="C334" s="183"/>
      <c r="D334" s="143"/>
      <c r="E334" s="143"/>
      <c r="F334" s="143"/>
      <c r="G334" s="146"/>
      <c r="H334" s="39"/>
      <c r="I334" s="194">
        <f t="shared" si="4"/>
        <v>688</v>
      </c>
      <c r="J334" s="207"/>
      <c r="K334" s="6"/>
      <c r="L334" s="6"/>
      <c r="M334" s="6"/>
      <c r="N334" s="6"/>
    </row>
    <row r="335" ht="15" customHeight="1" spans="1:14">
      <c r="A335" s="143"/>
      <c r="B335" s="178"/>
      <c r="C335" s="183"/>
      <c r="D335" s="143"/>
      <c r="E335" s="143"/>
      <c r="F335" s="143"/>
      <c r="G335" s="146"/>
      <c r="H335" s="39"/>
      <c r="I335" s="194">
        <f t="shared" si="4"/>
        <v>689</v>
      </c>
      <c r="J335" s="207"/>
      <c r="K335" s="6"/>
      <c r="L335" s="6"/>
      <c r="M335" s="6"/>
      <c r="N335" s="6"/>
    </row>
    <row r="336" ht="15" customHeight="1" spans="1:14">
      <c r="A336" s="143"/>
      <c r="B336" s="178"/>
      <c r="C336" s="183"/>
      <c r="D336" s="143"/>
      <c r="E336" s="143"/>
      <c r="F336" s="143"/>
      <c r="G336" s="146"/>
      <c r="H336" s="39"/>
      <c r="I336" s="194">
        <f t="shared" si="4"/>
        <v>690</v>
      </c>
      <c r="J336" s="207"/>
      <c r="K336" s="6"/>
      <c r="L336" s="6"/>
      <c r="M336" s="6"/>
      <c r="N336" s="6"/>
    </row>
    <row r="337" ht="15" customHeight="1" spans="1:14">
      <c r="A337" s="143"/>
      <c r="B337" s="178"/>
      <c r="C337" s="183"/>
      <c r="D337" s="143"/>
      <c r="E337" s="143"/>
      <c r="F337" s="143"/>
      <c r="G337" s="146"/>
      <c r="H337" s="39"/>
      <c r="I337" s="194">
        <f t="shared" si="4"/>
        <v>691</v>
      </c>
      <c r="J337" s="207"/>
      <c r="K337" s="6"/>
      <c r="L337" s="6"/>
      <c r="M337" s="6"/>
      <c r="N337" s="6"/>
    </row>
    <row r="338" ht="15" customHeight="1" spans="1:14">
      <c r="A338" s="143"/>
      <c r="B338" s="178"/>
      <c r="C338" s="183"/>
      <c r="D338" s="143"/>
      <c r="E338" s="143"/>
      <c r="F338" s="143"/>
      <c r="G338" s="146"/>
      <c r="H338" s="39"/>
      <c r="I338" s="194">
        <f t="shared" si="4"/>
        <v>692</v>
      </c>
      <c r="J338" s="207"/>
      <c r="K338" s="6"/>
      <c r="L338" s="6"/>
      <c r="M338" s="6"/>
      <c r="N338" s="6"/>
    </row>
    <row r="339" ht="15" customHeight="1" spans="1:14">
      <c r="A339" s="143"/>
      <c r="B339" s="178"/>
      <c r="C339" s="183"/>
      <c r="D339" s="143"/>
      <c r="E339" s="143"/>
      <c r="F339" s="143"/>
      <c r="G339" s="146"/>
      <c r="H339" s="39"/>
      <c r="I339" s="194">
        <f t="shared" si="4"/>
        <v>693</v>
      </c>
      <c r="J339" s="207"/>
      <c r="K339" s="6"/>
      <c r="L339" s="6"/>
      <c r="M339" s="6"/>
      <c r="N339" s="6"/>
    </row>
    <row r="340" ht="15" customHeight="1" spans="1:14">
      <c r="A340" s="143"/>
      <c r="B340" s="178"/>
      <c r="C340" s="183"/>
      <c r="D340" s="143"/>
      <c r="E340" s="143"/>
      <c r="F340" s="143"/>
      <c r="G340" s="146"/>
      <c r="H340" s="39"/>
      <c r="I340" s="194">
        <f t="shared" si="4"/>
        <v>694</v>
      </c>
      <c r="J340" s="207"/>
      <c r="K340" s="6"/>
      <c r="L340" s="6"/>
      <c r="M340" s="6"/>
      <c r="N340" s="6"/>
    </row>
    <row r="341" ht="15" customHeight="1" spans="1:14">
      <c r="A341" s="143"/>
      <c r="B341" s="178"/>
      <c r="C341" s="183"/>
      <c r="D341" s="143"/>
      <c r="E341" s="143"/>
      <c r="F341" s="143"/>
      <c r="G341" s="146"/>
      <c r="H341" s="39"/>
      <c r="I341" s="194">
        <f t="shared" si="4"/>
        <v>695</v>
      </c>
      <c r="J341" s="207"/>
      <c r="K341" s="6"/>
      <c r="L341" s="6"/>
      <c r="M341" s="6"/>
      <c r="N341" s="6"/>
    </row>
    <row r="342" ht="15" customHeight="1" spans="1:14">
      <c r="A342" s="143"/>
      <c r="B342" s="178"/>
      <c r="C342" s="183"/>
      <c r="D342" s="143"/>
      <c r="E342" s="143"/>
      <c r="F342" s="143"/>
      <c r="G342" s="146"/>
      <c r="H342" s="39"/>
      <c r="I342" s="194">
        <f t="shared" si="4"/>
        <v>696</v>
      </c>
      <c r="J342" s="207"/>
      <c r="K342" s="6"/>
      <c r="L342" s="6"/>
      <c r="M342" s="6"/>
      <c r="N342" s="6"/>
    </row>
    <row r="343" ht="15" customHeight="1" spans="1:14">
      <c r="A343" s="143"/>
      <c r="B343" s="178"/>
      <c r="C343" s="183"/>
      <c r="D343" s="143"/>
      <c r="E343" s="143"/>
      <c r="F343" s="143"/>
      <c r="G343" s="146"/>
      <c r="H343" s="39"/>
      <c r="I343" s="194">
        <f t="shared" si="4"/>
        <v>697</v>
      </c>
      <c r="J343" s="207"/>
      <c r="K343" s="6"/>
      <c r="L343" s="6"/>
      <c r="M343" s="6"/>
      <c r="N343" s="6"/>
    </row>
    <row r="344" ht="15" customHeight="1" spans="1:14">
      <c r="A344" s="143"/>
      <c r="B344" s="178"/>
      <c r="C344" s="183"/>
      <c r="D344" s="143"/>
      <c r="E344" s="143"/>
      <c r="F344" s="143"/>
      <c r="G344" s="146"/>
      <c r="H344" s="39"/>
      <c r="I344" s="194">
        <f t="shared" si="4"/>
        <v>698</v>
      </c>
      <c r="J344" s="207"/>
      <c r="K344" s="6"/>
      <c r="L344" s="6"/>
      <c r="M344" s="6"/>
      <c r="N344" s="6"/>
    </row>
    <row r="345" ht="15" customHeight="1" spans="1:14">
      <c r="A345" s="143"/>
      <c r="B345" s="178"/>
      <c r="C345" s="183"/>
      <c r="D345" s="143"/>
      <c r="E345" s="143"/>
      <c r="F345" s="143"/>
      <c r="G345" s="146"/>
      <c r="H345" s="39"/>
      <c r="I345" s="194">
        <f t="shared" si="4"/>
        <v>699</v>
      </c>
      <c r="J345" s="207"/>
      <c r="K345" s="6"/>
      <c r="L345" s="6"/>
      <c r="M345" s="6"/>
      <c r="N345" s="6"/>
    </row>
    <row r="346" ht="15" customHeight="1" spans="1:14">
      <c r="A346" s="143"/>
      <c r="B346" s="178"/>
      <c r="C346" s="183"/>
      <c r="D346" s="143"/>
      <c r="E346" s="143"/>
      <c r="F346" s="143"/>
      <c r="G346" s="146"/>
      <c r="H346" s="39"/>
      <c r="I346" s="194">
        <f t="shared" ref="I346:I409" si="5">IF(380+J$22*(ROW()-ROW(I$25)-1)&gt;780,"",380+J$22*(ROW()-ROW(I$25)-1))</f>
        <v>700</v>
      </c>
      <c r="J346" s="207"/>
      <c r="K346" s="6"/>
      <c r="L346" s="6"/>
      <c r="M346" s="6"/>
      <c r="N346" s="6"/>
    </row>
    <row r="347" ht="15" customHeight="1" spans="1:14">
      <c r="A347" s="143"/>
      <c r="B347" s="178"/>
      <c r="C347" s="183"/>
      <c r="D347" s="143"/>
      <c r="E347" s="143"/>
      <c r="F347" s="143"/>
      <c r="G347" s="146"/>
      <c r="H347" s="39"/>
      <c r="I347" s="194">
        <f t="shared" si="5"/>
        <v>701</v>
      </c>
      <c r="J347" s="207"/>
      <c r="K347" s="6"/>
      <c r="L347" s="6"/>
      <c r="M347" s="6"/>
      <c r="N347" s="6"/>
    </row>
    <row r="348" ht="15" customHeight="1" spans="1:14">
      <c r="A348" s="143"/>
      <c r="B348" s="178"/>
      <c r="C348" s="183"/>
      <c r="D348" s="143"/>
      <c r="E348" s="143"/>
      <c r="F348" s="143"/>
      <c r="G348" s="146"/>
      <c r="H348" s="39"/>
      <c r="I348" s="194">
        <f t="shared" si="5"/>
        <v>702</v>
      </c>
      <c r="J348" s="207"/>
      <c r="K348" s="6"/>
      <c r="L348" s="6"/>
      <c r="M348" s="6"/>
      <c r="N348" s="6"/>
    </row>
    <row r="349" ht="15" customHeight="1" spans="1:14">
      <c r="A349" s="143"/>
      <c r="B349" s="178"/>
      <c r="C349" s="183"/>
      <c r="D349" s="143"/>
      <c r="E349" s="143"/>
      <c r="F349" s="143"/>
      <c r="G349" s="146"/>
      <c r="H349" s="39"/>
      <c r="I349" s="194">
        <f t="shared" si="5"/>
        <v>703</v>
      </c>
      <c r="J349" s="207"/>
      <c r="K349" s="6"/>
      <c r="L349" s="6"/>
      <c r="M349" s="6"/>
      <c r="N349" s="6"/>
    </row>
    <row r="350" ht="15" customHeight="1" spans="1:14">
      <c r="A350" s="143"/>
      <c r="B350" s="178"/>
      <c r="C350" s="183"/>
      <c r="D350" s="143"/>
      <c r="E350" s="143"/>
      <c r="F350" s="143"/>
      <c r="G350" s="146"/>
      <c r="H350" s="39"/>
      <c r="I350" s="194">
        <f t="shared" si="5"/>
        <v>704</v>
      </c>
      <c r="J350" s="207"/>
      <c r="K350" s="6"/>
      <c r="L350" s="6"/>
      <c r="M350" s="6"/>
      <c r="N350" s="6"/>
    </row>
    <row r="351" ht="15" customHeight="1" spans="1:14">
      <c r="A351" s="143"/>
      <c r="B351" s="178"/>
      <c r="C351" s="183"/>
      <c r="D351" s="143"/>
      <c r="E351" s="143"/>
      <c r="F351" s="143"/>
      <c r="G351" s="146"/>
      <c r="H351" s="39"/>
      <c r="I351" s="194">
        <f t="shared" si="5"/>
        <v>705</v>
      </c>
      <c r="J351" s="207"/>
      <c r="K351" s="6"/>
      <c r="L351" s="6"/>
      <c r="M351" s="6"/>
      <c r="N351" s="6"/>
    </row>
    <row r="352" ht="15" customHeight="1" spans="1:14">
      <c r="A352" s="143"/>
      <c r="B352" s="178"/>
      <c r="C352" s="183"/>
      <c r="D352" s="143"/>
      <c r="E352" s="143"/>
      <c r="F352" s="143"/>
      <c r="G352" s="146"/>
      <c r="H352" s="39"/>
      <c r="I352" s="194">
        <f t="shared" si="5"/>
        <v>706</v>
      </c>
      <c r="J352" s="207"/>
      <c r="K352" s="6"/>
      <c r="L352" s="6"/>
      <c r="M352" s="6"/>
      <c r="N352" s="6"/>
    </row>
    <row r="353" ht="15" customHeight="1" spans="1:14">
      <c r="A353" s="143"/>
      <c r="B353" s="178"/>
      <c r="C353" s="183"/>
      <c r="D353" s="143"/>
      <c r="E353" s="143"/>
      <c r="F353" s="143"/>
      <c r="G353" s="146"/>
      <c r="H353" s="39"/>
      <c r="I353" s="194">
        <f t="shared" si="5"/>
        <v>707</v>
      </c>
      <c r="J353" s="207"/>
      <c r="K353" s="6"/>
      <c r="L353" s="6"/>
      <c r="M353" s="6"/>
      <c r="N353" s="6"/>
    </row>
    <row r="354" ht="15" customHeight="1" spans="1:14">
      <c r="A354" s="143"/>
      <c r="B354" s="178"/>
      <c r="C354" s="183"/>
      <c r="D354" s="143"/>
      <c r="E354" s="143"/>
      <c r="F354" s="143"/>
      <c r="G354" s="146"/>
      <c r="H354" s="39"/>
      <c r="I354" s="194">
        <f t="shared" si="5"/>
        <v>708</v>
      </c>
      <c r="J354" s="207"/>
      <c r="K354" s="6"/>
      <c r="L354" s="6"/>
      <c r="M354" s="6"/>
      <c r="N354" s="6"/>
    </row>
    <row r="355" ht="15" customHeight="1" spans="1:14">
      <c r="A355" s="143"/>
      <c r="B355" s="178"/>
      <c r="C355" s="183"/>
      <c r="D355" s="143"/>
      <c r="E355" s="143"/>
      <c r="F355" s="143"/>
      <c r="G355" s="146"/>
      <c r="H355" s="39"/>
      <c r="I355" s="194">
        <f t="shared" si="5"/>
        <v>709</v>
      </c>
      <c r="J355" s="207"/>
      <c r="K355" s="6"/>
      <c r="L355" s="6"/>
      <c r="M355" s="6"/>
      <c r="N355" s="6"/>
    </row>
    <row r="356" ht="15" customHeight="1" spans="1:14">
      <c r="A356" s="143"/>
      <c r="B356" s="178"/>
      <c r="C356" s="183"/>
      <c r="D356" s="143"/>
      <c r="E356" s="143"/>
      <c r="F356" s="143"/>
      <c r="G356" s="146"/>
      <c r="H356" s="39"/>
      <c r="I356" s="194">
        <f t="shared" si="5"/>
        <v>710</v>
      </c>
      <c r="J356" s="207"/>
      <c r="K356" s="6"/>
      <c r="L356" s="6"/>
      <c r="M356" s="6"/>
      <c r="N356" s="6"/>
    </row>
    <row r="357" ht="15" customHeight="1" spans="1:14">
      <c r="A357" s="143"/>
      <c r="B357" s="178"/>
      <c r="C357" s="183"/>
      <c r="D357" s="143"/>
      <c r="E357" s="143"/>
      <c r="F357" s="143"/>
      <c r="G357" s="146"/>
      <c r="H357" s="39"/>
      <c r="I357" s="194">
        <f t="shared" si="5"/>
        <v>711</v>
      </c>
      <c r="J357" s="207"/>
      <c r="K357" s="6"/>
      <c r="L357" s="6"/>
      <c r="M357" s="6"/>
      <c r="N357" s="6"/>
    </row>
    <row r="358" ht="15" customHeight="1" spans="1:14">
      <c r="A358" s="143"/>
      <c r="B358" s="178"/>
      <c r="C358" s="183"/>
      <c r="D358" s="143"/>
      <c r="E358" s="143"/>
      <c r="F358" s="143"/>
      <c r="G358" s="146"/>
      <c r="H358" s="39"/>
      <c r="I358" s="194">
        <f t="shared" si="5"/>
        <v>712</v>
      </c>
      <c r="J358" s="207"/>
      <c r="K358" s="6"/>
      <c r="L358" s="6"/>
      <c r="M358" s="6"/>
      <c r="N358" s="6"/>
    </row>
    <row r="359" ht="15" customHeight="1" spans="1:14">
      <c r="A359" s="143"/>
      <c r="B359" s="178"/>
      <c r="C359" s="183"/>
      <c r="D359" s="143"/>
      <c r="E359" s="143"/>
      <c r="F359" s="143"/>
      <c r="G359" s="146"/>
      <c r="H359" s="39"/>
      <c r="I359" s="194">
        <f t="shared" si="5"/>
        <v>713</v>
      </c>
      <c r="J359" s="207"/>
      <c r="K359" s="6"/>
      <c r="L359" s="6"/>
      <c r="M359" s="6"/>
      <c r="N359" s="6"/>
    </row>
    <row r="360" ht="15" customHeight="1" spans="1:14">
      <c r="A360" s="143"/>
      <c r="B360" s="178"/>
      <c r="C360" s="183"/>
      <c r="D360" s="143"/>
      <c r="E360" s="143"/>
      <c r="F360" s="143"/>
      <c r="G360" s="146"/>
      <c r="H360" s="39"/>
      <c r="I360" s="194">
        <f t="shared" si="5"/>
        <v>714</v>
      </c>
      <c r="J360" s="207"/>
      <c r="K360" s="6"/>
      <c r="L360" s="6"/>
      <c r="M360" s="6"/>
      <c r="N360" s="6"/>
    </row>
    <row r="361" ht="15" customHeight="1" spans="1:14">
      <c r="A361" s="143"/>
      <c r="B361" s="178"/>
      <c r="C361" s="183"/>
      <c r="D361" s="143"/>
      <c r="E361" s="143"/>
      <c r="F361" s="143"/>
      <c r="G361" s="146"/>
      <c r="H361" s="39"/>
      <c r="I361" s="194">
        <f t="shared" si="5"/>
        <v>715</v>
      </c>
      <c r="J361" s="207"/>
      <c r="K361" s="6"/>
      <c r="L361" s="6"/>
      <c r="M361" s="6"/>
      <c r="N361" s="6"/>
    </row>
    <row r="362" ht="15" customHeight="1" spans="1:14">
      <c r="A362" s="143"/>
      <c r="B362" s="178"/>
      <c r="C362" s="183"/>
      <c r="D362" s="143"/>
      <c r="E362" s="143"/>
      <c r="F362" s="143"/>
      <c r="G362" s="146"/>
      <c r="H362" s="39"/>
      <c r="I362" s="194">
        <f t="shared" si="5"/>
        <v>716</v>
      </c>
      <c r="J362" s="207"/>
      <c r="K362" s="6"/>
      <c r="L362" s="6"/>
      <c r="M362" s="6"/>
      <c r="N362" s="6"/>
    </row>
    <row r="363" ht="15" customHeight="1" spans="1:14">
      <c r="A363" s="143"/>
      <c r="B363" s="178"/>
      <c r="C363" s="183"/>
      <c r="D363" s="143"/>
      <c r="E363" s="143"/>
      <c r="F363" s="143"/>
      <c r="G363" s="146"/>
      <c r="H363" s="39"/>
      <c r="I363" s="194">
        <f t="shared" si="5"/>
        <v>717</v>
      </c>
      <c r="J363" s="207"/>
      <c r="K363" s="6"/>
      <c r="L363" s="6"/>
      <c r="M363" s="6"/>
      <c r="N363" s="6"/>
    </row>
    <row r="364" ht="15" customHeight="1" spans="1:14">
      <c r="A364" s="143"/>
      <c r="B364" s="178"/>
      <c r="C364" s="183"/>
      <c r="D364" s="143"/>
      <c r="E364" s="143"/>
      <c r="F364" s="143"/>
      <c r="G364" s="146"/>
      <c r="H364" s="39"/>
      <c r="I364" s="194">
        <f t="shared" si="5"/>
        <v>718</v>
      </c>
      <c r="J364" s="207"/>
      <c r="K364" s="6"/>
      <c r="L364" s="6"/>
      <c r="M364" s="6"/>
      <c r="N364" s="6"/>
    </row>
    <row r="365" ht="15" customHeight="1" spans="1:14">
      <c r="A365" s="143"/>
      <c r="B365" s="178"/>
      <c r="C365" s="183"/>
      <c r="D365" s="143"/>
      <c r="E365" s="143"/>
      <c r="F365" s="143"/>
      <c r="G365" s="146"/>
      <c r="H365" s="39"/>
      <c r="I365" s="194">
        <f t="shared" si="5"/>
        <v>719</v>
      </c>
      <c r="J365" s="207"/>
      <c r="K365" s="6"/>
      <c r="L365" s="6"/>
      <c r="M365" s="6"/>
      <c r="N365" s="6"/>
    </row>
    <row r="366" ht="15" customHeight="1" spans="1:14">
      <c r="A366" s="143"/>
      <c r="B366" s="178"/>
      <c r="C366" s="183"/>
      <c r="D366" s="143"/>
      <c r="E366" s="143"/>
      <c r="F366" s="143"/>
      <c r="G366" s="146"/>
      <c r="H366" s="39"/>
      <c r="I366" s="194">
        <f t="shared" si="5"/>
        <v>720</v>
      </c>
      <c r="J366" s="207"/>
      <c r="K366" s="6"/>
      <c r="L366" s="6"/>
      <c r="M366" s="6"/>
      <c r="N366" s="6"/>
    </row>
    <row r="367" ht="15" customHeight="1" spans="1:14">
      <c r="A367" s="143"/>
      <c r="B367" s="178"/>
      <c r="C367" s="183"/>
      <c r="D367" s="143"/>
      <c r="E367" s="143"/>
      <c r="F367" s="143"/>
      <c r="G367" s="146"/>
      <c r="H367" s="39"/>
      <c r="I367" s="194">
        <f t="shared" si="5"/>
        <v>721</v>
      </c>
      <c r="J367" s="207"/>
      <c r="K367" s="6"/>
      <c r="L367" s="6"/>
      <c r="M367" s="6"/>
      <c r="N367" s="6"/>
    </row>
    <row r="368" ht="15" customHeight="1" spans="1:14">
      <c r="A368" s="143"/>
      <c r="B368" s="178"/>
      <c r="C368" s="183"/>
      <c r="D368" s="143"/>
      <c r="E368" s="143"/>
      <c r="F368" s="143"/>
      <c r="G368" s="146"/>
      <c r="H368" s="39"/>
      <c r="I368" s="194">
        <f t="shared" si="5"/>
        <v>722</v>
      </c>
      <c r="J368" s="207"/>
      <c r="K368" s="6"/>
      <c r="L368" s="6"/>
      <c r="M368" s="6"/>
      <c r="N368" s="6"/>
    </row>
    <row r="369" ht="15" customHeight="1" spans="1:14">
      <c r="A369" s="143"/>
      <c r="B369" s="178"/>
      <c r="C369" s="183"/>
      <c r="D369" s="143"/>
      <c r="E369" s="143"/>
      <c r="F369" s="143"/>
      <c r="G369" s="146"/>
      <c r="H369" s="39"/>
      <c r="I369" s="194">
        <f t="shared" si="5"/>
        <v>723</v>
      </c>
      <c r="J369" s="207"/>
      <c r="K369" s="6"/>
      <c r="L369" s="6"/>
      <c r="M369" s="6"/>
      <c r="N369" s="6"/>
    </row>
    <row r="370" ht="15" customHeight="1" spans="1:14">
      <c r="A370" s="143"/>
      <c r="B370" s="178"/>
      <c r="C370" s="183"/>
      <c r="D370" s="143"/>
      <c r="E370" s="143"/>
      <c r="F370" s="143"/>
      <c r="G370" s="146"/>
      <c r="H370" s="39"/>
      <c r="I370" s="194">
        <f t="shared" si="5"/>
        <v>724</v>
      </c>
      <c r="J370" s="207"/>
      <c r="K370" s="6"/>
      <c r="L370" s="6"/>
      <c r="M370" s="6"/>
      <c r="N370" s="6"/>
    </row>
    <row r="371" ht="15" customHeight="1" spans="1:14">
      <c r="A371" s="143"/>
      <c r="B371" s="178"/>
      <c r="C371" s="183"/>
      <c r="D371" s="143"/>
      <c r="E371" s="143"/>
      <c r="F371" s="143"/>
      <c r="G371" s="146"/>
      <c r="H371" s="39"/>
      <c r="I371" s="194">
        <f t="shared" si="5"/>
        <v>725</v>
      </c>
      <c r="J371" s="207"/>
      <c r="K371" s="6"/>
      <c r="L371" s="6"/>
      <c r="M371" s="6"/>
      <c r="N371" s="6"/>
    </row>
    <row r="372" ht="15" customHeight="1" spans="1:14">
      <c r="A372" s="143"/>
      <c r="B372" s="178"/>
      <c r="C372" s="183"/>
      <c r="D372" s="143"/>
      <c r="E372" s="143"/>
      <c r="F372" s="143"/>
      <c r="G372" s="146"/>
      <c r="H372" s="39"/>
      <c r="I372" s="194">
        <f t="shared" si="5"/>
        <v>726</v>
      </c>
      <c r="J372" s="207"/>
      <c r="K372" s="6"/>
      <c r="L372" s="6"/>
      <c r="M372" s="6"/>
      <c r="N372" s="6"/>
    </row>
    <row r="373" ht="15" customHeight="1" spans="1:14">
      <c r="A373" s="143"/>
      <c r="B373" s="178"/>
      <c r="C373" s="183"/>
      <c r="D373" s="143"/>
      <c r="E373" s="143"/>
      <c r="F373" s="143"/>
      <c r="G373" s="146"/>
      <c r="H373" s="39"/>
      <c r="I373" s="194">
        <f t="shared" si="5"/>
        <v>727</v>
      </c>
      <c r="J373" s="207"/>
      <c r="K373" s="6"/>
      <c r="L373" s="6"/>
      <c r="M373" s="6"/>
      <c r="N373" s="6"/>
    </row>
    <row r="374" ht="15" customHeight="1" spans="1:14">
      <c r="A374" s="143"/>
      <c r="B374" s="178"/>
      <c r="C374" s="183"/>
      <c r="D374" s="143"/>
      <c r="E374" s="143"/>
      <c r="F374" s="143"/>
      <c r="G374" s="146"/>
      <c r="H374" s="39"/>
      <c r="I374" s="194">
        <f t="shared" si="5"/>
        <v>728</v>
      </c>
      <c r="J374" s="207"/>
      <c r="K374" s="6"/>
      <c r="L374" s="6"/>
      <c r="M374" s="6"/>
      <c r="N374" s="6"/>
    </row>
    <row r="375" ht="15" customHeight="1" spans="1:14">
      <c r="A375" s="143"/>
      <c r="B375" s="178"/>
      <c r="C375" s="183"/>
      <c r="D375" s="143"/>
      <c r="E375" s="143"/>
      <c r="F375" s="143"/>
      <c r="G375" s="146"/>
      <c r="H375" s="39"/>
      <c r="I375" s="194">
        <f t="shared" si="5"/>
        <v>729</v>
      </c>
      <c r="J375" s="207"/>
      <c r="K375" s="6"/>
      <c r="L375" s="6"/>
      <c r="M375" s="6"/>
      <c r="N375" s="6"/>
    </row>
    <row r="376" ht="15" customHeight="1" spans="1:14">
      <c r="A376" s="143"/>
      <c r="B376" s="178"/>
      <c r="C376" s="183"/>
      <c r="D376" s="143"/>
      <c r="E376" s="143"/>
      <c r="F376" s="143"/>
      <c r="G376" s="146"/>
      <c r="H376" s="39"/>
      <c r="I376" s="194">
        <f t="shared" si="5"/>
        <v>730</v>
      </c>
      <c r="J376" s="207"/>
      <c r="K376" s="6"/>
      <c r="L376" s="6"/>
      <c r="M376" s="6"/>
      <c r="N376" s="6"/>
    </row>
    <row r="377" ht="15" customHeight="1" spans="1:14">
      <c r="A377" s="143"/>
      <c r="B377" s="178"/>
      <c r="C377" s="183"/>
      <c r="D377" s="143"/>
      <c r="E377" s="143"/>
      <c r="F377" s="143"/>
      <c r="G377" s="146"/>
      <c r="H377" s="39"/>
      <c r="I377" s="194">
        <f t="shared" si="5"/>
        <v>731</v>
      </c>
      <c r="J377" s="207"/>
      <c r="K377" s="6"/>
      <c r="L377" s="6"/>
      <c r="M377" s="6"/>
      <c r="N377" s="6"/>
    </row>
    <row r="378" ht="15" customHeight="1" spans="1:14">
      <c r="A378" s="143"/>
      <c r="B378" s="178"/>
      <c r="C378" s="183"/>
      <c r="D378" s="143"/>
      <c r="E378" s="143"/>
      <c r="F378" s="143"/>
      <c r="G378" s="146"/>
      <c r="H378" s="39"/>
      <c r="I378" s="194">
        <f t="shared" si="5"/>
        <v>732</v>
      </c>
      <c r="J378" s="207"/>
      <c r="K378" s="6"/>
      <c r="L378" s="6"/>
      <c r="M378" s="6"/>
      <c r="N378" s="6"/>
    </row>
    <row r="379" ht="15" customHeight="1" spans="1:14">
      <c r="A379" s="143"/>
      <c r="B379" s="178"/>
      <c r="C379" s="183"/>
      <c r="D379" s="143"/>
      <c r="E379" s="143"/>
      <c r="F379" s="143"/>
      <c r="G379" s="146"/>
      <c r="H379" s="39"/>
      <c r="I379" s="194">
        <f t="shared" si="5"/>
        <v>733</v>
      </c>
      <c r="J379" s="207"/>
      <c r="K379" s="6"/>
      <c r="L379" s="6"/>
      <c r="M379" s="6"/>
      <c r="N379" s="6"/>
    </row>
    <row r="380" ht="15" customHeight="1" spans="1:14">
      <c r="A380" s="143"/>
      <c r="B380" s="178"/>
      <c r="C380" s="183"/>
      <c r="D380" s="143"/>
      <c r="E380" s="143"/>
      <c r="F380" s="143"/>
      <c r="G380" s="146"/>
      <c r="H380" s="39"/>
      <c r="I380" s="194">
        <f t="shared" si="5"/>
        <v>734</v>
      </c>
      <c r="J380" s="207"/>
      <c r="K380" s="6"/>
      <c r="L380" s="6"/>
      <c r="M380" s="6"/>
      <c r="N380" s="6"/>
    </row>
    <row r="381" ht="15" customHeight="1" spans="1:14">
      <c r="A381" s="143"/>
      <c r="B381" s="178"/>
      <c r="C381" s="183"/>
      <c r="D381" s="143"/>
      <c r="E381" s="143"/>
      <c r="F381" s="143"/>
      <c r="G381" s="146"/>
      <c r="H381" s="39"/>
      <c r="I381" s="194">
        <f t="shared" si="5"/>
        <v>735</v>
      </c>
      <c r="J381" s="207"/>
      <c r="K381" s="6"/>
      <c r="L381" s="6"/>
      <c r="M381" s="6"/>
      <c r="N381" s="6"/>
    </row>
    <row r="382" ht="15" customHeight="1" spans="1:14">
      <c r="A382" s="143"/>
      <c r="B382" s="178"/>
      <c r="C382" s="183"/>
      <c r="D382" s="143"/>
      <c r="E382" s="143"/>
      <c r="F382" s="143"/>
      <c r="G382" s="146"/>
      <c r="H382" s="39"/>
      <c r="I382" s="194">
        <f t="shared" si="5"/>
        <v>736</v>
      </c>
      <c r="J382" s="207"/>
      <c r="K382" s="6"/>
      <c r="L382" s="6"/>
      <c r="M382" s="6"/>
      <c r="N382" s="6"/>
    </row>
    <row r="383" ht="15" customHeight="1" spans="1:14">
      <c r="A383" s="143"/>
      <c r="B383" s="178"/>
      <c r="C383" s="183"/>
      <c r="D383" s="143"/>
      <c r="E383" s="143"/>
      <c r="F383" s="143"/>
      <c r="G383" s="146"/>
      <c r="H383" s="39"/>
      <c r="I383" s="194">
        <f t="shared" si="5"/>
        <v>737</v>
      </c>
      <c r="J383" s="207"/>
      <c r="K383" s="6"/>
      <c r="L383" s="6"/>
      <c r="M383" s="6"/>
      <c r="N383" s="6"/>
    </row>
    <row r="384" ht="15" customHeight="1" spans="1:14">
      <c r="A384" s="143"/>
      <c r="B384" s="178"/>
      <c r="C384" s="183"/>
      <c r="D384" s="143"/>
      <c r="E384" s="143"/>
      <c r="F384" s="143"/>
      <c r="G384" s="146"/>
      <c r="H384" s="39"/>
      <c r="I384" s="194">
        <f t="shared" si="5"/>
        <v>738</v>
      </c>
      <c r="J384" s="207"/>
      <c r="K384" s="6"/>
      <c r="L384" s="6"/>
      <c r="M384" s="6"/>
      <c r="N384" s="6"/>
    </row>
    <row r="385" ht="15" customHeight="1" spans="1:14">
      <c r="A385" s="143"/>
      <c r="B385" s="178"/>
      <c r="C385" s="183"/>
      <c r="D385" s="143"/>
      <c r="E385" s="143"/>
      <c r="F385" s="143"/>
      <c r="G385" s="146"/>
      <c r="H385" s="39"/>
      <c r="I385" s="194">
        <f t="shared" si="5"/>
        <v>739</v>
      </c>
      <c r="J385" s="207"/>
      <c r="K385" s="6"/>
      <c r="L385" s="6"/>
      <c r="M385" s="6"/>
      <c r="N385" s="6"/>
    </row>
    <row r="386" ht="15" customHeight="1" spans="1:14">
      <c r="A386" s="143"/>
      <c r="B386" s="178"/>
      <c r="C386" s="183"/>
      <c r="D386" s="143"/>
      <c r="E386" s="143"/>
      <c r="F386" s="143"/>
      <c r="G386" s="146"/>
      <c r="H386" s="39"/>
      <c r="I386" s="194">
        <f t="shared" si="5"/>
        <v>740</v>
      </c>
      <c r="J386" s="207"/>
      <c r="K386" s="6"/>
      <c r="L386" s="6"/>
      <c r="M386" s="6"/>
      <c r="N386" s="6"/>
    </row>
    <row r="387" ht="15" customHeight="1" spans="1:14">
      <c r="A387" s="143"/>
      <c r="B387" s="178"/>
      <c r="C387" s="183"/>
      <c r="D387" s="143"/>
      <c r="E387" s="143"/>
      <c r="F387" s="143"/>
      <c r="G387" s="146"/>
      <c r="H387" s="39"/>
      <c r="I387" s="194">
        <f t="shared" si="5"/>
        <v>741</v>
      </c>
      <c r="J387" s="207"/>
      <c r="K387" s="6"/>
      <c r="L387" s="6"/>
      <c r="M387" s="6"/>
      <c r="N387" s="6"/>
    </row>
    <row r="388" ht="15" customHeight="1" spans="1:14">
      <c r="A388" s="143"/>
      <c r="B388" s="178"/>
      <c r="C388" s="183"/>
      <c r="D388" s="143"/>
      <c r="E388" s="143"/>
      <c r="F388" s="143"/>
      <c r="G388" s="146"/>
      <c r="H388" s="39"/>
      <c r="I388" s="194">
        <f t="shared" si="5"/>
        <v>742</v>
      </c>
      <c r="J388" s="207"/>
      <c r="K388" s="6"/>
      <c r="L388" s="6"/>
      <c r="M388" s="6"/>
      <c r="N388" s="6"/>
    </row>
    <row r="389" ht="15" customHeight="1" spans="1:14">
      <c r="A389" s="143"/>
      <c r="B389" s="178"/>
      <c r="C389" s="183"/>
      <c r="D389" s="143"/>
      <c r="E389" s="143"/>
      <c r="F389" s="143"/>
      <c r="G389" s="146"/>
      <c r="H389" s="39"/>
      <c r="I389" s="194">
        <f t="shared" si="5"/>
        <v>743</v>
      </c>
      <c r="J389" s="207"/>
      <c r="K389" s="6"/>
      <c r="L389" s="6"/>
      <c r="M389" s="6"/>
      <c r="N389" s="6"/>
    </row>
    <row r="390" ht="15" customHeight="1" spans="1:14">
      <c r="A390" s="143"/>
      <c r="B390" s="178"/>
      <c r="C390" s="183"/>
      <c r="D390" s="143"/>
      <c r="E390" s="143"/>
      <c r="F390" s="143"/>
      <c r="G390" s="146"/>
      <c r="H390" s="39"/>
      <c r="I390" s="194">
        <f t="shared" si="5"/>
        <v>744</v>
      </c>
      <c r="J390" s="207"/>
      <c r="K390" s="6"/>
      <c r="L390" s="6"/>
      <c r="M390" s="6"/>
      <c r="N390" s="6"/>
    </row>
    <row r="391" ht="15" customHeight="1" spans="1:14">
      <c r="A391" s="143"/>
      <c r="B391" s="178"/>
      <c r="C391" s="183"/>
      <c r="D391" s="143"/>
      <c r="E391" s="143"/>
      <c r="F391" s="143"/>
      <c r="G391" s="146"/>
      <c r="H391" s="39"/>
      <c r="I391" s="194">
        <f t="shared" si="5"/>
        <v>745</v>
      </c>
      <c r="J391" s="207"/>
      <c r="K391" s="6"/>
      <c r="L391" s="6"/>
      <c r="M391" s="6"/>
      <c r="N391" s="6"/>
    </row>
    <row r="392" ht="15" customHeight="1" spans="1:14">
      <c r="A392" s="143"/>
      <c r="B392" s="178"/>
      <c r="C392" s="183"/>
      <c r="D392" s="143"/>
      <c r="E392" s="143"/>
      <c r="F392" s="143"/>
      <c r="G392" s="146"/>
      <c r="H392" s="39"/>
      <c r="I392" s="194">
        <f t="shared" si="5"/>
        <v>746</v>
      </c>
      <c r="J392" s="207"/>
      <c r="K392" s="6"/>
      <c r="L392" s="6"/>
      <c r="M392" s="6"/>
      <c r="N392" s="6"/>
    </row>
    <row r="393" ht="15" customHeight="1" spans="1:14">
      <c r="A393" s="143"/>
      <c r="B393" s="178"/>
      <c r="C393" s="183"/>
      <c r="D393" s="143"/>
      <c r="E393" s="143"/>
      <c r="F393" s="143"/>
      <c r="G393" s="146"/>
      <c r="H393" s="39"/>
      <c r="I393" s="194">
        <f t="shared" si="5"/>
        <v>747</v>
      </c>
      <c r="J393" s="207"/>
      <c r="K393" s="6"/>
      <c r="L393" s="6"/>
      <c r="M393" s="6"/>
      <c r="N393" s="6"/>
    </row>
    <row r="394" ht="15" customHeight="1" spans="1:14">
      <c r="A394" s="143"/>
      <c r="B394" s="178"/>
      <c r="C394" s="183"/>
      <c r="D394" s="143"/>
      <c r="E394" s="143"/>
      <c r="F394" s="143"/>
      <c r="G394" s="146"/>
      <c r="H394" s="39"/>
      <c r="I394" s="194">
        <f t="shared" si="5"/>
        <v>748</v>
      </c>
      <c r="J394" s="207"/>
      <c r="K394" s="6"/>
      <c r="L394" s="6"/>
      <c r="M394" s="6"/>
      <c r="N394" s="6"/>
    </row>
    <row r="395" ht="15" customHeight="1" spans="1:14">
      <c r="A395" s="143"/>
      <c r="B395" s="178"/>
      <c r="C395" s="183"/>
      <c r="D395" s="143"/>
      <c r="E395" s="143"/>
      <c r="F395" s="143"/>
      <c r="G395" s="146"/>
      <c r="H395" s="39"/>
      <c r="I395" s="194">
        <f t="shared" si="5"/>
        <v>749</v>
      </c>
      <c r="J395" s="207"/>
      <c r="K395" s="6"/>
      <c r="L395" s="6"/>
      <c r="M395" s="6"/>
      <c r="N395" s="6"/>
    </row>
    <row r="396" ht="15" customHeight="1" spans="1:14">
      <c r="A396" s="143"/>
      <c r="B396" s="178"/>
      <c r="C396" s="183"/>
      <c r="D396" s="143"/>
      <c r="E396" s="143"/>
      <c r="F396" s="143"/>
      <c r="G396" s="146"/>
      <c r="H396" s="39"/>
      <c r="I396" s="194">
        <f t="shared" si="5"/>
        <v>750</v>
      </c>
      <c r="J396" s="207"/>
      <c r="K396" s="6"/>
      <c r="L396" s="6"/>
      <c r="M396" s="6"/>
      <c r="N396" s="6"/>
    </row>
    <row r="397" ht="15" customHeight="1" spans="1:14">
      <c r="A397" s="143"/>
      <c r="B397" s="178"/>
      <c r="C397" s="183"/>
      <c r="D397" s="143"/>
      <c r="E397" s="143"/>
      <c r="F397" s="143"/>
      <c r="G397" s="146"/>
      <c r="H397" s="39"/>
      <c r="I397" s="194">
        <f t="shared" si="5"/>
        <v>751</v>
      </c>
      <c r="J397" s="207"/>
      <c r="K397" s="6"/>
      <c r="L397" s="6"/>
      <c r="M397" s="6"/>
      <c r="N397" s="6"/>
    </row>
    <row r="398" ht="15" customHeight="1" spans="1:14">
      <c r="A398" s="143"/>
      <c r="B398" s="178"/>
      <c r="C398" s="183"/>
      <c r="D398" s="143"/>
      <c r="E398" s="143"/>
      <c r="F398" s="143"/>
      <c r="G398" s="146"/>
      <c r="H398" s="39"/>
      <c r="I398" s="194">
        <f t="shared" si="5"/>
        <v>752</v>
      </c>
      <c r="J398" s="207"/>
      <c r="K398" s="6"/>
      <c r="L398" s="6"/>
      <c r="M398" s="6"/>
      <c r="N398" s="6"/>
    </row>
    <row r="399" ht="15" customHeight="1" spans="1:14">
      <c r="A399" s="143"/>
      <c r="B399" s="178"/>
      <c r="C399" s="183"/>
      <c r="D399" s="143"/>
      <c r="E399" s="143"/>
      <c r="F399" s="143"/>
      <c r="G399" s="146"/>
      <c r="H399" s="39"/>
      <c r="I399" s="194">
        <f t="shared" si="5"/>
        <v>753</v>
      </c>
      <c r="J399" s="207"/>
      <c r="K399" s="6"/>
      <c r="L399" s="6"/>
      <c r="M399" s="6"/>
      <c r="N399" s="6"/>
    </row>
    <row r="400" ht="15" customHeight="1" spans="1:14">
      <c r="A400" s="143"/>
      <c r="B400" s="178"/>
      <c r="C400" s="183"/>
      <c r="D400" s="143"/>
      <c r="E400" s="143"/>
      <c r="F400" s="143"/>
      <c r="G400" s="146"/>
      <c r="H400" s="39"/>
      <c r="I400" s="194">
        <f t="shared" si="5"/>
        <v>754</v>
      </c>
      <c r="J400" s="207"/>
      <c r="K400" s="6"/>
      <c r="L400" s="6"/>
      <c r="M400" s="6"/>
      <c r="N400" s="6"/>
    </row>
    <row r="401" ht="15" customHeight="1" spans="1:14">
      <c r="A401" s="143"/>
      <c r="B401" s="178"/>
      <c r="C401" s="183"/>
      <c r="D401" s="143"/>
      <c r="E401" s="143"/>
      <c r="F401" s="143"/>
      <c r="G401" s="146"/>
      <c r="H401" s="39"/>
      <c r="I401" s="194">
        <f t="shared" si="5"/>
        <v>755</v>
      </c>
      <c r="J401" s="207"/>
      <c r="K401" s="6"/>
      <c r="L401" s="6"/>
      <c r="M401" s="6"/>
      <c r="N401" s="6"/>
    </row>
    <row r="402" ht="15" customHeight="1" spans="1:14">
      <c r="A402" s="143"/>
      <c r="B402" s="178"/>
      <c r="C402" s="183"/>
      <c r="D402" s="143"/>
      <c r="E402" s="143"/>
      <c r="F402" s="143"/>
      <c r="G402" s="146"/>
      <c r="H402" s="39"/>
      <c r="I402" s="194">
        <f t="shared" si="5"/>
        <v>756</v>
      </c>
      <c r="J402" s="207"/>
      <c r="K402" s="6"/>
      <c r="L402" s="6"/>
      <c r="M402" s="6"/>
      <c r="N402" s="6"/>
    </row>
    <row r="403" ht="15" customHeight="1" spans="1:14">
      <c r="A403" s="143"/>
      <c r="B403" s="178"/>
      <c r="C403" s="183"/>
      <c r="D403" s="143"/>
      <c r="E403" s="143"/>
      <c r="F403" s="143"/>
      <c r="G403" s="146"/>
      <c r="H403" s="39"/>
      <c r="I403" s="194">
        <f t="shared" si="5"/>
        <v>757</v>
      </c>
      <c r="J403" s="207"/>
      <c r="K403" s="6"/>
      <c r="L403" s="6"/>
      <c r="M403" s="6"/>
      <c r="N403" s="6"/>
    </row>
    <row r="404" ht="15" customHeight="1" spans="1:14">
      <c r="A404" s="143"/>
      <c r="B404" s="178"/>
      <c r="C404" s="183"/>
      <c r="D404" s="143"/>
      <c r="E404" s="143"/>
      <c r="F404" s="143"/>
      <c r="G404" s="146"/>
      <c r="H404" s="39"/>
      <c r="I404" s="194">
        <f t="shared" si="5"/>
        <v>758</v>
      </c>
      <c r="J404" s="207"/>
      <c r="K404" s="6"/>
      <c r="L404" s="6"/>
      <c r="M404" s="6"/>
      <c r="N404" s="6"/>
    </row>
    <row r="405" ht="15" customHeight="1" spans="1:14">
      <c r="A405" s="143"/>
      <c r="B405" s="178"/>
      <c r="C405" s="183"/>
      <c r="D405" s="143"/>
      <c r="E405" s="143"/>
      <c r="F405" s="143"/>
      <c r="G405" s="146"/>
      <c r="H405" s="39"/>
      <c r="I405" s="194">
        <f t="shared" si="5"/>
        <v>759</v>
      </c>
      <c r="J405" s="207"/>
      <c r="K405" s="6"/>
      <c r="L405" s="6"/>
      <c r="M405" s="6"/>
      <c r="N405" s="6"/>
    </row>
    <row r="406" ht="15" customHeight="1" spans="1:14">
      <c r="A406" s="143"/>
      <c r="B406" s="178"/>
      <c r="C406" s="183"/>
      <c r="D406" s="143"/>
      <c r="E406" s="143"/>
      <c r="F406" s="143"/>
      <c r="G406" s="146"/>
      <c r="H406" s="39"/>
      <c r="I406" s="194">
        <f t="shared" si="5"/>
        <v>760</v>
      </c>
      <c r="J406" s="207"/>
      <c r="K406" s="6"/>
      <c r="L406" s="6"/>
      <c r="M406" s="6"/>
      <c r="N406" s="6"/>
    </row>
    <row r="407" ht="15" customHeight="1" spans="1:14">
      <c r="A407" s="143"/>
      <c r="B407" s="178"/>
      <c r="C407" s="183"/>
      <c r="D407" s="143"/>
      <c r="E407" s="143"/>
      <c r="F407" s="143"/>
      <c r="G407" s="146"/>
      <c r="H407" s="39"/>
      <c r="I407" s="194">
        <f t="shared" si="5"/>
        <v>761</v>
      </c>
      <c r="J407" s="207"/>
      <c r="K407" s="6"/>
      <c r="L407" s="6"/>
      <c r="M407" s="6"/>
      <c r="N407" s="6"/>
    </row>
    <row r="408" ht="15" customHeight="1" spans="1:14">
      <c r="A408" s="143"/>
      <c r="B408" s="178"/>
      <c r="C408" s="183"/>
      <c r="D408" s="143"/>
      <c r="E408" s="143"/>
      <c r="F408" s="143"/>
      <c r="G408" s="146"/>
      <c r="H408" s="39"/>
      <c r="I408" s="194">
        <f t="shared" si="5"/>
        <v>762</v>
      </c>
      <c r="J408" s="207"/>
      <c r="K408" s="6"/>
      <c r="L408" s="6"/>
      <c r="M408" s="6"/>
      <c r="N408" s="6"/>
    </row>
    <row r="409" ht="15" customHeight="1" spans="1:14">
      <c r="A409" s="143"/>
      <c r="B409" s="178"/>
      <c r="C409" s="183"/>
      <c r="D409" s="143"/>
      <c r="E409" s="143"/>
      <c r="F409" s="143"/>
      <c r="G409" s="146"/>
      <c r="H409" s="39"/>
      <c r="I409" s="194">
        <f t="shared" si="5"/>
        <v>763</v>
      </c>
      <c r="J409" s="207"/>
      <c r="K409" s="6"/>
      <c r="L409" s="6"/>
      <c r="M409" s="6"/>
      <c r="N409" s="6"/>
    </row>
    <row r="410" ht="15" customHeight="1" spans="1:14">
      <c r="A410" s="143"/>
      <c r="B410" s="178"/>
      <c r="C410" s="183"/>
      <c r="D410" s="143"/>
      <c r="E410" s="143"/>
      <c r="F410" s="143"/>
      <c r="G410" s="146"/>
      <c r="H410" s="39"/>
      <c r="I410" s="194">
        <f t="shared" ref="I410:I426" si="6">IF(380+J$22*(ROW()-ROW(I$25)-1)&gt;780,"",380+J$22*(ROW()-ROW(I$25)-1))</f>
        <v>764</v>
      </c>
      <c r="J410" s="207"/>
      <c r="K410" s="6"/>
      <c r="L410" s="6"/>
      <c r="M410" s="6"/>
      <c r="N410" s="6"/>
    </row>
    <row r="411" ht="15" customHeight="1" spans="1:14">
      <c r="A411" s="143"/>
      <c r="B411" s="178"/>
      <c r="C411" s="183"/>
      <c r="D411" s="143"/>
      <c r="E411" s="143"/>
      <c r="F411" s="143"/>
      <c r="G411" s="146"/>
      <c r="H411" s="39"/>
      <c r="I411" s="194">
        <f t="shared" si="6"/>
        <v>765</v>
      </c>
      <c r="J411" s="207"/>
      <c r="K411" s="6"/>
      <c r="L411" s="6"/>
      <c r="M411" s="6"/>
      <c r="N411" s="6"/>
    </row>
    <row r="412" ht="15" customHeight="1" spans="1:14">
      <c r="A412" s="143"/>
      <c r="B412" s="178"/>
      <c r="C412" s="183"/>
      <c r="D412" s="143"/>
      <c r="E412" s="143"/>
      <c r="F412" s="143"/>
      <c r="G412" s="146"/>
      <c r="H412" s="39"/>
      <c r="I412" s="194">
        <f t="shared" si="6"/>
        <v>766</v>
      </c>
      <c r="J412" s="207"/>
      <c r="K412" s="6"/>
      <c r="L412" s="6"/>
      <c r="M412" s="6"/>
      <c r="N412" s="6"/>
    </row>
    <row r="413" ht="15" customHeight="1" spans="1:14">
      <c r="A413" s="143"/>
      <c r="B413" s="178"/>
      <c r="C413" s="183"/>
      <c r="D413" s="143"/>
      <c r="E413" s="143"/>
      <c r="F413" s="143"/>
      <c r="G413" s="146"/>
      <c r="H413" s="39"/>
      <c r="I413" s="194">
        <f t="shared" si="6"/>
        <v>767</v>
      </c>
      <c r="J413" s="207"/>
      <c r="K413" s="6"/>
      <c r="L413" s="6"/>
      <c r="M413" s="6"/>
      <c r="N413" s="6"/>
    </row>
    <row r="414" ht="15" customHeight="1" spans="1:14">
      <c r="A414" s="143"/>
      <c r="B414" s="178"/>
      <c r="C414" s="183"/>
      <c r="D414" s="143"/>
      <c r="E414" s="143"/>
      <c r="F414" s="143"/>
      <c r="G414" s="146"/>
      <c r="H414" s="39"/>
      <c r="I414" s="194">
        <f t="shared" si="6"/>
        <v>768</v>
      </c>
      <c r="J414" s="207"/>
      <c r="K414" s="6"/>
      <c r="L414" s="6"/>
      <c r="M414" s="6"/>
      <c r="N414" s="6"/>
    </row>
    <row r="415" ht="15" customHeight="1" spans="1:14">
      <c r="A415" s="143"/>
      <c r="B415" s="178"/>
      <c r="C415" s="183"/>
      <c r="D415" s="143"/>
      <c r="E415" s="143"/>
      <c r="F415" s="143"/>
      <c r="G415" s="146"/>
      <c r="H415" s="39"/>
      <c r="I415" s="194">
        <f t="shared" si="6"/>
        <v>769</v>
      </c>
      <c r="J415" s="207"/>
      <c r="K415" s="6"/>
      <c r="L415" s="6"/>
      <c r="M415" s="6"/>
      <c r="N415" s="6"/>
    </row>
    <row r="416" ht="15" customHeight="1" spans="1:14">
      <c r="A416" s="143"/>
      <c r="B416" s="178"/>
      <c r="C416" s="183"/>
      <c r="D416" s="143"/>
      <c r="E416" s="143"/>
      <c r="F416" s="143"/>
      <c r="G416" s="146"/>
      <c r="H416" s="39"/>
      <c r="I416" s="194">
        <f t="shared" si="6"/>
        <v>770</v>
      </c>
      <c r="J416" s="207"/>
      <c r="K416" s="6"/>
      <c r="L416" s="6"/>
      <c r="M416" s="6"/>
      <c r="N416" s="6"/>
    </row>
    <row r="417" ht="15" customHeight="1" spans="1:14">
      <c r="A417" s="143"/>
      <c r="B417" s="178"/>
      <c r="C417" s="183"/>
      <c r="D417" s="143"/>
      <c r="E417" s="143"/>
      <c r="F417" s="143"/>
      <c r="G417" s="146"/>
      <c r="H417" s="39"/>
      <c r="I417" s="194">
        <f t="shared" si="6"/>
        <v>771</v>
      </c>
      <c r="J417" s="207"/>
      <c r="K417" s="6"/>
      <c r="L417" s="6"/>
      <c r="M417" s="6"/>
      <c r="N417" s="6"/>
    </row>
    <row r="418" ht="15" customHeight="1" spans="1:14">
      <c r="A418" s="143"/>
      <c r="B418" s="178"/>
      <c r="C418" s="183"/>
      <c r="D418" s="143"/>
      <c r="E418" s="143"/>
      <c r="F418" s="143"/>
      <c r="G418" s="146"/>
      <c r="H418" s="39"/>
      <c r="I418" s="194">
        <f t="shared" si="6"/>
        <v>772</v>
      </c>
      <c r="J418" s="207"/>
      <c r="K418" s="6"/>
      <c r="L418" s="6"/>
      <c r="M418" s="6"/>
      <c r="N418" s="6"/>
    </row>
    <row r="419" ht="15" customHeight="1" spans="1:14">
      <c r="A419" s="143"/>
      <c r="B419" s="178"/>
      <c r="C419" s="183"/>
      <c r="D419" s="143"/>
      <c r="E419" s="143"/>
      <c r="F419" s="143"/>
      <c r="G419" s="146"/>
      <c r="H419" s="39"/>
      <c r="I419" s="194">
        <f t="shared" si="6"/>
        <v>773</v>
      </c>
      <c r="J419" s="207"/>
      <c r="K419" s="6"/>
      <c r="L419" s="6"/>
      <c r="M419" s="6"/>
      <c r="N419" s="6"/>
    </row>
    <row r="420" ht="15" customHeight="1" spans="1:14">
      <c r="A420" s="143"/>
      <c r="B420" s="178"/>
      <c r="C420" s="183"/>
      <c r="D420" s="143"/>
      <c r="E420" s="143"/>
      <c r="F420" s="143"/>
      <c r="G420" s="146"/>
      <c r="H420" s="39"/>
      <c r="I420" s="194">
        <f t="shared" si="6"/>
        <v>774</v>
      </c>
      <c r="J420" s="207"/>
      <c r="K420" s="6"/>
      <c r="L420" s="6"/>
      <c r="M420" s="6"/>
      <c r="N420" s="6"/>
    </row>
    <row r="421" ht="15" customHeight="1" spans="1:14">
      <c r="A421" s="143"/>
      <c r="B421" s="178"/>
      <c r="C421" s="183"/>
      <c r="D421" s="143"/>
      <c r="E421" s="143"/>
      <c r="F421" s="143"/>
      <c r="G421" s="146"/>
      <c r="H421" s="39"/>
      <c r="I421" s="194">
        <f t="shared" si="6"/>
        <v>775</v>
      </c>
      <c r="J421" s="207"/>
      <c r="K421" s="6"/>
      <c r="L421" s="6"/>
      <c r="M421" s="6"/>
      <c r="N421" s="6"/>
    </row>
    <row r="422" ht="15" customHeight="1" spans="1:14">
      <c r="A422" s="143"/>
      <c r="B422" s="178"/>
      <c r="C422" s="183"/>
      <c r="D422" s="143"/>
      <c r="E422" s="143"/>
      <c r="F422" s="143"/>
      <c r="G422" s="146"/>
      <c r="H422" s="39"/>
      <c r="I422" s="194">
        <f t="shared" si="6"/>
        <v>776</v>
      </c>
      <c r="J422" s="207"/>
      <c r="K422" s="6"/>
      <c r="L422" s="6"/>
      <c r="M422" s="6"/>
      <c r="N422" s="6"/>
    </row>
    <row r="423" ht="15" customHeight="1" spans="1:14">
      <c r="A423" s="143"/>
      <c r="B423" s="178"/>
      <c r="C423" s="183"/>
      <c r="D423" s="143"/>
      <c r="E423" s="143"/>
      <c r="F423" s="143"/>
      <c r="G423" s="146"/>
      <c r="H423" s="39"/>
      <c r="I423" s="194">
        <f t="shared" si="6"/>
        <v>777</v>
      </c>
      <c r="J423" s="207"/>
      <c r="K423" s="6"/>
      <c r="L423" s="6"/>
      <c r="M423" s="6"/>
      <c r="N423" s="6"/>
    </row>
    <row r="424" ht="15" customHeight="1" spans="1:14">
      <c r="A424" s="143"/>
      <c r="B424" s="178"/>
      <c r="C424" s="183"/>
      <c r="D424" s="143"/>
      <c r="E424" s="143"/>
      <c r="F424" s="143"/>
      <c r="G424" s="146"/>
      <c r="H424" s="39"/>
      <c r="I424" s="194">
        <f t="shared" si="6"/>
        <v>778</v>
      </c>
      <c r="J424" s="207"/>
      <c r="K424" s="6"/>
      <c r="L424" s="6"/>
      <c r="M424" s="6"/>
      <c r="N424" s="6"/>
    </row>
    <row r="425" ht="15" customHeight="1" spans="1:14">
      <c r="A425" s="143"/>
      <c r="B425" s="178"/>
      <c r="C425" s="183"/>
      <c r="D425" s="143"/>
      <c r="E425" s="143"/>
      <c r="F425" s="143"/>
      <c r="G425" s="146"/>
      <c r="H425" s="39"/>
      <c r="I425" s="194">
        <f t="shared" si="6"/>
        <v>779</v>
      </c>
      <c r="J425" s="207"/>
      <c r="K425" s="6"/>
      <c r="L425" s="6"/>
      <c r="M425" s="6"/>
      <c r="N425" s="6"/>
    </row>
    <row r="426" ht="15.15" spans="1:14">
      <c r="A426" s="143"/>
      <c r="B426" s="178"/>
      <c r="C426" s="217"/>
      <c r="D426" s="143"/>
      <c r="E426" s="143"/>
      <c r="F426" s="143"/>
      <c r="G426" s="146"/>
      <c r="H426" s="39"/>
      <c r="I426" s="194">
        <f t="shared" si="6"/>
        <v>780</v>
      </c>
      <c r="J426" s="207"/>
      <c r="K426" s="6"/>
      <c r="L426" s="6"/>
      <c r="M426" s="6"/>
      <c r="N426" s="6"/>
    </row>
    <row r="427" spans="1:14">
      <c r="A427" s="143"/>
      <c r="B427" s="143"/>
      <c r="C427" s="143"/>
      <c r="D427" s="143"/>
      <c r="E427" s="143"/>
      <c r="F427" s="143"/>
      <c r="G427" s="146"/>
      <c r="H427" s="39"/>
      <c r="I427" s="6"/>
      <c r="J427" s="6"/>
      <c r="K427" s="6"/>
      <c r="L427" s="6"/>
      <c r="M427" s="6"/>
      <c r="N427" s="6"/>
    </row>
    <row r="428" ht="15" hidden="1" customHeight="1"/>
    <row r="429" ht="15" hidden="1" customHeight="1"/>
    <row r="430" ht="15" hidden="1" customHeight="1"/>
    <row r="431" ht="15" hidden="1" customHeight="1"/>
    <row r="432" ht="15" hidden="1" customHeight="1"/>
    <row r="433" ht="15" hidden="1" customHeight="1"/>
    <row r="434" ht="15" hidden="1" customHeight="1"/>
    <row r="435" ht="15" hidden="1" customHeight="1"/>
    <row r="436" ht="15" hidden="1" customHeight="1"/>
    <row r="437" ht="15" hidden="1" customHeight="1"/>
    <row r="438" ht="15" hidden="1" customHeight="1"/>
    <row r="439" ht="15" hidden="1" customHeight="1"/>
    <row r="440" ht="15" hidden="1" customHeight="1"/>
    <row r="441" ht="15" hidden="1" customHeight="1"/>
    <row r="442" ht="15" hidden="1" customHeight="1"/>
    <row r="443" ht="15" hidden="1" customHeight="1"/>
    <row r="444" ht="15" hidden="1" customHeight="1"/>
    <row r="445" ht="15" hidden="1" customHeight="1"/>
    <row r="446" ht="15" hidden="1" customHeight="1"/>
    <row r="447" ht="15" hidden="1" customHeight="1"/>
    <row r="448" ht="15" hidden="1" customHeight="1"/>
    <row r="449" ht="15" hidden="1" customHeight="1"/>
    <row r="450" ht="15" hidden="1" customHeight="1"/>
    <row r="451" ht="15" hidden="1" customHeight="1"/>
    <row r="452" ht="15" hidden="1" customHeight="1"/>
    <row r="453" ht="15" hidden="1" customHeight="1"/>
    <row r="454" ht="15" hidden="1" customHeight="1"/>
    <row r="455" ht="15" hidden="1" customHeight="1"/>
    <row r="456" ht="15" hidden="1" customHeight="1"/>
    <row r="457" ht="15" hidden="1" customHeight="1"/>
    <row r="458" ht="15" hidden="1" customHeight="1"/>
    <row r="459" ht="15" hidden="1" customHeight="1"/>
    <row r="460" ht="15" hidden="1" customHeight="1"/>
    <row r="461" ht="15" hidden="1" customHeight="1"/>
    <row r="462" ht="15" hidden="1" customHeight="1"/>
    <row r="463" ht="15" hidden="1" customHeight="1"/>
    <row r="464" ht="15" hidden="1" customHeight="1"/>
    <row r="465" ht="15" hidden="1" customHeight="1"/>
    <row r="466" ht="15" hidden="1" customHeight="1"/>
    <row r="467" ht="15" hidden="1" customHeight="1"/>
    <row r="468" ht="15" hidden="1" customHeight="1"/>
    <row r="469" ht="15" hidden="1" customHeight="1"/>
    <row r="470" ht="15" hidden="1" customHeight="1"/>
    <row r="471" ht="15" hidden="1" customHeight="1"/>
  </sheetData>
  <sheetProtection password="CAB0" sheet="1" objects="1" scenarios="1"/>
  <mergeCells count="11">
    <mergeCell ref="B7:C7"/>
    <mergeCell ref="I8:J8"/>
    <mergeCell ref="E26:F26"/>
    <mergeCell ref="L26:M26"/>
    <mergeCell ref="E28:F28"/>
    <mergeCell ref="L28:M28"/>
    <mergeCell ref="E30:F30"/>
    <mergeCell ref="L30:M30"/>
    <mergeCell ref="E32:F32"/>
    <mergeCell ref="L32:M32"/>
    <mergeCell ref="L34:M34"/>
  </mergeCells>
  <conditionalFormatting sqref="I8:J8">
    <cfRule type="cellIs" dxfId="2" priority="6" operator="notEqual">
      <formula>"Daylight (D65)"</formula>
    </cfRule>
  </conditionalFormatting>
  <conditionalFormatting sqref="J11">
    <cfRule type="cellIs" dxfId="3" priority="9" operator="notEqual">
      <formula>"CIE S 026"</formula>
    </cfRule>
  </conditionalFormatting>
  <conditionalFormatting sqref="J15">
    <cfRule type="cellIs" dxfId="4" priority="8" operator="notEqual">
      <formula>"D65"</formula>
    </cfRule>
  </conditionalFormatting>
  <conditionalFormatting sqref="J19">
    <cfRule type="cellIs" dxfId="4" priority="7" operator="notEqual">
      <formula>"Radiometric"</formula>
    </cfRule>
  </conditionalFormatting>
  <conditionalFormatting sqref="E26:F26">
    <cfRule type="beginsWith" dxfId="0" priority="15" operator="equal" text="ERROR:">
      <formula>LEFT(E26,LEN("ERROR:"))="ERROR:"</formula>
    </cfRule>
  </conditionalFormatting>
  <conditionalFormatting sqref="L26:M26">
    <cfRule type="notContainsText" dxfId="0" priority="1" operator="notContains" text="No errors detected.">
      <formula>ISERROR(SEARCH("No errors detected.",L26))</formula>
    </cfRule>
  </conditionalFormatting>
  <conditionalFormatting sqref="E28:F28">
    <cfRule type="beginsWith" dxfId="0" priority="16" operator="equal" text="ERROR:">
      <formula>LEFT(E28,LEN("ERROR:"))="ERROR:"</formula>
    </cfRule>
  </conditionalFormatting>
  <conditionalFormatting sqref="L28:M28">
    <cfRule type="beginsWith" dxfId="0" priority="5" operator="equal" text="ERROR">
      <formula>LEFT(L28,LEN("ERROR"))="ERROR"</formula>
    </cfRule>
  </conditionalFormatting>
  <conditionalFormatting sqref="E30:F30">
    <cfRule type="beginsWith" dxfId="0" priority="17" operator="equal" text="ERROR:">
      <formula>LEFT(E30,LEN("ERROR:"))="ERROR:"</formula>
    </cfRule>
  </conditionalFormatting>
  <conditionalFormatting sqref="L30:M30">
    <cfRule type="beginsWith" dxfId="0" priority="4" operator="equal" text="WARNING">
      <formula>LEFT(L30,LEN("WARNING"))="WARNING"</formula>
    </cfRule>
  </conditionalFormatting>
  <conditionalFormatting sqref="E32:F32">
    <cfRule type="beginsWith" dxfId="0" priority="18" operator="equal" text="ERROR:">
      <formula>LEFT(E32,LEN("ERROR:"))="ERROR:"</formula>
    </cfRule>
  </conditionalFormatting>
  <conditionalFormatting sqref="L32:M32">
    <cfRule type="beginsWith" dxfId="0" priority="3" operator="equal" text="ERROR">
      <formula>LEFT(L32,LEN("ERROR"))="ERROR"</formula>
    </cfRule>
  </conditionalFormatting>
  <conditionalFormatting sqref="L34:M34">
    <cfRule type="beginsWith" dxfId="0" priority="2" operator="equal" text="WARNING">
      <formula>LEFT(L34,LEN("WARNING"))="WARNING"</formula>
    </cfRule>
  </conditionalFormatting>
  <dataValidations count="14">
    <dataValidation allowBlank="1" showErrorMessage="1" promptTitle="Input name of measurement" prompt="&#10;Please enter a title for your (spectral) measurement, on which the calculations are going to be based." sqref="B7:C7"/>
    <dataValidation allowBlank="1" showErrorMessage="1" promptTitle="Input name of measurement" prompt="&#10;Please enter a title for your reference spectrum, on which the &#10;calculations are going to be based. Default is Daylight (D65)." sqref="I8:J8"/>
    <dataValidation type="list" showErrorMessage="1" promptTitle="Select an option" prompt="&#10;See Instructions. &quot;User&quot; is the default option for enterring your own user spectral data.  " sqref="C10">
      <formula1>Spectra!$B$23:$B$28</formula1>
    </dataValidation>
    <dataValidation type="list" showErrorMessage="1"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sqref="J11">
      <formula1>Photobiology!$L$3:$L$4</formula1>
    </dataValidation>
    <dataValidation type="list" showErrorMessage="1" promptTitle="Select quantity" prompt="&#10;Select photon radiance, radiance or luminance (if appl.) calculate equivalent luminances (cd.m-2), OR &#10;&#10;Select photon irradiance, irradiance or illuminance (if appl.) to calculate equivalent illuminances (lux)." sqref="C13">
      <formula1>Physics!$B$52:$B$57</formula1>
    </dataValidation>
    <dataValidation type="list" allowBlank="1" showErrorMessage="1" promptTitle="Select SI prefix, if any" prompt="&#10;Leave blank or enter an SI prefix. Leave blank for photon system.&#10;&#10;CAUTION: There is a difference between M = 10^6 and m = 10^-3, and Excel will offer &quot;M&quot; first when &quot;m&quot; is already selected. " sqref="C14">
      <formula1>Physics!$C$23:$C$35</formula1>
    </dataValidation>
    <dataValidation type="list" allowBlank="1" showErrorMessage="1" promptTitle="Select SI are prefix, if any" prompt="&#10;Leave blank or enter &quot;c&quot; or &quot;m&quot; for &quot;m-2&quot;, &quot;cm-2&quot; or &quot;mm-2&quot;, respectively." sqref="C15">
      <formula1>Physics!$C$16:$C$19</formula1>
    </dataValidation>
    <dataValidation type="list" showErrorMessage="1" promptTitle="Select an option" prompt="&#10;D65 is the default option. &#10;&#10;Select REFERENCE to enter your own spectral data.&#10;&#10;" sqref="J15">
      <formula1>Spectra!$B$24:$B$29</formula1>
    </dataValidation>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19 J5:J6"/>
    <dataValidation type="list" showErrorMessage="1" promptTitle="Enter spectral system" prompt="&#10;Only applies to the reference spectrum. Radiometric is default option, e.g. for spectral radiance or spectral irradiance. Photon system is for spectral photon data, and is only valid when accompanied by a user-defined  reference spectrum.&#10;" sqref="J19">
      <formula1>Physics!$E$60:$E$61</formula1>
    </dataValidation>
    <dataValidation type="list" allowBlank="1" showErrorMessage="1" promptTitle="Select resolution" prompt="&#10;Select the wavelength interval for the spectral measurement data, i.e. bin width or resolution. Set to 1 if using a built in spectrum." sqref="C22">
      <formula1>"1,2,4,5"</formula1>
    </dataValidation>
    <dataValidation type="list" allowBlank="1" showErrorMessage="1" promptTitle="Select resolution" prompt="&#10;Select the wavelength interval for the spectral reference data, i.e. bin width or resolution." sqref="J22">
      <formula1>"1,2,4,5"</formula1>
    </dataValidation>
    <dataValidation allowBlank="1" showErrorMessage="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sqref="C26"/>
    <dataValidation allowBlank="1" showErrorMessage="1" promptTitle="Reference spectrum" prompt="&#10;Please enter the spectral data against the wavelengths selected above and shown to the left, and leave the remaining inputs blank. The values should match advanced inputs R3. and R4." sqref="J26"/>
  </dataValidations>
  <pageMargins left="0.7" right="0.7" top="0.75" bottom="0.75" header="0.3" footer="0.3"/>
  <pageSetup paperSize="9" fitToHeight="0"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tabColor rgb="FF0000FF"/>
    <pageSetUpPr fitToPage="1"/>
  </sheetPr>
  <dimension ref="A1:K82"/>
  <sheetViews>
    <sheetView tabSelected="1" topLeftCell="A18" workbookViewId="0">
      <selection activeCell="J40" sqref="J40"/>
    </sheetView>
  </sheetViews>
  <sheetFormatPr defaultColWidth="0" defaultRowHeight="14.4" zeroHeight="1"/>
  <cols>
    <col min="1" max="1" width="5.71296296296296" style="2" customWidth="1"/>
    <col min="2" max="3" width="18.712962962963" style="2" customWidth="1"/>
    <col min="4" max="5" width="9.71296296296296" style="2" customWidth="1"/>
    <col min="6" max="10" width="18.712962962963" style="2" customWidth="1"/>
    <col min="11" max="11" width="5.71296296296296" style="2" customWidth="1"/>
    <col min="12" max="16384" width="9.13888888888889" style="2" hidden="1"/>
  </cols>
  <sheetData>
    <row r="1" s="6" customFormat="1" ht="24.95" customHeight="1" spans="2:11">
      <c r="B1" s="23" t="str">
        <f>LEFT(Disclaimer!B1,Maintenance!I3)</f>
        <v>CIE S 026 α-opic Toolbox - v1.049a - 2020/11</v>
      </c>
      <c r="G1" s="6" t="s">
        <v>431</v>
      </c>
      <c r="J1" s="35" t="s">
        <v>313</v>
      </c>
      <c r="K1" s="4"/>
    </row>
    <row r="2" s="6" customFormat="1" ht="15" customHeight="1" spans="3:11">
      <c r="C2" s="7"/>
      <c r="E2" s="24"/>
      <c r="F2" s="25"/>
      <c r="H2" s="26"/>
      <c r="J2" s="93"/>
      <c r="K2" s="4"/>
    </row>
    <row r="3" s="3" customFormat="1" ht="15" customHeight="1" spans="1:11">
      <c r="A3" s="6"/>
      <c r="B3" s="10" t="s">
        <v>432</v>
      </c>
      <c r="C3" s="11" t="str">
        <f>Outputs!C3</f>
        <v>Please note the α-opic Toolbox is not part of CIE S 026. See Disclaimer sheet.</v>
      </c>
      <c r="D3" s="6"/>
      <c r="E3" s="6"/>
      <c r="F3" s="27"/>
      <c r="G3" s="6"/>
      <c r="H3" s="6"/>
      <c r="I3" s="6"/>
      <c r="J3" s="94" t="s">
        <v>58</v>
      </c>
      <c r="K3" s="4"/>
    </row>
    <row r="4" s="6" customFormat="1" ht="15" customHeight="1" spans="2:11">
      <c r="B4" s="28"/>
      <c r="K4" s="4"/>
    </row>
    <row r="5" s="6" customFormat="1" ht="15" customHeight="1" spans="2:11">
      <c r="B5" s="7"/>
      <c r="C5" s="13" t="s">
        <v>433</v>
      </c>
      <c r="F5" s="4" t="s">
        <v>125</v>
      </c>
      <c r="G5" s="4"/>
      <c r="H5" s="4"/>
      <c r="I5" s="4"/>
      <c r="J5" s="4"/>
      <c r="K5" s="4"/>
    </row>
    <row r="6" s="6" customFormat="1" ht="15" customHeight="1" spans="2:11">
      <c r="B6" s="24" t="s">
        <v>434</v>
      </c>
      <c r="C6" s="25" t="str">
        <f>INDEX($F$6:$J$6,1,MATCH(C7,$F$7:$J$7,0))</f>
        <v>radiant flux (power), W</v>
      </c>
      <c r="E6" s="24" t="s">
        <v>434</v>
      </c>
      <c r="F6" s="29" t="s">
        <v>435</v>
      </c>
      <c r="G6" s="30"/>
      <c r="H6" s="28" t="s">
        <v>436</v>
      </c>
      <c r="I6" s="30"/>
      <c r="J6" s="95" t="s">
        <v>437</v>
      </c>
      <c r="K6" s="4"/>
    </row>
    <row r="7" s="6" customFormat="1" ht="15" customHeight="1" spans="2:11">
      <c r="B7" s="24" t="s">
        <v>438</v>
      </c>
      <c r="C7" s="25" t="str">
        <f>Inputs!C11</f>
        <v>irradiance</v>
      </c>
      <c r="E7" s="24" t="s">
        <v>438</v>
      </c>
      <c r="F7" s="25" t="str">
        <f>Physics!D48</f>
        <v>irradiance</v>
      </c>
      <c r="H7" s="26" t="str">
        <f>Physics!F48</f>
        <v>illuminance</v>
      </c>
      <c r="I7" s="19"/>
      <c r="J7" s="93" t="str">
        <f>Physics!B48</f>
        <v>photon irradiance</v>
      </c>
      <c r="K7" s="4"/>
    </row>
    <row r="8" s="6" customFormat="1" ht="15" customHeight="1" spans="2:11">
      <c r="B8" s="24" t="s">
        <v>439</v>
      </c>
      <c r="C8" s="25" t="str">
        <f>SUBSTITUTE(Physics!D67,"log ","log Q/")</f>
        <v>mW.m-2</v>
      </c>
      <c r="E8" s="24" t="s">
        <v>439</v>
      </c>
      <c r="F8" s="25" t="str">
        <f>Physics!E48</f>
        <v>µW.cm-2</v>
      </c>
      <c r="H8" s="26" t="str">
        <f>Physics!G48</f>
        <v>klx</v>
      </c>
      <c r="J8" s="93" t="str">
        <f>"log Q/("&amp;Physics!C48&amp;")"</f>
        <v>log Q/(s-1.cm-2)</v>
      </c>
      <c r="K8" s="4"/>
    </row>
    <row r="9" s="6" customFormat="1" ht="15" customHeight="1" spans="2:11">
      <c r="B9" s="30"/>
      <c r="F9" s="31"/>
      <c r="G9" s="31"/>
      <c r="H9" s="31"/>
      <c r="I9" s="31"/>
      <c r="J9" s="31"/>
      <c r="K9" s="4"/>
    </row>
    <row r="10" s="3" customFormat="1" ht="15" customHeight="1" spans="1:11">
      <c r="A10" s="32"/>
      <c r="B10" s="7" t="s">
        <v>440</v>
      </c>
      <c r="C10" s="33" t="str">
        <f>Physics!C61</f>
        <v>m</v>
      </c>
      <c r="D10" s="6"/>
      <c r="E10" s="34" t="s">
        <v>441</v>
      </c>
      <c r="F10" s="35" t="s">
        <v>228</v>
      </c>
      <c r="G10" s="34" t="s">
        <v>441</v>
      </c>
      <c r="H10" s="35" t="s">
        <v>241</v>
      </c>
      <c r="I10" s="31"/>
      <c r="J10" s="31"/>
      <c r="K10" s="4"/>
    </row>
    <row r="11" s="3" customFormat="1" ht="15" customHeight="1" spans="1:11">
      <c r="A11" s="32"/>
      <c r="B11" s="7" t="s">
        <v>302</v>
      </c>
      <c r="C11" s="36" t="str">
        <f>Physics!C62</f>
        <v/>
      </c>
      <c r="D11" s="6"/>
      <c r="E11" s="34" t="s">
        <v>441</v>
      </c>
      <c r="F11" s="35" t="s">
        <v>214</v>
      </c>
      <c r="G11" s="34" t="str">
        <f>IF($H$7="illuminance",IF($H$11="","Do not use:","Clear:"),"Select:")</f>
        <v>Do not use:</v>
      </c>
      <c r="H11" s="35"/>
      <c r="I11" s="34" t="s">
        <v>441</v>
      </c>
      <c r="J11" s="35" t="s">
        <v>214</v>
      </c>
      <c r="K11" s="4"/>
    </row>
    <row r="12" s="3" customFormat="1" ht="15" customHeight="1" spans="1:11">
      <c r="A12" s="6"/>
      <c r="B12" s="7" t="s">
        <v>442</v>
      </c>
      <c r="C12" s="37">
        <f ca="1" t="array" ref="C12">IF(FALSE,"OUT OF DATE",IF(LEFT(Inputs!$E$24,5)="ERROR","CHECK INPUTS",((INDEX(Physics!$E$23:$E$35,MATCH(TRUE,EXACT(IF(C10="","",C10),Physics!$C$23:$C$35),0),0))/(INDEX(Physics!$E$16:$E$19,MATCH(TRUE,EXACT(IF(C11="","",C11),Physics!$C$16:$C$19),0),0)^2))))</f>
        <v>0.001</v>
      </c>
      <c r="D12" s="6"/>
      <c r="E12" s="6"/>
      <c r="F12" s="37">
        <f ca="1" t="array" ref="F12">$C$12/((INDEX(Physics!$E$23:$E$35,MATCH(TRUE,EXACT(IF(F$10="","",F$10),Physics!$C$23:$C$35),0),0))/(INDEX(Physics!$E$16:$E$19,MATCH(TRUE,EXACT(IF(F$11="","",F$11),Physics!$C$16:$C$19),0),0)^2))</f>
        <v>0.1</v>
      </c>
      <c r="G12" s="38"/>
      <c r="H12" s="37">
        <f ca="1" t="array" ref="H12">IF($G$11="Clear:","#VALUE!",$C$12/((INDEX(Physics!$E$23:$E$35,MATCH(TRUE,EXACT(IF(H$10="","",H$10),Physics!$C$23:$C$35),0),0))/(INDEX(Physics!$E$16:$E$19,MATCH(TRUE,EXACT(IF(H$7="illuminance","",IF(H$11="","",H$11)),Physics!$C$16:$C$19),0),0)^2)))</f>
        <v>1e-6</v>
      </c>
      <c r="I12" s="38"/>
      <c r="J12" s="37">
        <f ca="1" t="array" ref="J12">$C$12/((INDEX(Physics!$E$23:$E$35,MATCH(TRUE,EXACT("",Physics!$C$23:$C$35),0),0))/(INDEX(Physics!$E$16:$E$19,MATCH(TRUE,EXACT(J$11,Physics!$C$16:$C$19),0),0)^2))</f>
        <v>1e-7</v>
      </c>
      <c r="K12" s="4"/>
    </row>
    <row r="13" s="6" customFormat="1" ht="15" customHeight="1" spans="2:11">
      <c r="B13" s="32"/>
      <c r="C13" s="32"/>
      <c r="D13" s="32"/>
      <c r="E13" s="32"/>
      <c r="F13" s="32"/>
      <c r="G13" s="32"/>
      <c r="H13" s="32"/>
      <c r="I13" s="32"/>
      <c r="J13" s="32"/>
      <c r="K13" s="32"/>
    </row>
    <row r="14" s="6" customFormat="1" ht="15" customHeight="1" spans="1:11">
      <c r="A14" s="39"/>
      <c r="B14" s="40" t="str">
        <f ca="1">IF(OR('Advanced Inputs'!J$11&lt;&gt;"CIE S 026",'Advanced Inputs'!J$15&lt;&gt;"D65"),"WARNING: Non-standard calculations selected.","INPUTS: "&amp;IF(LEFT(Inputs!E24,5)="ERROR",Inputs!E24,"Standard CIE S 026 calculations."))</f>
        <v>WARNING: Non-standard calculations selected.</v>
      </c>
      <c r="D14" s="39"/>
      <c r="F14" s="31" t="str">
        <f>"(unweighted) "&amp;$F$7&amp;" = ∫ spectral "&amp;$F$7&amp;" * dλ"</f>
        <v>(unweighted) irradiance = ∫ spectral irradiance * dλ</v>
      </c>
      <c r="G14" s="31"/>
      <c r="H14" s="31"/>
      <c r="I14" s="31"/>
      <c r="J14" s="31"/>
      <c r="K14" s="4" t="str">
        <f>"(T1)"</f>
        <v>(T1)</v>
      </c>
    </row>
    <row r="15" s="6" customFormat="1" ht="15" customHeight="1" spans="2:11">
      <c r="B15" s="6" t="s">
        <v>443</v>
      </c>
      <c r="C15" s="41" t="s">
        <v>444</v>
      </c>
      <c r="E15" s="42"/>
      <c r="F15" s="38" t="str">
        <f>Outputs!B11</f>
        <v>(photopic) illuminance =      * ∫ spectral irradiance * V(λ) * dλ</v>
      </c>
      <c r="G15" s="38"/>
      <c r="H15" s="38"/>
      <c r="I15" s="38"/>
      <c r="J15" s="38"/>
      <c r="K15" s="4" t="str">
        <f>"(T2)"</f>
        <v>(T2)</v>
      </c>
    </row>
    <row r="16" s="6" customFormat="1" ht="15" customHeight="1" spans="3:11">
      <c r="C16" s="43"/>
      <c r="F16" s="31" t="str">
        <f>"(unweighted) "&amp;$J$7&amp;" = ∫ spectral photon "&amp;$F$7&amp;" * dλ"</f>
        <v>(unweighted) photon irradiance = ∫ spectral photon irradiance * dλ</v>
      </c>
      <c r="G16" s="31"/>
      <c r="H16" s="31"/>
      <c r="I16" s="31"/>
      <c r="J16" s="31"/>
      <c r="K16" s="4" t="str">
        <f>"(T3)"</f>
        <v>(T3)</v>
      </c>
    </row>
    <row r="17" s="6" customFormat="1" ht="15" customHeight="1" spans="2:11">
      <c r="B17" s="30"/>
      <c r="C17" s="7"/>
      <c r="F17" s="31"/>
      <c r="G17" s="31"/>
      <c r="H17" s="31"/>
      <c r="I17" s="31"/>
      <c r="J17" s="31"/>
      <c r="K17" s="4"/>
    </row>
    <row r="18" s="6" customFormat="1" ht="15" customHeight="1" spans="2:11">
      <c r="B18" s="6" t="s">
        <v>127</v>
      </c>
      <c r="F18" s="16" t="str">
        <f>F$7&amp;", "&amp;F$8</f>
        <v>irradiance, µW.cm-2</v>
      </c>
      <c r="H18" s="4" t="str">
        <f>H$7&amp;", "&amp;H$8</f>
        <v>illuminance, klx</v>
      </c>
      <c r="J18" s="96" t="str">
        <f>"log "&amp;J$7&amp;"/("&amp;Physics!C48&amp;")"</f>
        <v>log photon irradiance/(s-1.cm-2)</v>
      </c>
      <c r="K18" s="4"/>
    </row>
    <row r="19" s="3" customFormat="1" ht="15" customHeight="1" spans="1:11">
      <c r="A19" s="6"/>
      <c r="B19" s="44" t="str">
        <f>IF(Inputs!$B$5="","TEST",Inputs!$B$5)</f>
        <v>huashubei</v>
      </c>
      <c r="C19" s="45"/>
      <c r="D19" s="46" t="s">
        <v>445</v>
      </c>
      <c r="E19" s="47"/>
      <c r="F19" s="48">
        <f ca="1">Calculations!$J$14*SUMPRODUCT(Calculations!$M$21:$M$421,Calculations!$K$21:$K$421)*$F$12</f>
        <v>329.765855059458</v>
      </c>
      <c r="G19" s="6"/>
      <c r="H19" s="49">
        <f ca="1">Calculations!$J$14*Physics!$F$12*SUMPRODUCT(Calculations!$M$21:$M$421,Calculations!$L$21:$L$421,Calculations!$K$21:$K$421)*$H$12</f>
        <v>0.97300986814912</v>
      </c>
      <c r="I19" s="6"/>
      <c r="J19" s="97">
        <f ca="1">LOG(Calculations!$J$14*SUMPRODUCT(Calculations!$S$21:$S$421,Calculations!$K$21:$K$421)*$J$12)</f>
        <v>14.9760766554777</v>
      </c>
      <c r="K19" s="4"/>
    </row>
    <row r="20" s="3" customFormat="1" ht="15" customHeight="1" spans="1:11">
      <c r="A20" s="6"/>
      <c r="B20" s="50" t="str">
        <f>IF('Advanced Inputs'!$J$15&lt;&gt;"UserRef",IF('Advanced Inputs'!$J$15="D65","daylight (D65)","(R†: illuminant "&amp;'Advanced Inputs'!$J$15&amp;")"),"(R†: UserRef): "&amp;'Advanced Inputs'!I8)</f>
        <v>(R†: illuminant E)</v>
      </c>
      <c r="C20" s="51"/>
      <c r="D20" s="52" t="str">
        <f>"Reference: "&amp;IF('Advanced Inputs'!$J$15="D65","""D""","""R†""")</f>
        <v>Reference: "R†"</v>
      </c>
      <c r="E20" s="53"/>
      <c r="F20" s="54">
        <f ca="1">Calculations!$AJ$14*SUMPRODUCT(Calculations!$AM$21:$AM$421,Calculations!$AK$21:$AK$421)*$F$12</f>
        <v>534.612715630142</v>
      </c>
      <c r="G20" s="30"/>
      <c r="H20" s="55">
        <f ca="1">Calculations!$AJ$14*Physics!$F$12*SUMPRODUCT(Calculations!$AM$21:$AM$421,Calculations!$AL$21:$AL$421,Calculations!$AK$21:$AK$421)*$H$12</f>
        <v>0.97300986814912</v>
      </c>
      <c r="I20" s="98"/>
      <c r="J20" s="99">
        <f ca="1">LOG(Calculations!$AJ$14*SUMPRODUCT(Calculations!$AS$21:$AS$421,Calculations!$AK$21:$AK$421)*$J$12)</f>
        <v>15.1935121307656</v>
      </c>
      <c r="K20" s="4"/>
    </row>
    <row r="21" s="6" customFormat="1" ht="15" customHeight="1" spans="1:11">
      <c r="A21" s="4"/>
      <c r="B21" s="4"/>
      <c r="C21" s="4"/>
      <c r="D21" s="4"/>
      <c r="K21" s="4"/>
    </row>
    <row r="22" s="6" customFormat="1" ht="15" customHeight="1" spans="2:11">
      <c r="B22" s="56" t="str">
        <f>IF('Advanced Inputs'!J11&lt;&gt;"CIE S 026","""IWCNP α-opic irradiance"" = 
""α-opic irradiance"" in CIE TN 003:2015","")</f>
        <v>"IWCNP α-opic irradiance" = 
"α-opic irradiance" in CIE TN 003:2015</v>
      </c>
      <c r="C22" s="56"/>
      <c r="F22" s="25" t="str">
        <f>$J$22&amp;", "&amp;$F$8</f>
        <v>IWCNP α-opic irradiance, µW.cm-2</v>
      </c>
      <c r="G22" s="39"/>
      <c r="H22" s="39"/>
      <c r="I22" s="39"/>
      <c r="J22" s="93" t="str">
        <f>IF('Advanced Inputs'!$J$11="CIE S 026","","IWCNP ")&amp;"α-opic "&amp;F7</f>
        <v>IWCNP α-opic irradiance</v>
      </c>
      <c r="K22" s="4"/>
    </row>
    <row r="23" s="6" customFormat="1" ht="15" customHeight="1" spans="2:11">
      <c r="B23" s="56"/>
      <c r="C23" s="56"/>
      <c r="F23" s="31" t="str">
        <f>IF('Advanced Inputs'!$J$11="CIE S 026","","IWCNP ")&amp;"α-opic "&amp;$F$7&amp;" = ∫ spectral "&amp;$F$7&amp;" * "&amp;IF('Advanced Inputs'!$J$11="CIE S 026","","IWCNP ")&amp;"α-opic action spectrum * dλ"</f>
        <v>IWCNP α-opic irradiance = ∫ spectral irradiance * IWCNP α-opic action spectrum * dλ</v>
      </c>
      <c r="G23" s="31"/>
      <c r="H23" s="31"/>
      <c r="I23" s="31"/>
      <c r="J23" s="31"/>
      <c r="K23" s="4" t="str">
        <f>"(T4)"</f>
        <v>(T4)</v>
      </c>
    </row>
    <row r="24" s="6" customFormat="1" ht="15" customHeight="1" spans="6:11">
      <c r="F24" s="31"/>
      <c r="G24" s="31"/>
      <c r="H24" s="31"/>
      <c r="I24" s="31"/>
      <c r="J24" s="31"/>
      <c r="K24" s="4"/>
    </row>
    <row r="25" s="6" customFormat="1" ht="15" customHeight="1" spans="2:11">
      <c r="B25" s="6" t="str">
        <f>J22&amp;" for"</f>
        <v>IWCNP α-opic irradiance for</v>
      </c>
      <c r="F25" s="57" t="str">
        <f ca="1">Photobiology!AA$18</f>
        <v>Cyanopic</v>
      </c>
      <c r="G25" s="58" t="str">
        <f ca="1">Photobiology!AB$18</f>
        <v>Chloropic</v>
      </c>
      <c r="H25" s="59" t="str">
        <f ca="1">Photobiology!AC$18</f>
        <v>Erythropic</v>
      </c>
      <c r="I25" s="100" t="str">
        <f ca="1">Photobiology!AD$18</f>
        <v>Rhodopic</v>
      </c>
      <c r="J25" s="101" t="str">
        <f ca="1">Photobiology!AE$18</f>
        <v>Melanopic</v>
      </c>
      <c r="K25" s="4"/>
    </row>
    <row r="26" s="3" customFormat="1" ht="15" customHeight="1" spans="1:11">
      <c r="A26" s="6"/>
      <c r="B26" s="44" t="str">
        <f>IF(Inputs!$B$5="","TEST",Inputs!$B$5)</f>
        <v>huashubei</v>
      </c>
      <c r="C26" s="60"/>
      <c r="D26" s="61"/>
      <c r="E26" s="62"/>
      <c r="F26" s="63">
        <f ca="1">Calculations!$J$14*SUMPRODUCT(Calculations!$M$21:$M$421,Calculations!N$21:N$421,Calculations!$K$21:$K$421)*$F$12</f>
        <v>44.7977624822365</v>
      </c>
      <c r="G26" s="64">
        <f ca="1">Calculations!$J$14*SUMPRODUCT(Calculations!$M$21:$M$421,Calculations!O$21:O$421,Calculations!$K$21:$K$421)*$F$12</f>
        <v>140.975141637229</v>
      </c>
      <c r="H26" s="65">
        <f ca="1">Calculations!$J$14*SUMPRODUCT(Calculations!$M$21:$M$421,Calculations!P$21:P$421,Calculations!$K$21:$K$421)*$F$12</f>
        <v>164.671655338276</v>
      </c>
      <c r="I26" s="102">
        <f ca="1">Calculations!$J$14*SUMPRODUCT(Calculations!$M$21:$M$421,Calculations!Q$21:Q$421,Calculations!$K$21:$K$421)*$F$12</f>
        <v>109.042006319988</v>
      </c>
      <c r="J26" s="103">
        <f ca="1">Calculations!$J$14*SUMPRODUCT(Calculations!$M$21:$M$421,Calculations!R$21:R$421,Calculations!$K$21:$K$421)*$F$12</f>
        <v>82.6499307652496</v>
      </c>
      <c r="K26" s="4"/>
    </row>
    <row r="27" s="3" customFormat="1" ht="15" customHeight="1" spans="1:11">
      <c r="A27" s="6"/>
      <c r="B27" s="50" t="str">
        <f>IF('Advanced Inputs'!$J$15&lt;&gt;"UserRef",IF('Advanced Inputs'!$J$15="D65","daylight (D65)","(R†: illuminant "&amp;'Advanced Inputs'!$J$15&amp;")"),"(R†: UserRef)")</f>
        <v>(R†: illuminant E)</v>
      </c>
      <c r="C27" s="66"/>
      <c r="D27" s="52"/>
      <c r="E27" s="53"/>
      <c r="F27" s="67">
        <f ca="1">Calculations!$AJ$14*SUMPRODUCT(Calculations!$AM$21:$AM$421,Calculations!AN$21:AN$421,Calculations!$AK$21:$AK$421)*$F$12</f>
        <v>73.2418747529315</v>
      </c>
      <c r="G27" s="68">
        <f ca="1">Calculations!$AJ$14*SUMPRODUCT(Calculations!$AM$21:$AM$421,Calculations!AO$21:AO$421,Calculations!$AK$21:$AK$421)*$F$12</f>
        <v>156.892817605798</v>
      </c>
      <c r="H27" s="69">
        <f ca="1">Calculations!$AJ$14*SUMPRODUCT(Calculations!$AM$21:$AM$421,Calculations!AP$21:AP$421,Calculations!$AK$21:$AK$421)*$F$12</f>
        <v>168.033033510749</v>
      </c>
      <c r="I27" s="104">
        <f ca="1">Calculations!$AJ$14*SUMPRODUCT(Calculations!$AM$21:$AM$421,Calculations!AQ$21:AQ$421,Calculations!$AK$21:$AK$421)*$F$12</f>
        <v>137.885760786837</v>
      </c>
      <c r="J27" s="105">
        <f ca="1">Calculations!$AJ$14*SUMPRODUCT(Calculations!$AM$21:$AM$421,Calculations!AR$21:AR$421,Calculations!$AK$21:$AK$421)*$F$12</f>
        <v>116.827272730752</v>
      </c>
      <c r="K27" s="4"/>
    </row>
    <row r="28" s="6" customFormat="1" ht="15" customHeight="1" spans="11:11">
      <c r="K28" s="4"/>
    </row>
    <row r="29" s="6" customFormat="1" ht="15" customHeight="1" spans="2:11">
      <c r="B29" s="56" t="str">
        <f>IF('Advanced Inputs'!J11&lt;&gt;"CIE S 026","All IWCNP calculations are based on the action spectra in Lucas et al., 2014","")</f>
        <v>All IWCNP calculations are based on the action spectra in Lucas et al., 2014</v>
      </c>
      <c r="C29" s="56"/>
      <c r="F29" s="25" t="str">
        <f>IF('Advanced Inputs'!$J$11="CIE S 026","","IWCNP ")&amp;"α-opic efficacy of luminous radiation, mW.lm-1"</f>
        <v>IWCNP α-opic efficacy of luminous radiation, mW.lm-1</v>
      </c>
      <c r="G29" s="39"/>
      <c r="H29" s="39"/>
      <c r="I29" s="39"/>
      <c r="J29" s="93" t="str">
        <f>IF('Advanced Inputs'!$J$11="CIE S 026","","IWCNP ")&amp;"α-opic ELR"</f>
        <v>IWCNP α-opic ELR</v>
      </c>
      <c r="K29" s="4"/>
    </row>
    <row r="30" s="6" customFormat="1" ht="15" customHeight="1" spans="2:11">
      <c r="B30" s="56"/>
      <c r="C30" s="56"/>
      <c r="F30" s="31" t="str">
        <f>"α-opic ELR = "&amp;$J$22&amp;" / "&amp;$H$7</f>
        <v>α-opic ELR = IWCNP α-opic irradiance / illuminance</v>
      </c>
      <c r="G30" s="31"/>
      <c r="H30" s="31"/>
      <c r="I30" s="31"/>
      <c r="J30" s="31"/>
      <c r="K30" s="4" t="str">
        <f>"(T5)"</f>
        <v>(T5)</v>
      </c>
    </row>
    <row r="31" s="6" customFormat="1" ht="15" customHeight="1" spans="6:11">
      <c r="F31" s="31"/>
      <c r="G31" s="31"/>
      <c r="H31" s="31"/>
      <c r="I31" s="31"/>
      <c r="J31" s="31"/>
      <c r="K31" s="4"/>
    </row>
    <row r="32" s="6" customFormat="1" ht="15" customHeight="1" spans="2:11">
      <c r="B32" s="6" t="str">
        <f>J29&amp;" for"</f>
        <v>IWCNP α-opic ELR for</v>
      </c>
      <c r="F32" s="57" t="str">
        <f ca="1">Photobiology!AA$18</f>
        <v>Cyanopic</v>
      </c>
      <c r="G32" s="58" t="str">
        <f ca="1">Photobiology!AB$18</f>
        <v>Chloropic</v>
      </c>
      <c r="H32" s="59" t="str">
        <f ca="1">Photobiology!AC$18</f>
        <v>Erythropic</v>
      </c>
      <c r="I32" s="100" t="str">
        <f ca="1">Photobiology!AD$18</f>
        <v>Rhodopic</v>
      </c>
      <c r="J32" s="101" t="str">
        <f ca="1">Photobiology!AE$18</f>
        <v>Melanopic</v>
      </c>
      <c r="K32" s="4"/>
    </row>
    <row r="33" s="3" customFormat="1" ht="15" customHeight="1" spans="1:11">
      <c r="A33" s="6"/>
      <c r="B33" s="44" t="str">
        <f>IF(Inputs!$B$5="","TEST",Inputs!$B$5)</f>
        <v>huashubei</v>
      </c>
      <c r="C33" s="60"/>
      <c r="D33" s="61"/>
      <c r="E33" s="62"/>
      <c r="F33" s="70">
        <f ca="1">1000*(F26/$H19)*($H$12/$F$12)</f>
        <v>0.46040398919542</v>
      </c>
      <c r="G33" s="71">
        <f ca="1" t="shared" ref="G33:J33" si="0">1000*(G26/$H19)*($H$12/$F$12)</f>
        <v>1.4488562372486</v>
      </c>
      <c r="H33" s="72">
        <f ca="1" t="shared" si="0"/>
        <v>1.69239450419468</v>
      </c>
      <c r="I33" s="106">
        <f ca="1" t="shared" si="0"/>
        <v>1.12066701365949</v>
      </c>
      <c r="J33" s="107">
        <f ca="1" t="shared" si="0"/>
        <v>0.849425411506545</v>
      </c>
      <c r="K33" s="4"/>
    </row>
    <row r="34" s="3" customFormat="1" ht="15" customHeight="1" spans="1:11">
      <c r="A34" s="6"/>
      <c r="B34" s="50" t="str">
        <f>IF('Advanced Inputs'!$J$15&lt;&gt;"UserRef",IF('Advanced Inputs'!$J$15="D65","daylight (D65)","(R†: illuminant "&amp;'Advanced Inputs'!$J$15&amp;")"),"(R†: UserRef)")</f>
        <v>(R†: illuminant E)</v>
      </c>
      <c r="C34" s="66"/>
      <c r="D34" s="52"/>
      <c r="E34" s="53"/>
      <c r="F34" s="73">
        <f ca="1">1000*(F27/$H20)*($H$12/$F$12)</f>
        <v>0.752735168989126</v>
      </c>
      <c r="G34" s="74">
        <f ca="1" t="shared" ref="G34:J34" si="1">1000*(G27/$H20)*($H$12/$F$12)</f>
        <v>1.61244837017165</v>
      </c>
      <c r="H34" s="75">
        <f ca="1" t="shared" si="1"/>
        <v>1.72694069208553</v>
      </c>
      <c r="I34" s="108">
        <f ca="1" t="shared" si="1"/>
        <v>1.41710547138772</v>
      </c>
      <c r="J34" s="109">
        <f ca="1" t="shared" si="1"/>
        <v>1.20067921770396</v>
      </c>
      <c r="K34" s="4"/>
    </row>
    <row r="35" s="6" customFormat="1" ht="15" customHeight="1" spans="2:11">
      <c r="B35" s="76"/>
      <c r="K35" s="4"/>
    </row>
    <row r="36" s="6" customFormat="1" ht="15" customHeight="1" spans="2:11">
      <c r="B36" s="56" t="str">
        <f>IF('Advanced Inputs'!J15&lt;&gt;"D65","R† is a non-standard accronym letter
 for the reference source","")</f>
        <v>R† is a non-standard accronym letter
 for the reference source</v>
      </c>
      <c r="C36" s="56"/>
      <c r="F36" s="25" t="str">
        <f>IF('Advanced Inputs'!$J$11="CIE S 026","","IWCNP ")&amp;"α-opic "&amp;IF('Advanced Inputs'!$J$15&lt;&gt;"UserRef",IF('Advanced Inputs'!$J$15="D65","daylight (D65)","(R†: illuminant "&amp;'Advanced Inputs'!$J$15&amp;")"),"(R†: UserRef)")&amp;" efficacy ratio, 1"</f>
        <v>IWCNP α-opic (R†: illuminant E) efficacy ratio, 1</v>
      </c>
      <c r="G36" s="39"/>
      <c r="H36" s="39"/>
      <c r="I36" s="39"/>
      <c r="J36" s="93" t="str">
        <f>IF('Advanced Inputs'!$J$11="CIE S 026","","IWCNP ")&amp;"α-opic "&amp;IF('Advanced Inputs'!$J$15="D65","D","R†")&amp;"ER"</f>
        <v>IWCNP α-opic R†ER</v>
      </c>
      <c r="K36" s="4"/>
    </row>
    <row r="37" s="6" customFormat="1" ht="15" customHeight="1" spans="2:11">
      <c r="B37" s="56"/>
      <c r="C37" s="56"/>
      <c r="F37" s="31" t="str">
        <f>IF('Advanced Inputs'!$J$11="CIE S 026","","IWCNP ")&amp;"α-opic "&amp;IF('Advanced Inputs'!$J$15="D65","D","R†")&amp;"ER = "&amp;IF('Advanced Inputs'!$J$11="CIE S 026","","IWCNP ")&amp;"α-opic ELR / "&amp;IF('Advanced Inputs'!$J$11="CIE S 026","","IWCNP ")&amp;"α-opic ELR for "&amp;IF('Advanced Inputs'!$J$15&lt;&gt;"UserRef",IF('Advanced Inputs'!$J$15="D65","daylight (D65)","(R†: illuminant "&amp;'Advanced Inputs'!$J$15&amp;")"),"(R†: UserRef)")</f>
        <v>IWCNP α-opic R†ER = IWCNP α-opic ELR / IWCNP α-opic ELR for (R†: illuminant E)</v>
      </c>
      <c r="G37" s="31"/>
      <c r="H37" s="31"/>
      <c r="I37" s="31"/>
      <c r="J37" s="31"/>
      <c r="K37" s="4" t="str">
        <f>"(T6)"</f>
        <v>(T6)</v>
      </c>
    </row>
    <row r="38" s="6" customFormat="1" ht="15" customHeight="1" spans="3:11">
      <c r="C38" s="7"/>
      <c r="F38" s="31"/>
      <c r="G38" s="31"/>
      <c r="H38" s="31"/>
      <c r="I38" s="31"/>
      <c r="J38" s="31"/>
      <c r="K38" s="4"/>
    </row>
    <row r="39" s="6" customFormat="1" ht="15" customHeight="1" spans="2:11">
      <c r="B39" s="6" t="str">
        <f>J36&amp;" for"</f>
        <v>IWCNP α-opic R†ER for</v>
      </c>
      <c r="F39" s="57" t="str">
        <f ca="1">Photobiology!AA$18</f>
        <v>Cyanopic</v>
      </c>
      <c r="G39" s="58" t="str">
        <f ca="1">Photobiology!AB$18</f>
        <v>Chloropic</v>
      </c>
      <c r="H39" s="59" t="str">
        <f ca="1">Photobiology!AC$18</f>
        <v>Erythropic</v>
      </c>
      <c r="I39" s="100" t="str">
        <f ca="1">Photobiology!AD$18</f>
        <v>Rhodopic</v>
      </c>
      <c r="J39" s="101" t="str">
        <f ca="1">Photobiology!AE$18</f>
        <v>Melanopic</v>
      </c>
      <c r="K39" s="4"/>
    </row>
    <row r="40" s="3" customFormat="1" ht="15" customHeight="1" spans="1:11">
      <c r="A40" s="6"/>
      <c r="B40" s="44" t="str">
        <f>IF(Inputs!$B$5="","TEST",Inputs!$B$5)</f>
        <v>huashubei</v>
      </c>
      <c r="C40" s="60"/>
      <c r="D40" s="61"/>
      <c r="E40" s="62"/>
      <c r="F40" s="70">
        <f ca="1">F33/F$34</f>
        <v>0.611641395490679</v>
      </c>
      <c r="G40" s="71">
        <f ca="1" t="shared" ref="G40:J40" si="2">G33/G$34</f>
        <v>0.898544266006089</v>
      </c>
      <c r="H40" s="72">
        <f ca="1" t="shared" si="2"/>
        <v>0.979995729992825</v>
      </c>
      <c r="I40" s="106">
        <f ca="1" t="shared" si="2"/>
        <v>0.790814118134802</v>
      </c>
      <c r="J40" s="107">
        <f ca="1" t="shared" si="2"/>
        <v>0.707454080142146</v>
      </c>
      <c r="K40" s="4"/>
    </row>
    <row r="41" s="3" customFormat="1" ht="15" customHeight="1" spans="1:11">
      <c r="A41" s="6"/>
      <c r="B41" s="50" t="str">
        <f>IF('Advanced Inputs'!$J$15&lt;&gt;"UserRef",IF('Advanced Inputs'!$J$15="D65","daylight (D65)","(R†: illuminant "&amp;'Advanced Inputs'!$J$15&amp;")"),"(R†: UserRef)")</f>
        <v>(R†: illuminant E)</v>
      </c>
      <c r="C41" s="66"/>
      <c r="D41" s="52"/>
      <c r="E41" s="53"/>
      <c r="F41" s="73">
        <f ca="1" t="shared" ref="F41" si="3">F34/F$34</f>
        <v>1</v>
      </c>
      <c r="G41" s="74">
        <f ca="1" t="shared" ref="G41:J41" si="4">G34/G$34</f>
        <v>1</v>
      </c>
      <c r="H41" s="75">
        <f ca="1" t="shared" si="4"/>
        <v>1</v>
      </c>
      <c r="I41" s="108">
        <f ca="1" t="shared" si="4"/>
        <v>1</v>
      </c>
      <c r="J41" s="109">
        <f ca="1" t="shared" si="4"/>
        <v>1</v>
      </c>
      <c r="K41" s="4"/>
    </row>
    <row r="42" s="6" customFormat="1" ht="15" customHeight="1" spans="11:11">
      <c r="K42" s="4"/>
    </row>
    <row r="43" s="6" customFormat="1" ht="15" customHeight="1" spans="2:11">
      <c r="B43" s="56" t="str">
        <f>IF(AND('Advanced Inputs'!J11="Lucas et al., 2014",'Advanced Inputs'!J15="E"),"""IWCNP α-opic ER†I"" / lx = 
α-opic equivalent illuminance"" /
 ""α-opic equivalent lx"" (Lucas et al., 2014)","")</f>
        <v>"IWCNP α-opic ER†I" / lx = 
α-opic equivalent illuminance" /
 "α-opic equivalent lx" (Lucas et al., 2014)</v>
      </c>
      <c r="C43" s="56"/>
      <c r="F43" s="25" t="str">
        <f>IF('Advanced Inputs'!$J$11="CIE S 026","","IWCNP ")&amp;"α-opic equivalent "&amp;IF('Advanced Inputs'!$J$15&lt;&gt;"UserRef",IF('Advanced Inputs'!$J$15="D65","daylight (D65)","(R†: illuminant "&amp;'Advanced Inputs'!$J$15&amp;")"),"(R†: UserRef)")&amp;" "&amp;H$7&amp;", "&amp;H8</f>
        <v>IWCNP α-opic equivalent (R†: illuminant E) illuminance, klx</v>
      </c>
      <c r="G43" s="39"/>
      <c r="H43" s="39"/>
      <c r="I43" s="39"/>
      <c r="J43" s="93" t="str">
        <f>IF('Advanced Inputs'!$J$11="CIE S 026","","IWCNP ")&amp;"α-opic E"&amp;IF('Advanced Inputs'!$J$15="D65","D","R†")&amp;UPPER(LEFT($H$7,1))</f>
        <v>IWCNP α-opic ER†I</v>
      </c>
      <c r="K43" s="4"/>
    </row>
    <row r="44" s="6" customFormat="1" ht="15" customHeight="1" spans="2:11">
      <c r="B44" s="56"/>
      <c r="C44" s="56"/>
      <c r="F44" s="31" t="str">
        <f>IF('Advanced Inputs'!$J$11="CIE S 026","","IWCNP ")&amp;"α-opic E"&amp;IF('Advanced Inputs'!$J$15="D65","D","R†")&amp;UPPER(LEFT($H$7,1))&amp;" = "&amp;IF('Advanced Inputs'!$J$11="CIE S 026","","IWCNP ")&amp;"α-opic "&amp;$F$7&amp;" / "&amp;IF('Advanced Inputs'!$J$11="CIE S 026","","IWCNP ")&amp;"α-opic ELR for "&amp;IF('Advanced Inputs'!$J$15&lt;&gt;"UserRef",IF('Advanced Inputs'!$J$15="D65","daylight (D65)","(R†: illuminant "&amp;'Advanced Inputs'!$J$15&amp;")"),"(R†: UserRef)")</f>
        <v>IWCNP α-opic ER†I = IWCNP α-opic irradiance / IWCNP α-opic ELR for (R†: illuminant E)</v>
      </c>
      <c r="G44" s="31"/>
      <c r="H44" s="31"/>
      <c r="I44" s="31"/>
      <c r="J44" s="31"/>
      <c r="K44" s="4" t="str">
        <f>"(T7)"</f>
        <v>(T7)</v>
      </c>
    </row>
    <row r="45" s="6" customFormat="1" ht="15" customHeight="1" spans="2:11">
      <c r="B45" s="56"/>
      <c r="C45" s="56"/>
      <c r="F45" s="31" t="str">
        <f>IF('Advanced Inputs'!$J$11="CIE S 026","","IWCNP ")&amp;"α-opic E"&amp;IF('Advanced Inputs'!$J$15="D65","D","R†")&amp;UPPER(LEFT($H$7,1))&amp;" = "&amp;$H$7&amp;" * "&amp;IF('Advanced Inputs'!$J$11="CIE S 026","","IWCNP ")&amp;"α-opic "&amp;IF('Advanced Inputs'!$J$15="D65","D","R†")&amp;"ER"</f>
        <v>IWCNP α-opic ER†I = illuminance * IWCNP α-opic R†ER</v>
      </c>
      <c r="G45" s="31"/>
      <c r="H45" s="31"/>
      <c r="I45" s="31"/>
      <c r="J45" s="31"/>
      <c r="K45" s="4" t="str">
        <f>"(T8)"</f>
        <v>(T8)</v>
      </c>
    </row>
    <row r="46" s="6" customFormat="1" ht="15" customHeight="1" spans="6:11">
      <c r="F46" s="31"/>
      <c r="G46" s="31"/>
      <c r="H46" s="31"/>
      <c r="I46" s="31"/>
      <c r="J46" s="31"/>
      <c r="K46" s="4"/>
    </row>
    <row r="47" s="6" customFormat="1" ht="15" customHeight="1" spans="2:11">
      <c r="B47" s="6" t="str">
        <f>J43&amp;" for"</f>
        <v>IWCNP α-opic ER†I for</v>
      </c>
      <c r="F47" s="57" t="str">
        <f ca="1">Photobiology!AA$18</f>
        <v>Cyanopic</v>
      </c>
      <c r="G47" s="58" t="str">
        <f ca="1">Photobiology!AB$18</f>
        <v>Chloropic</v>
      </c>
      <c r="H47" s="59" t="str">
        <f ca="1">Photobiology!AC$18</f>
        <v>Erythropic</v>
      </c>
      <c r="I47" s="100" t="str">
        <f ca="1">Photobiology!AD$18</f>
        <v>Rhodopic</v>
      </c>
      <c r="J47" s="101" t="str">
        <f ca="1">Photobiology!AE$18</f>
        <v>Melanopic</v>
      </c>
      <c r="K47" s="4"/>
    </row>
    <row r="48" s="3" customFormat="1" ht="15" customHeight="1" spans="1:11">
      <c r="A48" s="6"/>
      <c r="B48" s="44" t="str">
        <f>IF(Inputs!$B$5="","TEST",Inputs!$B$5)</f>
        <v>huashubei</v>
      </c>
      <c r="C48" s="60"/>
      <c r="D48" s="61"/>
      <c r="E48" s="62"/>
      <c r="F48" s="63">
        <f ca="1">1000*(F26/F$34)*($H$12/$F$12)</f>
        <v>0.595133113580929</v>
      </c>
      <c r="G48" s="64">
        <f ca="1" t="shared" ref="G48:J48" si="5">1000*(G26/G$34)*($H$12/$F$12)</f>
        <v>0.874292437792733</v>
      </c>
      <c r="H48" s="65">
        <f ca="1" t="shared" si="5"/>
        <v>0.95354551602702</v>
      </c>
      <c r="I48" s="102">
        <f ca="1" t="shared" si="5"/>
        <v>0.769469940816806</v>
      </c>
      <c r="J48" s="103">
        <f ca="1" t="shared" si="5"/>
        <v>0.688359801240667</v>
      </c>
      <c r="K48" s="4"/>
    </row>
    <row r="49" s="3" customFormat="1" ht="15" customHeight="1" spans="1:11">
      <c r="A49" s="6"/>
      <c r="B49" s="50" t="str">
        <f>IF('Advanced Inputs'!$J$15&lt;&gt;"UserRef",IF('Advanced Inputs'!$J$15="D65","daylight (D65)","(R†: illuminant "&amp;'Advanced Inputs'!$J$15&amp;")"),"(R†: UserRef)")</f>
        <v>(R†: illuminant E)</v>
      </c>
      <c r="C49" s="66"/>
      <c r="D49" s="52"/>
      <c r="E49" s="53"/>
      <c r="F49" s="67">
        <f ca="1">1000*(F27/F$34)*($H$12/$F$12)</f>
        <v>0.97300986814912</v>
      </c>
      <c r="G49" s="68">
        <f ca="1" t="shared" ref="G49:J49" si="6">1000*(G27/G$34)*($H$12/$F$12)</f>
        <v>0.97300986814912</v>
      </c>
      <c r="H49" s="69">
        <f ca="1" t="shared" si="6"/>
        <v>0.97300986814912</v>
      </c>
      <c r="I49" s="104">
        <f ca="1" t="shared" si="6"/>
        <v>0.97300986814912</v>
      </c>
      <c r="J49" s="105">
        <f ca="1" t="shared" si="6"/>
        <v>0.97300986814912</v>
      </c>
      <c r="K49" s="4"/>
    </row>
    <row r="50" s="6" customFormat="1" ht="15" customHeight="1" spans="11:11">
      <c r="K50" s="4"/>
    </row>
    <row r="51" s="6" customFormat="1" ht="15" customHeight="1" spans="2:11">
      <c r="B51" s="56"/>
      <c r="C51" s="56"/>
      <c r="F51" s="25" t="str">
        <f>"log "&amp;IF('Advanced Inputs'!$J$11="CIE S 026","","IWCNP ")&amp;"α-opic "&amp;$J$7&amp;", "&amp;$J$8&amp;", where"</f>
        <v>log IWCNP α-opic photon irradiance, log Q/(s-1.cm-2), where</v>
      </c>
      <c r="G51" s="8"/>
      <c r="H51" s="8"/>
      <c r="I51" s="8"/>
      <c r="J51" s="93" t="str">
        <f>IF('Advanced Inputs'!$J$11="CIE S 026","","IWCNP ")&amp;"α-opic "&amp;$J$7</f>
        <v>IWCNP α-opic photon irradiance</v>
      </c>
      <c r="K51" s="4"/>
    </row>
    <row r="52" s="6" customFormat="1" ht="15" customHeight="1" spans="2:11">
      <c r="B52" s="56"/>
      <c r="C52" s="56"/>
      <c r="D52" s="43"/>
      <c r="F52" s="77" t="str">
        <f>IF('Advanced Inputs'!$J$11="CIE S 026","","IWCNP ")&amp;"α-opic "&amp;$J$7&amp;" = ∫ spectral "&amp;$J$7&amp;" * photon system "&amp;IF('Advanced Inputs'!$J$11="CIE S 026","","IWCNP ")&amp;"α-opic action spectrum * dλ"</f>
        <v>IWCNP α-opic photon irradiance = ∫ spectral photon irradiance * photon system IWCNP α-opic action spectrum * dλ</v>
      </c>
      <c r="G52" s="77"/>
      <c r="H52" s="77"/>
      <c r="I52" s="77"/>
      <c r="J52" s="77"/>
      <c r="K52" s="4" t="str">
        <f>"(T9)"</f>
        <v>(T9)</v>
      </c>
    </row>
    <row r="53" s="6" customFormat="1" ht="15" customHeight="1" spans="2:11">
      <c r="B53" s="43"/>
      <c r="C53" s="43"/>
      <c r="D53" s="43"/>
      <c r="F53" s="77"/>
      <c r="G53" s="77"/>
      <c r="H53" s="77"/>
      <c r="I53" s="77"/>
      <c r="J53" s="77"/>
      <c r="K53" s="4"/>
    </row>
    <row r="54" s="6" customFormat="1" ht="15" customHeight="1" spans="2:11">
      <c r="B54" s="6" t="str">
        <f>J51&amp;" for"</f>
        <v>IWCNP α-opic photon irradiance for</v>
      </c>
      <c r="F54" s="57" t="str">
        <f ca="1">Photobiology!AA$18</f>
        <v>Cyanopic</v>
      </c>
      <c r="G54" s="58" t="str">
        <f ca="1">Photobiology!AB$18</f>
        <v>Chloropic</v>
      </c>
      <c r="H54" s="59" t="str">
        <f ca="1">Photobiology!AC$18</f>
        <v>Erythropic</v>
      </c>
      <c r="I54" s="100" t="str">
        <f ca="1">Photobiology!AD$18</f>
        <v>Rhodopic</v>
      </c>
      <c r="J54" s="101" t="str">
        <f ca="1">Photobiology!AE$18</f>
        <v>Melanopic</v>
      </c>
      <c r="K54" s="4"/>
    </row>
    <row r="55" s="3" customFormat="1" ht="15" customHeight="1" spans="1:11">
      <c r="A55" s="6"/>
      <c r="B55" s="44" t="str">
        <f>IF(Inputs!$B$5="","TEST",Inputs!$B$5)</f>
        <v>huashubei</v>
      </c>
      <c r="C55" s="60"/>
      <c r="D55" s="61"/>
      <c r="E55" s="62"/>
      <c r="F55" s="78">
        <f ca="1">LOG(Calculations!$J$14*SUMPRODUCT(Calculations!$S$21:$S$421,Calculations!T$21:T$421,Calculations!$K$21:$K$421)*$J$12)</f>
        <v>13.9967538523548</v>
      </c>
      <c r="G55" s="79">
        <f ca="1">LOG(Calculations!$J$14*SUMPRODUCT(Calculations!$S$21:$S$421,Calculations!U$21:U$421,Calculations!$K$21:$K$421)*$J$12)</f>
        <v>14.5860126577746</v>
      </c>
      <c r="H55" s="80">
        <f ca="1">LOG(Calculations!$J$14*SUMPRODUCT(Calculations!$S$21:$S$421,Calculations!V$21:V$421,Calculations!$K$21:$K$421)*$J$12)</f>
        <v>14.6739867631726</v>
      </c>
      <c r="I55" s="110">
        <f ca="1">LOG(Calculations!$J$14*SUMPRODUCT(Calculations!$S$21:$S$421,Calculations!W$21:W$421,Calculations!$K$21:$K$421)*$J$12)</f>
        <v>14.446982399065</v>
      </c>
      <c r="J55" s="111">
        <f ca="1">LOG(Calculations!$J$14*SUMPRODUCT(Calculations!$S$21:$S$421,Calculations!X$21:X$421,Calculations!$K$21:$K$421)*$J$12)</f>
        <v>14.3083983083928</v>
      </c>
      <c r="K55" s="4"/>
    </row>
    <row r="56" s="3" customFormat="1" ht="15" customHeight="1" spans="1:11">
      <c r="A56" s="6"/>
      <c r="B56" s="50" t="str">
        <f>IF('Advanced Inputs'!$J$15&lt;&gt;"UserRef",IF('Advanced Inputs'!$J$15="D65","daylight (D65)","(R†: illuminant "&amp;'Advanced Inputs'!$J$15&amp;")"),"(R†: UserRef)")</f>
        <v>(R†: illuminant E)</v>
      </c>
      <c r="C56" s="66"/>
      <c r="D56" s="52"/>
      <c r="E56" s="53"/>
      <c r="F56" s="81">
        <f ca="1">LOG(Calculations!$AJ$14*SUMPRODUCT(Calculations!$AS$21:$AS$421,Calculations!AT$21:AT$421,Calculations!$AK$21:$AK$421)*$J$12)</f>
        <v>14.2102569818526</v>
      </c>
      <c r="G56" s="82">
        <f ca="1">LOG(Calculations!$AJ$14*SUMPRODUCT(Calculations!$AS$21:$AS$421,Calculations!AU$21:AU$421,Calculations!$AK$21:$AK$421)*$J$12)</f>
        <v>14.6324731806606</v>
      </c>
      <c r="H56" s="83">
        <f ca="1">LOG(Calculations!$AJ$14*SUMPRODUCT(Calculations!$AS$21:$AS$421,Calculations!AV$21:AV$421,Calculations!$AK$21:$AK$421)*$J$12)</f>
        <v>14.6827625797705</v>
      </c>
      <c r="I56" s="112">
        <f ca="1">LOG(Calculations!$AJ$14*SUMPRODUCT(Calculations!$AS$21:$AS$421,Calculations!AW$21:AW$421,Calculations!$AK$21:$AK$421)*$J$12)</f>
        <v>14.5489079850429</v>
      </c>
      <c r="J56" s="113">
        <f ca="1">LOG(Calculations!$AJ$14*SUMPRODUCT(Calculations!$AS$21:$AS$421,Calculations!AX$21:AX$421,Calculations!$AK$21:$AK$421)*$J$12)</f>
        <v>14.4587000527309</v>
      </c>
      <c r="K56" s="4"/>
    </row>
    <row r="57" s="6" customFormat="1" ht="15" customHeight="1" spans="11:11">
      <c r="K57" s="4"/>
    </row>
    <row r="58" s="6" customFormat="1" ht="15" hidden="1" customHeight="1" spans="2:11">
      <c r="B58" s="10" t="s">
        <v>446</v>
      </c>
      <c r="C58" s="84" t="s">
        <v>393</v>
      </c>
      <c r="D58" s="28"/>
      <c r="E58" s="13"/>
      <c r="F58" s="14" t="s">
        <v>447</v>
      </c>
      <c r="K58" s="4"/>
    </row>
    <row r="59" s="6" customFormat="1" ht="15" hidden="1" customHeight="1" spans="2:11">
      <c r="B59" s="28"/>
      <c r="C59" s="28"/>
      <c r="D59" s="28"/>
      <c r="E59" s="20"/>
      <c r="F59" s="20"/>
      <c r="K59" s="4"/>
    </row>
    <row r="60" s="6" customFormat="1" ht="15" hidden="1" customHeight="1" spans="1:11">
      <c r="A60" s="32"/>
      <c r="B60" s="85" t="s">
        <v>448</v>
      </c>
      <c r="C60" s="86">
        <v>32</v>
      </c>
      <c r="D60" s="6" t="s">
        <v>449</v>
      </c>
      <c r="F60" s="87" t="s">
        <v>450</v>
      </c>
      <c r="G60" s="88"/>
      <c r="H60" s="88"/>
      <c r="I60" s="88"/>
      <c r="J60" s="114"/>
      <c r="K60" s="4"/>
    </row>
    <row r="61" s="6" customFormat="1" ht="15" hidden="1" customHeight="1" spans="1:11">
      <c r="A61" s="32"/>
      <c r="B61" s="7" t="s">
        <v>451</v>
      </c>
      <c r="C61" s="89">
        <v>65</v>
      </c>
      <c r="D61" s="6" t="s">
        <v>449</v>
      </c>
      <c r="F61" s="90" t="s">
        <v>452</v>
      </c>
      <c r="G61" s="39"/>
      <c r="H61" s="39"/>
      <c r="I61" s="39"/>
      <c r="J61" s="115"/>
      <c r="K61" s="4"/>
    </row>
    <row r="62" s="6" customFormat="1" ht="15" hidden="1" customHeight="1" spans="1:11">
      <c r="A62" s="32"/>
      <c r="B62" s="19" t="s">
        <v>453</v>
      </c>
      <c r="C62" s="4"/>
      <c r="D62" s="4"/>
      <c r="E62" s="4"/>
      <c r="F62" s="91" t="s">
        <v>454</v>
      </c>
      <c r="G62" s="92"/>
      <c r="H62" s="92"/>
      <c r="I62" s="92"/>
      <c r="J62" s="116"/>
      <c r="K62" s="4"/>
    </row>
    <row r="63" s="6" customFormat="1" ht="15" hidden="1" customHeight="1" spans="2:11">
      <c r="B63" s="19"/>
      <c r="C63" s="4"/>
      <c r="D63" s="4"/>
      <c r="E63" s="4"/>
      <c r="K63" s="4"/>
    </row>
    <row r="64" s="6" customFormat="1" ht="15" hidden="1" customHeight="1" spans="6:10">
      <c r="F64" s="14" t="str">
        <f>"Age-adjusted "&amp;$F$22</f>
        <v>Age-adjusted IWCNP α-opic irradiance, µW.cm-2</v>
      </c>
      <c r="J64" s="93" t="str">
        <f>"Age-adjusted "&amp;$J$22</f>
        <v>Age-adjusted IWCNP α-opic irradiance</v>
      </c>
    </row>
    <row r="65" s="6" customFormat="1" ht="15" hidden="1" customHeight="1" spans="2:11">
      <c r="B65" s="117"/>
      <c r="C65" s="117"/>
      <c r="D65" s="77" t="s">
        <v>455</v>
      </c>
      <c r="E65" s="77"/>
      <c r="F65" s="77"/>
      <c r="G65" s="77"/>
      <c r="H65" s="77"/>
      <c r="I65" s="77"/>
      <c r="J65" s="77"/>
      <c r="K65" s="4" t="str">
        <f>"(A1)"</f>
        <v>(A1)</v>
      </c>
    </row>
    <row r="66" s="6" customFormat="1" hidden="1" spans="2:11">
      <c r="B66" s="118"/>
      <c r="D66" s="77" t="str">
        <f>"age-adjusted "&amp;IF('Advanced Inputs'!$J$11="CIE S 026","","IWCNP ")&amp;"α-opic "&amp;$F$7&amp;" = ∫ spectral "&amp;$F$7&amp;" * "&amp;IF('Advanced Inputs'!$J$11="CIE S 026","","IWCNP ")&amp;"α-opic action spectrum * c(a,λ) * dλ"</f>
        <v>age-adjusted IWCNP α-opic irradiance = ∫ spectral irradiance * IWCNP α-opic action spectrum * c(a,λ) * dλ</v>
      </c>
      <c r="E66" s="77"/>
      <c r="F66" s="77"/>
      <c r="G66" s="77"/>
      <c r="H66" s="77"/>
      <c r="I66" s="77"/>
      <c r="J66" s="77"/>
      <c r="K66" s="4" t="str">
        <f>"(A2)"</f>
        <v>(A2)</v>
      </c>
    </row>
    <row r="67" s="6" customFormat="1" hidden="1" spans="2:11">
      <c r="B67" s="118"/>
      <c r="F67" s="119"/>
      <c r="G67" s="119"/>
      <c r="H67" s="119"/>
      <c r="I67" s="119"/>
      <c r="J67" s="119"/>
      <c r="K67" s="4"/>
    </row>
    <row r="68" s="6" customFormat="1" ht="15.15" hidden="1" spans="2:10">
      <c r="B68" s="6" t="str">
        <f>J64&amp;" for"</f>
        <v>Age-adjusted IWCNP α-opic irradiance for</v>
      </c>
      <c r="F68" s="57" t="s">
        <v>129</v>
      </c>
      <c r="G68" s="58" t="s">
        <v>130</v>
      </c>
      <c r="H68" s="59" t="s">
        <v>131</v>
      </c>
      <c r="I68" s="100" t="s">
        <v>132</v>
      </c>
      <c r="J68" s="101" t="s">
        <v>133</v>
      </c>
    </row>
    <row r="69" s="3" customFormat="1" ht="15.15" hidden="1" spans="1:11">
      <c r="A69" s="120"/>
      <c r="B69" s="121" t="str">
        <f>IF(Inputs!$B$5="","TEST",Inputs!$B$5)</f>
        <v>huashubei</v>
      </c>
      <c r="C69" s="122"/>
      <c r="D69" s="123" t="s">
        <v>456</v>
      </c>
      <c r="E69" s="124">
        <f>'Advanced Outputs'!$C$61</f>
        <v>65</v>
      </c>
      <c r="F69" s="125">
        <f ca="1">Calculations!$J$14*SUMPRODUCT(Transmittance!$E$21:$E$421,Calculations!$M$21:$M$421,Calculations!N$21:N$421,Calculations!$K$21:$K$421)*$F$12</f>
        <v>22.1560821866299</v>
      </c>
      <c r="G69" s="126">
        <f ca="1">Calculations!$J$14*SUMPRODUCT(Transmittance!$E$21:$E$421,Calculations!$M$21:$M$421,Calculations!O$21:O$421,Calculations!$K$21:$K$421)*$F$12</f>
        <v>119.160234182707</v>
      </c>
      <c r="H69" s="127">
        <f ca="1">Calculations!$J$14*SUMPRODUCT(Transmittance!$E$21:$E$421,Calculations!$M$21:$M$421,Calculations!P$21:P$421,Calculations!$K$21:$K$421)*$F$12</f>
        <v>145.963053795492</v>
      </c>
      <c r="I69" s="136">
        <f ca="1">Calculations!$J$14*SUMPRODUCT(Transmittance!$E$21:$E$421,Calculations!$M$21:$M$421,Calculations!Q$21:Q$421,Calculations!$K$21:$K$421)*$F$12</f>
        <v>83.9519291053401</v>
      </c>
      <c r="J69" s="137">
        <f ca="1">Calculations!$J$14*SUMPRODUCT(Transmittance!$E$21:$E$421,Calculations!$M$21:$M$421,Calculations!R$21:R$421,Calculations!$K$21:$K$421)*$F$12</f>
        <v>58.9259024305308</v>
      </c>
      <c r="K69" s="6"/>
    </row>
    <row r="70" s="6" customFormat="1" hidden="1" spans="1:5">
      <c r="A70" s="120"/>
      <c r="E70" s="24"/>
    </row>
    <row r="71" s="6" customFormat="1" hidden="1" spans="1:10">
      <c r="A71" s="120"/>
      <c r="D71" s="14" t="str">
        <f>"Age-adjusted "&amp;$F$43</f>
        <v>Age-adjusted IWCNP α-opic equivalent (R†: illuminant E) illuminance, klx</v>
      </c>
      <c r="E71" s="24"/>
      <c r="G71" s="85"/>
      <c r="H71" s="85"/>
      <c r="I71" s="85"/>
      <c r="J71" s="93" t="str">
        <f>"Age-adjusted "&amp;$J$43</f>
        <v>Age-adjusted IWCNP α-opic ER†I</v>
      </c>
    </row>
    <row r="72" s="6" customFormat="1" hidden="1" spans="1:11">
      <c r="A72" s="120"/>
      <c r="B72" s="118"/>
      <c r="D72" s="77" t="str">
        <f>"age-adjusted "&amp;SUBSTITUTE(SUBSTITUTE($F$44,"= ","= age-adjusted "),"/ ","/ standard-observer-age-32 ")</f>
        <v>age-adjusted IWCNP α-opic ER†I = age-adjusted IWCNP α-opic irradiance / standard-observer-age-32 IWCNP α-opic ELR for (R†: illuminant E)</v>
      </c>
      <c r="E72" s="77"/>
      <c r="F72" s="77"/>
      <c r="G72" s="77"/>
      <c r="H72" s="77"/>
      <c r="I72" s="77"/>
      <c r="J72" s="77"/>
      <c r="K72" s="4" t="str">
        <f>"(A3)"</f>
        <v>(A3)</v>
      </c>
    </row>
    <row r="73" s="6" customFormat="1" hidden="1" spans="1:11">
      <c r="A73" s="120"/>
      <c r="B73" s="118"/>
      <c r="D73" s="4"/>
      <c r="E73" s="24"/>
      <c r="F73" s="31"/>
      <c r="G73" s="31"/>
      <c r="H73" s="31"/>
      <c r="I73" s="31"/>
      <c r="J73" s="31"/>
      <c r="K73" s="4"/>
    </row>
    <row r="74" s="6" customFormat="1" ht="15.15" hidden="1" spans="1:10">
      <c r="A74" s="120"/>
      <c r="B74" s="6" t="str">
        <f>J71&amp;" for"</f>
        <v>Age-adjusted IWCNP α-opic ER†I for</v>
      </c>
      <c r="D74" s="4"/>
      <c r="E74" s="24"/>
      <c r="F74" s="57" t="s">
        <v>129</v>
      </c>
      <c r="G74" s="58" t="s">
        <v>130</v>
      </c>
      <c r="H74" s="59" t="s">
        <v>131</v>
      </c>
      <c r="I74" s="100" t="s">
        <v>132</v>
      </c>
      <c r="J74" s="101" t="s">
        <v>133</v>
      </c>
    </row>
    <row r="75" s="3" customFormat="1" ht="15.15" hidden="1" spans="1:11">
      <c r="A75" s="120"/>
      <c r="B75" s="121" t="str">
        <f>IF(Inputs!$B$5="","TEST",Inputs!$B$5)</f>
        <v>huashubei</v>
      </c>
      <c r="C75" s="122"/>
      <c r="D75" s="123" t="s">
        <v>456</v>
      </c>
      <c r="E75" s="124">
        <f>'Advanced Outputs'!$C$61</f>
        <v>65</v>
      </c>
      <c r="F75" s="128">
        <f ca="1">1000*(F69/F34)*($H$12/$F$12)</f>
        <v>0.294340999323627</v>
      </c>
      <c r="G75" s="129">
        <f ca="1">1000*(G69/G34)*($H$12/$F$12)</f>
        <v>0.739001858211573</v>
      </c>
      <c r="H75" s="130">
        <f ca="1">1000*(H69/H34)*($H$12/$F$12)</f>
        <v>0.845211734626629</v>
      </c>
      <c r="I75" s="138">
        <f ca="1">1000*(I69/I34)*($H$12/$F$12)</f>
        <v>0.592418354176057</v>
      </c>
      <c r="J75" s="139">
        <f ca="1">1000*(J69/J34)*($H$12/$F$12)</f>
        <v>0.490771403066458</v>
      </c>
      <c r="K75" s="6"/>
    </row>
    <row r="76" s="6" customFormat="1" hidden="1" spans="1:11">
      <c r="A76" s="120"/>
      <c r="B76" s="120"/>
      <c r="C76" s="120"/>
      <c r="D76" s="120"/>
      <c r="E76" s="131"/>
      <c r="F76" s="120"/>
      <c r="G76" s="120"/>
      <c r="H76" s="120"/>
      <c r="I76" s="120"/>
      <c r="J76" s="120"/>
      <c r="K76" s="120"/>
    </row>
    <row r="77" s="6" customFormat="1" hidden="1" spans="4:10">
      <c r="D77" s="14" t="str">
        <f>"Age-adjusted "&amp;$F$51</f>
        <v>Age-adjusted log IWCNP α-opic photon irradiance, log Q/(s-1.cm-2), where</v>
      </c>
      <c r="E77" s="24"/>
      <c r="G77" s="85"/>
      <c r="H77" s="85"/>
      <c r="I77" s="85"/>
      <c r="J77" s="93" t="str">
        <f>"Age-adjusted "&amp;$J$51</f>
        <v>Age-adjusted IWCNP α-opic photon irradiance</v>
      </c>
    </row>
    <row r="78" s="6" customFormat="1" hidden="1" spans="2:11">
      <c r="B78" s="118"/>
      <c r="D78" s="77" t="str">
        <f>"age-adjusted "&amp;IF('Advanced Inputs'!$J$11="CIE S 026","","IWCNP ")&amp;"α-opic "&amp;$J$7&amp;" = ∫ spectral "&amp;$J$7&amp;" * photon system "&amp;IF('Advanced Inputs'!$J$11="CIE S 026","","IWCNP ")&amp;"α-opic action spectrum * c(a,λ) * dλ"</f>
        <v>age-adjusted IWCNP α-opic photon irradiance = ∫ spectral photon irradiance * photon system IWCNP α-opic action spectrum * c(a,λ) * dλ</v>
      </c>
      <c r="E78" s="77"/>
      <c r="F78" s="77"/>
      <c r="G78" s="77"/>
      <c r="H78" s="77"/>
      <c r="I78" s="77"/>
      <c r="J78" s="77"/>
      <c r="K78" s="4" t="str">
        <f>"(A4)"</f>
        <v>(A4)</v>
      </c>
    </row>
    <row r="79" s="6" customFormat="1" hidden="1" spans="2:11">
      <c r="B79" s="118"/>
      <c r="E79" s="24"/>
      <c r="F79" s="132"/>
      <c r="G79" s="132"/>
      <c r="H79" s="132"/>
      <c r="I79" s="132"/>
      <c r="J79" s="132"/>
      <c r="K79" s="4"/>
    </row>
    <row r="80" s="6" customFormat="1" ht="15.15" hidden="1" spans="2:10">
      <c r="B80" s="6" t="str">
        <f>J77&amp;" for"</f>
        <v>Age-adjusted IWCNP α-opic photon irradiance for</v>
      </c>
      <c r="E80" s="24"/>
      <c r="F80" s="57" t="s">
        <v>129</v>
      </c>
      <c r="G80" s="58" t="s">
        <v>130</v>
      </c>
      <c r="H80" s="59" t="s">
        <v>131</v>
      </c>
      <c r="I80" s="100" t="s">
        <v>132</v>
      </c>
      <c r="J80" s="101" t="s">
        <v>133</v>
      </c>
    </row>
    <row r="81" s="3" customFormat="1" ht="15.15" hidden="1" spans="1:11">
      <c r="A81" s="6"/>
      <c r="B81" s="121" t="str">
        <f>IF(Inputs!$B$5="","TEST",Inputs!$B$5)</f>
        <v>huashubei</v>
      </c>
      <c r="C81" s="122"/>
      <c r="D81" s="123" t="s">
        <v>456</v>
      </c>
      <c r="E81" s="124">
        <f>'Advanced Outputs'!$C$61</f>
        <v>65</v>
      </c>
      <c r="F81" s="133">
        <f ca="1">LOG(Calculations!$J$14*SUMPRODUCT(Transmittance!$E$21:$E$421,Calculations!$S$21:$S$421,Calculations!T$21:T$421,Calculations!$K$21:$K$421)*$J$12)</f>
        <v>13.6909904970259</v>
      </c>
      <c r="G81" s="134">
        <f ca="1">LOG(Calculations!$J$14*SUMPRODUCT(Transmittance!$E$21:$E$421,Calculations!$S$21:$S$421,Calculations!U$21:U$421,Calculations!$K$21:$K$421)*$J$12)</f>
        <v>14.5130014662321</v>
      </c>
      <c r="H81" s="135">
        <f ca="1">LOG(Calculations!$J$14*SUMPRODUCT(Transmittance!$E$21:$E$421,Calculations!$S$21:$S$421,Calculations!V$21:V$421,Calculations!$K$21:$K$421)*$J$12)</f>
        <v>14.6216108529335</v>
      </c>
      <c r="I81" s="140">
        <f ca="1">LOG(Calculations!$J$14*SUMPRODUCT(Transmittance!$E$21:$E$421,Calculations!$S$21:$S$421,Calculations!W$21:W$421,Calculations!$K$21:$K$421)*$J$12)</f>
        <v>14.3334192454641</v>
      </c>
      <c r="J81" s="141">
        <f ca="1">LOG(Calculations!$J$14*SUMPRODUCT(Transmittance!$E$21:$E$421,Calculations!$S$21:$S$421,Calculations!X$21:X$421,Calculations!$K$21:$K$421)*$J$12)</f>
        <v>14.1614620566103</v>
      </c>
      <c r="K81" s="6"/>
    </row>
    <row r="82" s="6" customFormat="1" hidden="1"/>
  </sheetData>
  <sheetProtection password="CAB0" sheet="1" objects="1" scenarios="1"/>
  <mergeCells count="26">
    <mergeCell ref="F5:J5"/>
    <mergeCell ref="F14:J14"/>
    <mergeCell ref="F15:J15"/>
    <mergeCell ref="F16:J16"/>
    <mergeCell ref="D19:E19"/>
    <mergeCell ref="D20:E20"/>
    <mergeCell ref="F23:J23"/>
    <mergeCell ref="F30:J30"/>
    <mergeCell ref="F37:J37"/>
    <mergeCell ref="F44:J44"/>
    <mergeCell ref="F45:J45"/>
    <mergeCell ref="F52:J52"/>
    <mergeCell ref="D65:J65"/>
    <mergeCell ref="D66:J66"/>
    <mergeCell ref="D72:J72"/>
    <mergeCell ref="D78:J78"/>
    <mergeCell ref="D40:E41"/>
    <mergeCell ref="D33:E34"/>
    <mergeCell ref="D26:E27"/>
    <mergeCell ref="B43:C45"/>
    <mergeCell ref="B51:C52"/>
    <mergeCell ref="D55:E56"/>
    <mergeCell ref="D48:E49"/>
    <mergeCell ref="B29:C30"/>
    <mergeCell ref="B36:C37"/>
    <mergeCell ref="B22:C23"/>
  </mergeCells>
  <conditionalFormatting sqref="J1">
    <cfRule type="cellIs" dxfId="3" priority="1" operator="notEqual">
      <formula>"CIE S 026"</formula>
    </cfRule>
  </conditionalFormatting>
  <conditionalFormatting sqref="G11">
    <cfRule type="cellIs" dxfId="5" priority="2" operator="equal">
      <formula>"Clear:"</formula>
    </cfRule>
  </conditionalFormatting>
  <conditionalFormatting sqref="C12">
    <cfRule type="containsText" dxfId="0" priority="5" operator="between" text="CHECK INPUTS">
      <formula>NOT(ISERROR(SEARCH("CHECK INPUTS",C12)))</formula>
    </cfRule>
  </conditionalFormatting>
  <conditionalFormatting sqref="B14">
    <cfRule type="notContainsText" dxfId="0" priority="4" operator="notContains" text="Standard CIE S 026 calculations.">
      <formula>ISERROR(SEARCH("Standard CIE S 026 calculations.",B14))</formula>
    </cfRule>
  </conditionalFormatting>
  <conditionalFormatting sqref="C61">
    <cfRule type="cellIs" dxfId="4" priority="3" operator="notEqual">
      <formula>32</formula>
    </cfRule>
  </conditionalFormatting>
  <dataValidations count="7">
    <dataValidation type="list" showErrorMessage="1"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sqref="J1">
      <formula1>Photobiology!$L$3:$L$4</formula1>
    </dataValidation>
    <dataValidation allowBlank="1" showErrorMessage="1" promptTitle="Ouputs" prompt="&#10;You can choose your preferred SI quantity prefix and area prefix (if applicable) in cells F10:F11, H10:H11 and J11.&#10;" sqref="B3"/>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J3 C58"/>
    <dataValidation type="list" allowBlank="1" showErrorMessage="1" promptTitle="Select SI prefix, if any" prompt="&#10;Note that there is a difference between M = 10^6 but m = 10^-3. CAUTION: Excel will offer &quot;M&quot; first when &quot;m&quot; is already selected." sqref="F10 H10">
      <formula1>Physics!$C$23:$C$35</formula1>
    </dataValidation>
    <dataValidation type="list" allowBlank="1" showErrorMessage="1" promptTitle="Select SI prefix, if any" prompt="&#10;Note that there is a difference between M = 10^6 but m = 10^-3. CAUTION: Excel will offer &quot;M&quot; first when &quot;m&quot; is already selected.&#10;" sqref="F11 J11">
      <formula1>Physics!$C$16:$C$19</formula1>
    </dataValidation>
    <dataValidation type="list" allowBlank="1" showErrorMessage="1" promptTitle="Select SI prefix, if any" prompt="&#10;Note that there is a difference between M = 10^6 but m = 10^-3. CAUTION: Excel will offer &quot;M&quot; first when &quot;m&quot; is already selected.&#10;&#10;Do not use with illuminance.&#10;" sqref="H11">
      <formula1>Physics!$C$16:$C$19</formula1>
    </dataValidation>
    <dataValidation type="whole" operator="between" allowBlank="1" showErrorMessage="1" promptTitle="Enter age 18-75" prompt="&#10;Please give age last birthday of the individual for calculating age-adjusted quantities. CAUTION age-adjusted quantities are non-standard and may not be suitable for practical purposes or scientific publications." sqref="C61">
      <formula1>10</formula1>
      <formula2>100</formula2>
    </dataValidation>
  </dataValidations>
  <pageMargins left="0.7" right="0.7" top="0.75" bottom="0.75" header="0.3" footer="0.3"/>
  <pageSetup paperSize="9" scale="54" fitToHeight="0" orientation="portrait"/>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tabColor theme="7" tint="-0.249977111117893"/>
    <pageSetUpPr fitToPage="1"/>
  </sheetPr>
  <dimension ref="A1:M423"/>
  <sheetViews>
    <sheetView workbookViewId="0">
      <selection activeCell="I3" sqref="I3"/>
    </sheetView>
  </sheetViews>
  <sheetFormatPr defaultColWidth="0" defaultRowHeight="14.4" zeroHeight="1"/>
  <cols>
    <col min="1" max="1" width="5.71296296296296" style="1" customWidth="1"/>
    <col min="2" max="2" width="15.712962962963" style="1" customWidth="1"/>
    <col min="3" max="5" width="15.712962962963" style="2" customWidth="1"/>
    <col min="6" max="6" width="5.71296296296296" style="2" customWidth="1"/>
    <col min="7" max="13" width="15.712962962963" style="2" hidden="1" customWidth="1"/>
    <col min="14" max="16384" width="9.13888888888889" style="3" hidden="1"/>
  </cols>
  <sheetData>
    <row r="1" ht="24.95" customHeight="1" spans="1:13">
      <c r="A1" s="4"/>
      <c r="B1" s="5" t="str">
        <f>LEFT(Disclaimer!B1,Maintenance!I3)</f>
        <v>CIE S 026 α-opic Toolbox - v1.049a - 2020/11</v>
      </c>
      <c r="C1" s="6"/>
      <c r="D1" s="6"/>
      <c r="E1" s="7"/>
      <c r="F1" s="8"/>
      <c r="G1" s="9"/>
      <c r="H1" s="9"/>
      <c r="I1" s="9"/>
      <c r="J1" s="9"/>
      <c r="K1" s="9"/>
      <c r="L1" s="9"/>
      <c r="M1" s="9"/>
    </row>
    <row r="2" spans="1:13">
      <c r="A2" s="6"/>
      <c r="B2" s="7"/>
      <c r="C2" s="6"/>
      <c r="D2" s="6"/>
      <c r="E2" s="7"/>
      <c r="F2" s="8"/>
      <c r="G2" s="9"/>
      <c r="H2" s="9"/>
      <c r="I2" s="9"/>
      <c r="J2" s="9"/>
      <c r="K2" s="9"/>
      <c r="L2" s="9"/>
      <c r="M2" s="9"/>
    </row>
    <row r="3" spans="1:13">
      <c r="A3" s="4"/>
      <c r="B3" s="10" t="s">
        <v>457</v>
      </c>
      <c r="C3" s="11" t="s">
        <v>390</v>
      </c>
      <c r="D3" s="12"/>
      <c r="E3" s="12"/>
      <c r="F3" s="8"/>
      <c r="G3" s="9"/>
      <c r="H3" s="9"/>
      <c r="I3" s="9"/>
      <c r="J3" s="9"/>
      <c r="K3" s="9"/>
      <c r="L3" s="9"/>
      <c r="M3" s="9"/>
    </row>
    <row r="4" spans="1:13">
      <c r="A4" s="4"/>
      <c r="B4" s="4"/>
      <c r="C4" s="4"/>
      <c r="D4" s="13"/>
      <c r="E4" s="13"/>
      <c r="F4" s="8"/>
      <c r="G4" s="9"/>
      <c r="H4" s="9"/>
      <c r="I4" s="9"/>
      <c r="J4" s="9"/>
      <c r="K4" s="9"/>
      <c r="L4" s="9"/>
      <c r="M4" s="9"/>
    </row>
    <row r="5" hidden="1" spans="1:13">
      <c r="A5" s="4"/>
      <c r="B5" s="14" t="s">
        <v>458</v>
      </c>
      <c r="C5" s="4"/>
      <c r="D5" s="4"/>
      <c r="E5" s="4"/>
      <c r="F5" s="4"/>
      <c r="G5" s="9"/>
      <c r="H5" s="9"/>
      <c r="I5" s="9"/>
      <c r="J5" s="9"/>
      <c r="K5" s="9"/>
      <c r="L5" s="9"/>
      <c r="M5" s="9"/>
    </row>
    <row r="6" hidden="1" spans="1:13">
      <c r="A6" s="4"/>
      <c r="B6" s="4"/>
      <c r="C6" s="6"/>
      <c r="D6" s="6"/>
      <c r="E6" s="6"/>
      <c r="F6" s="8"/>
      <c r="G6" s="9"/>
      <c r="H6" s="9"/>
      <c r="I6" s="9"/>
      <c r="J6" s="9"/>
      <c r="K6" s="9"/>
      <c r="L6" s="9"/>
      <c r="M6" s="9"/>
    </row>
    <row r="7" hidden="1" spans="1:13">
      <c r="A7" s="4"/>
      <c r="B7" s="15" t="s">
        <v>459</v>
      </c>
      <c r="C7" s="6"/>
      <c r="D7" s="6"/>
      <c r="E7" s="6"/>
      <c r="F7" s="8"/>
      <c r="G7" s="9"/>
      <c r="H7" s="9"/>
      <c r="I7" s="9"/>
      <c r="J7" s="9"/>
      <c r="K7" s="9"/>
      <c r="L7" s="9"/>
      <c r="M7" s="9"/>
    </row>
    <row r="8" hidden="1" spans="1:13">
      <c r="A8" s="4"/>
      <c r="B8" s="4"/>
      <c r="C8" s="6"/>
      <c r="D8" s="6"/>
      <c r="E8" s="6"/>
      <c r="F8" s="8"/>
      <c r="G8" s="9"/>
      <c r="H8" s="9"/>
      <c r="I8" s="9"/>
      <c r="J8" s="9"/>
      <c r="K8" s="9"/>
      <c r="L8" s="9"/>
      <c r="M8" s="9"/>
    </row>
    <row r="9" hidden="1" spans="1:13">
      <c r="A9" s="4"/>
      <c r="B9" s="16" t="s">
        <v>460</v>
      </c>
      <c r="C9" s="6"/>
      <c r="D9" s="6"/>
      <c r="E9" s="6"/>
      <c r="F9" s="6"/>
      <c r="G9" s="9"/>
      <c r="H9" s="9"/>
      <c r="I9" s="9"/>
      <c r="J9" s="9"/>
      <c r="K9" s="9"/>
      <c r="L9" s="9"/>
      <c r="M9" s="9"/>
    </row>
    <row r="10" hidden="1" spans="1:13">
      <c r="A10" s="4"/>
      <c r="B10" s="16" t="s">
        <v>461</v>
      </c>
      <c r="C10" s="6"/>
      <c r="D10" s="6"/>
      <c r="E10" s="6"/>
      <c r="F10" s="8"/>
      <c r="G10" s="9"/>
      <c r="H10" s="9"/>
      <c r="I10" s="9"/>
      <c r="J10" s="9"/>
      <c r="K10" s="9"/>
      <c r="L10" s="9"/>
      <c r="M10" s="9"/>
    </row>
    <row r="11" hidden="1" spans="1:13">
      <c r="A11" s="4"/>
      <c r="B11" s="17" t="s">
        <v>462</v>
      </c>
      <c r="C11" s="6"/>
      <c r="D11" s="6"/>
      <c r="E11" s="6"/>
      <c r="F11" s="8"/>
      <c r="G11" s="9"/>
      <c r="H11" s="9"/>
      <c r="I11" s="9"/>
      <c r="J11" s="9"/>
      <c r="K11" s="9"/>
      <c r="L11" s="9"/>
      <c r="M11" s="9"/>
    </row>
    <row r="12" hidden="1" spans="1:13">
      <c r="A12" s="4"/>
      <c r="B12" s="15"/>
      <c r="C12" s="7"/>
      <c r="D12" s="6"/>
      <c r="E12" s="7"/>
      <c r="F12" s="8"/>
      <c r="G12" s="9"/>
      <c r="H12" s="9"/>
      <c r="I12" s="9"/>
      <c r="J12" s="9"/>
      <c r="K12" s="9"/>
      <c r="L12" s="9"/>
      <c r="M12" s="9"/>
    </row>
    <row r="13" hidden="1" spans="1:13">
      <c r="A13" s="4"/>
      <c r="B13" s="18" t="s">
        <v>463</v>
      </c>
      <c r="C13" s="7"/>
      <c r="D13" s="6"/>
      <c r="E13" s="7"/>
      <c r="F13" s="8"/>
      <c r="G13" s="9"/>
      <c r="H13" s="9"/>
      <c r="I13" s="9"/>
      <c r="J13" s="9"/>
      <c r="K13" s="9"/>
      <c r="L13" s="9"/>
      <c r="M13" s="9"/>
    </row>
    <row r="14" hidden="1" spans="1:13">
      <c r="A14" s="4"/>
      <c r="B14" s="11" t="s">
        <v>464</v>
      </c>
      <c r="C14" s="7"/>
      <c r="D14" s="6"/>
      <c r="E14" s="7"/>
      <c r="F14" s="8"/>
      <c r="G14" s="9"/>
      <c r="H14" s="9"/>
      <c r="I14" s="9"/>
      <c r="J14" s="9"/>
      <c r="K14" s="9"/>
      <c r="L14" s="9"/>
      <c r="M14" s="9"/>
    </row>
    <row r="15" hidden="1" spans="1:13">
      <c r="A15" s="4"/>
      <c r="B15" s="11" t="s">
        <v>465</v>
      </c>
      <c r="C15" s="7"/>
      <c r="D15" s="6"/>
      <c r="E15" s="7"/>
      <c r="F15" s="8"/>
      <c r="G15" s="9"/>
      <c r="H15" s="9"/>
      <c r="I15" s="9"/>
      <c r="J15" s="9"/>
      <c r="K15" s="9"/>
      <c r="L15" s="9"/>
      <c r="M15" s="9"/>
    </row>
    <row r="16" hidden="1" spans="1:13">
      <c r="A16" s="4"/>
      <c r="B16" s="11" t="s">
        <v>466</v>
      </c>
      <c r="C16" s="7"/>
      <c r="D16" s="6"/>
      <c r="E16" s="7"/>
      <c r="F16" s="8"/>
      <c r="G16" s="9"/>
      <c r="H16" s="9"/>
      <c r="I16" s="9"/>
      <c r="J16" s="9"/>
      <c r="K16" s="9"/>
      <c r="L16" s="9"/>
      <c r="M16" s="9"/>
    </row>
    <row r="17" hidden="1" spans="1:13">
      <c r="A17" s="4"/>
      <c r="B17" s="19"/>
      <c r="C17" s="7"/>
      <c r="D17" s="6"/>
      <c r="E17" s="7"/>
      <c r="F17" s="8"/>
      <c r="G17" s="9"/>
      <c r="H17" s="9"/>
      <c r="I17" s="9"/>
      <c r="J17" s="9"/>
      <c r="K17" s="9"/>
      <c r="L17" s="9"/>
      <c r="M17" s="9"/>
    </row>
    <row r="18" hidden="1" spans="1:13">
      <c r="A18" s="4"/>
      <c r="B18" s="4"/>
      <c r="C18" s="20" t="s">
        <v>457</v>
      </c>
      <c r="D18" s="20" t="s">
        <v>467</v>
      </c>
      <c r="E18" s="20" t="s">
        <v>468</v>
      </c>
      <c r="F18" s="8"/>
      <c r="G18" s="9"/>
      <c r="H18" s="9"/>
      <c r="I18" s="9"/>
      <c r="J18" s="9"/>
      <c r="K18" s="9"/>
      <c r="L18" s="9"/>
      <c r="M18" s="9"/>
    </row>
    <row r="19" hidden="1" spans="1:13">
      <c r="A19" s="4"/>
      <c r="B19" s="4"/>
      <c r="C19" s="4"/>
      <c r="D19" s="4"/>
      <c r="E19" s="4"/>
      <c r="F19" s="8"/>
      <c r="G19" s="9"/>
      <c r="H19" s="9"/>
      <c r="I19" s="9"/>
      <c r="J19" s="9"/>
      <c r="K19" s="9"/>
      <c r="L19" s="9"/>
      <c r="M19" s="9"/>
    </row>
    <row r="20" hidden="1" spans="1:13">
      <c r="A20" s="4"/>
      <c r="B20" s="4" t="s">
        <v>111</v>
      </c>
      <c r="C20" s="13" t="str">
        <f>"τ("&amp;'Advanced Outputs'!$C$61&amp;",λ)"</f>
        <v>τ(65,λ)</v>
      </c>
      <c r="D20" s="4" t="s">
        <v>469</v>
      </c>
      <c r="E20" s="13" t="str">
        <f>"c("&amp;'Advanced Outputs'!$C$61&amp;",λ)"</f>
        <v>c(65,λ)</v>
      </c>
      <c r="F20" s="12"/>
      <c r="G20" s="9" t="s">
        <v>470</v>
      </c>
      <c r="H20" s="9"/>
      <c r="I20" s="9"/>
      <c r="J20" s="9"/>
      <c r="K20" s="9"/>
      <c r="L20" s="9"/>
      <c r="M20" s="9"/>
    </row>
    <row r="21" hidden="1" spans="1:13">
      <c r="A21" s="4"/>
      <c r="B21" s="4">
        <v>380</v>
      </c>
      <c r="C21" s="21">
        <f>10^(-(($G$21+$H$21*'Advanced Outputs'!C$61^$I$21)*(($B21/$M$21)^-$K$21)+($G$22+$H$22*'Advanced Outputs'!C$61^$I$22)*$J$22*EXP(-(($L$22*($B21-$M$22))^$K$22))+($G$23+$H$23*'Advanced Outputs'!C$61^$I$23)*$J$23*EXP(-(($L$23*($B21-$M$23))^$K$23))+($G$24+$H$24*'Advanced Outputs'!C$61^$I$24)*$J$24*EXP(-(($L$24*($B21-$M$24))^$K$24))+($G$25+$H$25*'Advanced Outputs'!C$61^$I$25)*$J$25*EXP(-(($L$25*($B21-$M$25))^$K$25))+$G$26))</f>
        <v>5.30565094775642e-6</v>
      </c>
      <c r="D21" s="21">
        <f>10^(-(($G$21+$H$21*'Advanced Outputs'!C$60^$I$21)*(($B21/$M$21)^-$K$21)+($G$22+$H$22*'Advanced Outputs'!C$60^$I$22)*$J$22*EXP(-(($L$22*($B21-$M$22))^$K$22))+($G$23+$H$23*'Advanced Outputs'!C$60^$I$23)*$J$23*EXP(-(($L$23*($B21-$M$23))^$K$23))+($G$24+$H$24*'Advanced Outputs'!C$60^$I$24)*$J$24*EXP(-(($L$24*($B21-$M$24))^$K$24))+($G$25+$H$25*'Advanced Outputs'!C$60^$I$25)*$J$25*EXP(-(($L$25*($B21-$M$25))^$K$25))+$G$26))</f>
        <v>0.000666352917032772</v>
      </c>
      <c r="E21" s="21">
        <f t="shared" ref="E21:E84" si="0">C21/D21</f>
        <v>0.0079622236387621</v>
      </c>
      <c r="F21" s="12"/>
      <c r="G21" s="9">
        <v>0.15</v>
      </c>
      <c r="H21" s="9">
        <v>3.1e-5</v>
      </c>
      <c r="I21" s="9">
        <v>2</v>
      </c>
      <c r="J21" s="9" t="s">
        <v>297</v>
      </c>
      <c r="K21" s="9">
        <v>4</v>
      </c>
      <c r="L21" s="9" t="s">
        <v>297</v>
      </c>
      <c r="M21" s="9">
        <v>400</v>
      </c>
    </row>
    <row r="22" hidden="1" spans="1:13">
      <c r="A22" s="4"/>
      <c r="B22" s="4">
        <v>381</v>
      </c>
      <c r="C22" s="21">
        <f>10^(-(($G$21+$H$21*'Advanced Outputs'!C$61^$I$21)*(($B22/$M$21)^-$K$21)+($G$22+$H$22*'Advanced Outputs'!C$61^$I$22)*$J$22*EXP(-(($L$22*($B22-$M$22))^$K$22))+($G$23+$H$23*'Advanced Outputs'!C$61^$I$23)*$J$23*EXP(-(($L$23*($B22-$M$23))^$K$23))+($G$24+$H$24*'Advanced Outputs'!C$61^$I$24)*$J$24*EXP(-(($L$24*($B22-$M$24))^$K$24))+($G$25+$H$25*'Advanced Outputs'!C$61^$I$25)*$J$25*EXP(-(($L$25*($B22-$M$25))^$K$25))+$G$26))</f>
        <v>7.70987833612132e-6</v>
      </c>
      <c r="D22" s="21">
        <f>10^(-(($G$21+$H$21*'Advanced Outputs'!C$60^$I$21)*(($B22/$M$21)^-$K$21)+($G$22+$H$22*'Advanced Outputs'!C$60^$I$22)*$J$22*EXP(-(($L$22*($B22-$M$22))^$K$22))+($G$23+$H$23*'Advanced Outputs'!C$60^$I$23)*$J$23*EXP(-(($L$23*($B22-$M$23))^$K$23))+($G$24+$H$24*'Advanced Outputs'!C$60^$I$24)*$J$24*EXP(-(($L$24*($B22-$M$24))^$K$24))+($G$25+$H$25*'Advanced Outputs'!C$60^$I$25)*$J$25*EXP(-(($L$25*($B22-$M$25))^$K$25))+$G$26))</f>
        <v>0.000791762638021573</v>
      </c>
      <c r="E22" s="21">
        <f t="shared" si="0"/>
        <v>0.00973761322634075</v>
      </c>
      <c r="F22" s="12"/>
      <c r="G22" s="9">
        <v>14.19</v>
      </c>
      <c r="H22" s="9">
        <v>0</v>
      </c>
      <c r="I22" s="9">
        <v>0</v>
      </c>
      <c r="J22" s="9">
        <v>10.68</v>
      </c>
      <c r="K22" s="9">
        <v>2</v>
      </c>
      <c r="L22" s="9">
        <v>0.057</v>
      </c>
      <c r="M22" s="9">
        <v>273</v>
      </c>
    </row>
    <row r="23" hidden="1" spans="1:13">
      <c r="A23" s="4"/>
      <c r="B23" s="4">
        <v>382</v>
      </c>
      <c r="C23" s="21">
        <f>10^(-(($G$21+$H$21*'Advanced Outputs'!C$61^$I$21)*(($B23/$M$21)^-$K$21)+($G$22+$H$22*'Advanced Outputs'!C$61^$I$22)*$J$22*EXP(-(($L$22*($B23-$M$22))^$K$22))+($G$23+$H$23*'Advanced Outputs'!C$61^$I$23)*$J$23*EXP(-(($L$23*($B23-$M$23))^$K$23))+($G$24+$H$24*'Advanced Outputs'!C$61^$I$24)*$J$24*EXP(-(($L$24*($B23-$M$24))^$K$24))+($G$25+$H$25*'Advanced Outputs'!C$61^$I$25)*$J$25*EXP(-(($L$25*($B23-$M$25))^$K$25))+$G$26))</f>
        <v>1.1154163026222e-5</v>
      </c>
      <c r="D23" s="21">
        <f>10^(-(($G$21+$H$21*'Advanced Outputs'!C$60^$I$21)*(($B23/$M$21)^-$K$21)+($G$22+$H$22*'Advanced Outputs'!C$60^$I$22)*$J$22*EXP(-(($L$22*($B23-$M$22))^$K$22))+($G$23+$H$23*'Advanced Outputs'!C$60^$I$23)*$J$23*EXP(-(($L$23*($B23-$M$23))^$K$23))+($G$24+$H$24*'Advanced Outputs'!C$60^$I$24)*$J$24*EXP(-(($L$24*($B23-$M$24))^$K$24))+($G$25+$H$25*'Advanced Outputs'!C$60^$I$25)*$J$25*EXP(-(($L$25*($B23-$M$25))^$K$25))+$G$26))</f>
        <v>0.000943721068238894</v>
      </c>
      <c r="E23" s="21">
        <f t="shared" si="0"/>
        <v>0.011819343025834</v>
      </c>
      <c r="F23" s="12"/>
      <c r="G23" s="9">
        <v>1.05</v>
      </c>
      <c r="H23" s="9">
        <v>-6.3e-5</v>
      </c>
      <c r="I23" s="9">
        <v>2</v>
      </c>
      <c r="J23" s="9">
        <v>2.13</v>
      </c>
      <c r="K23" s="9">
        <v>2</v>
      </c>
      <c r="L23" s="9">
        <v>0.029</v>
      </c>
      <c r="M23" s="9">
        <v>370</v>
      </c>
    </row>
    <row r="24" hidden="1" spans="1:13">
      <c r="A24" s="4"/>
      <c r="B24" s="4">
        <v>383</v>
      </c>
      <c r="C24" s="21">
        <f>10^(-(($G$21+$H$21*'Advanced Outputs'!C$61^$I$21)*(($B24/$M$21)^-$K$21)+($G$22+$H$22*'Advanced Outputs'!C$61^$I$22)*$J$22*EXP(-(($L$22*($B24-$M$22))^$K$22))+($G$23+$H$23*'Advanced Outputs'!C$61^$I$23)*$J$23*EXP(-(($L$23*($B24-$M$23))^$K$23))+($G$24+$H$24*'Advanced Outputs'!C$61^$I$24)*$J$24*EXP(-(($L$24*($B24-$M$24))^$K$24))+($G$25+$H$25*'Advanced Outputs'!C$61^$I$25)*$J$25*EXP(-(($L$25*($B24-$M$25))^$K$25))+$G$26))</f>
        <v>1.6060210901495e-5</v>
      </c>
      <c r="D24" s="21">
        <f>10^(-(($G$21+$H$21*'Advanced Outputs'!C$60^$I$21)*(($B24/$M$21)^-$K$21)+($G$22+$H$22*'Advanced Outputs'!C$60^$I$22)*$J$22*EXP(-(($L$22*($B24-$M$22))^$K$22))+($G$23+$H$23*'Advanced Outputs'!C$60^$I$23)*$J$23*EXP(-(($L$23*($B24-$M$23))^$K$23))+($G$24+$H$24*'Advanced Outputs'!C$60^$I$24)*$J$24*EXP(-(($L$24*($B24-$M$24))^$K$24))+($G$25+$H$25*'Advanced Outputs'!C$60^$I$25)*$J$25*EXP(-(($L$25*($B24-$M$25))^$K$25))+$G$26))</f>
        <v>0.00112791092852792</v>
      </c>
      <c r="E24" s="21">
        <f t="shared" si="0"/>
        <v>0.0142388999834019</v>
      </c>
      <c r="F24" s="12"/>
      <c r="G24" s="9">
        <v>0.059</v>
      </c>
      <c r="H24" s="9">
        <v>0.000186</v>
      </c>
      <c r="I24" s="9">
        <v>2</v>
      </c>
      <c r="J24" s="9">
        <v>11.95</v>
      </c>
      <c r="K24" s="9">
        <v>2</v>
      </c>
      <c r="L24" s="9">
        <v>0.021</v>
      </c>
      <c r="M24" s="9">
        <v>325</v>
      </c>
    </row>
    <row r="25" hidden="1" spans="1:13">
      <c r="A25" s="4"/>
      <c r="B25" s="4">
        <v>384</v>
      </c>
      <c r="C25" s="21">
        <f>10^(-(($G$21+$H$21*'Advanced Outputs'!C$61^$I$21)*(($B25/$M$21)^-$K$21)+($G$22+$H$22*'Advanced Outputs'!C$61^$I$22)*$J$22*EXP(-(($L$22*($B25-$M$22))^$K$22))+($G$23+$H$23*'Advanced Outputs'!C$61^$I$23)*$J$23*EXP(-(($L$23*($B25-$M$23))^$K$23))+($G$24+$H$24*'Advanced Outputs'!C$61^$I$24)*$J$24*EXP(-(($L$24*($B25-$M$24))^$K$24))+($G$25+$H$25*'Advanced Outputs'!C$61^$I$25)*$J$25*EXP(-(($L$25*($B25-$M$25))^$K$25))+$G$26))</f>
        <v>2.30058852405665e-5</v>
      </c>
      <c r="D25" s="21">
        <f>10^(-(($G$21+$H$21*'Advanced Outputs'!C$60^$I$21)*(($B25/$M$21)^-$K$21)+($G$22+$H$22*'Advanced Outputs'!C$60^$I$22)*$J$22*EXP(-(($L$22*($B25-$M$22))^$K$22))+($G$23+$H$23*'Advanced Outputs'!C$60^$I$23)*$J$23*EXP(-(($L$23*($B25-$M$23))^$K$23))+($G$24+$H$24*'Advanced Outputs'!C$60^$I$24)*$J$24*EXP(-(($L$24*($B25-$M$24))^$K$24))+($G$25+$H$25*'Advanced Outputs'!C$60^$I$25)*$J$25*EXP(-(($L$25*($B25-$M$25))^$K$25))+$G$26))</f>
        <v>0.00135116344827301</v>
      </c>
      <c r="E25" s="21">
        <f t="shared" si="0"/>
        <v>0.0170267226144783</v>
      </c>
      <c r="F25" s="12"/>
      <c r="G25" s="9">
        <v>0.016</v>
      </c>
      <c r="H25" s="9">
        <v>0.000132</v>
      </c>
      <c r="I25" s="9">
        <v>2</v>
      </c>
      <c r="J25" s="9">
        <v>1.43</v>
      </c>
      <c r="K25" s="9">
        <v>2</v>
      </c>
      <c r="L25" s="9">
        <v>0.008</v>
      </c>
      <c r="M25" s="9">
        <v>325</v>
      </c>
    </row>
    <row r="26" hidden="1" spans="1:13">
      <c r="A26" s="4"/>
      <c r="B26" s="4">
        <v>385</v>
      </c>
      <c r="C26" s="21">
        <f>10^(-(($G$21+$H$21*'Advanced Outputs'!C$61^$I$21)*(($B26/$M$21)^-$K$21)+($G$22+$H$22*'Advanced Outputs'!C$61^$I$22)*$J$22*EXP(-(($L$22*($B26-$M$22))^$K$22))+($G$23+$H$23*'Advanced Outputs'!C$61^$I$23)*$J$23*EXP(-(($L$23*($B26-$M$23))^$K$23))+($G$24+$H$24*'Advanced Outputs'!C$61^$I$24)*$J$24*EXP(-(($L$24*($B26-$M$24))^$K$24))+($G$25+$H$25*'Advanced Outputs'!C$61^$I$25)*$J$25*EXP(-(($L$25*($B26-$M$25))^$K$25))+$G$26))</f>
        <v>3.27758369941755e-5</v>
      </c>
      <c r="D26" s="21">
        <f>10^(-(($G$21+$H$21*'Advanced Outputs'!C$60^$I$21)*(($B26/$M$21)^-$K$21)+($G$22+$H$22*'Advanced Outputs'!C$60^$I$22)*$J$22*EXP(-(($L$22*($B26-$M$22))^$K$22))+($G$23+$H$23*'Advanced Outputs'!C$60^$I$23)*$J$23*EXP(-(($L$23*($B26-$M$23))^$K$23))+($G$24+$H$24*'Advanced Outputs'!C$60^$I$24)*$J$24*EXP(-(($L$24*($B26-$M$24))^$K$24))+($G$25+$H$25*'Advanced Outputs'!C$60^$I$25)*$J$25*EXP(-(($L$25*($B26-$M$25))^$K$25))+$G$26))</f>
        <v>0.00162165470940919</v>
      </c>
      <c r="E26" s="21">
        <f t="shared" si="0"/>
        <v>0.0202113537512043</v>
      </c>
      <c r="F26" s="12"/>
      <c r="G26" s="9">
        <v>0.06</v>
      </c>
      <c r="H26" s="9" t="s">
        <v>471</v>
      </c>
      <c r="I26" s="9"/>
      <c r="J26" s="9"/>
      <c r="K26" s="9"/>
      <c r="L26" s="9"/>
      <c r="M26" s="9"/>
    </row>
    <row r="27" hidden="1" spans="1:13">
      <c r="A27" s="4"/>
      <c r="B27" s="4">
        <v>386</v>
      </c>
      <c r="C27" s="21">
        <f>10^(-(($G$21+$H$21*'Advanced Outputs'!C$61^$I$21)*(($B27/$M$21)^-$K$21)+($G$22+$H$22*'Advanced Outputs'!C$61^$I$22)*$J$22*EXP(-(($L$22*($B27-$M$22))^$K$22))+($G$23+$H$23*'Advanced Outputs'!C$61^$I$23)*$J$23*EXP(-(($L$23*($B27-$M$23))^$K$23))+($G$24+$H$24*'Advanced Outputs'!C$61^$I$24)*$J$24*EXP(-(($L$24*($B27-$M$24))^$K$24))+($G$25+$H$25*'Advanced Outputs'!C$61^$I$25)*$J$25*EXP(-(($L$25*($B27-$M$25))^$K$25))+$G$26))</f>
        <v>4.64253358047555e-5</v>
      </c>
      <c r="D27" s="21">
        <f>10^(-(($G$21+$H$21*'Advanced Outputs'!C$60^$I$21)*(($B27/$M$21)^-$K$21)+($G$22+$H$22*'Advanced Outputs'!C$60^$I$22)*$J$22*EXP(-(($L$22*($B27-$M$22))^$K$22))+($G$23+$H$23*'Advanced Outputs'!C$60^$I$23)*$J$23*EXP(-(($L$23*($B27-$M$23))^$K$23))+($G$24+$H$24*'Advanced Outputs'!C$60^$I$24)*$J$24*EXP(-(($L$24*($B27-$M$24))^$K$24))+($G$25+$H$25*'Advanced Outputs'!C$60^$I$25)*$J$25*EXP(-(($L$25*($B27-$M$25))^$K$25))+$G$26))</f>
        <v>0.00194912226438245</v>
      </c>
      <c r="E27" s="21">
        <f t="shared" si="0"/>
        <v>0.0238185857568379</v>
      </c>
      <c r="F27" s="12"/>
      <c r="G27" s="9"/>
      <c r="H27" s="9"/>
      <c r="I27" s="9"/>
      <c r="J27" s="9"/>
      <c r="K27" s="9"/>
      <c r="L27" s="9"/>
      <c r="M27" s="9"/>
    </row>
    <row r="28" hidden="1" spans="1:13">
      <c r="A28" s="4"/>
      <c r="B28" s="4">
        <v>387</v>
      </c>
      <c r="C28" s="21">
        <f>10^(-(($G$21+$H$21*'Advanced Outputs'!C$61^$I$21)*(($B28/$M$21)^-$K$21)+($G$22+$H$22*'Advanced Outputs'!C$61^$I$22)*$J$22*EXP(-(($L$22*($B28-$M$22))^$K$22))+($G$23+$H$23*'Advanced Outputs'!C$61^$I$23)*$J$23*EXP(-(($L$23*($B28-$M$23))^$K$23))+($G$24+$H$24*'Advanced Outputs'!C$61^$I$24)*$J$24*EXP(-(($L$24*($B28-$M$24))^$K$24))+($G$25+$H$25*'Advanced Outputs'!C$61^$I$25)*$J$25*EXP(-(($L$25*($B28-$M$25))^$K$25))+$G$26))</f>
        <v>6.53594177221527e-5</v>
      </c>
      <c r="D28" s="21">
        <f>10^(-(($G$21+$H$21*'Advanced Outputs'!C$60^$I$21)*(($B28/$M$21)^-$K$21)+($G$22+$H$22*'Advanced Outputs'!C$60^$I$22)*$J$22*EXP(-(($L$22*($B28-$M$22))^$K$22))+($G$23+$H$23*'Advanced Outputs'!C$60^$I$23)*$J$23*EXP(-(($L$23*($B28-$M$23))^$K$23))+($G$24+$H$24*'Advanced Outputs'!C$60^$I$24)*$J$24*EXP(-(($L$24*($B28-$M$24))^$K$24))+($G$25+$H$25*'Advanced Outputs'!C$60^$I$25)*$J$25*EXP(-(($L$25*($B28-$M$25))^$K$25))+$G$26))</f>
        <v>0.00234509955006943</v>
      </c>
      <c r="E28" s="21">
        <f t="shared" si="0"/>
        <v>0.027870636758349</v>
      </c>
      <c r="F28" s="12"/>
      <c r="G28" s="9"/>
      <c r="H28" s="9"/>
      <c r="I28" s="9"/>
      <c r="J28" s="9"/>
      <c r="K28" s="9"/>
      <c r="L28" s="9"/>
      <c r="M28" s="9"/>
    </row>
    <row r="29" hidden="1" spans="1:13">
      <c r="A29" s="4"/>
      <c r="B29" s="4">
        <v>388</v>
      </c>
      <c r="C29" s="21">
        <f>10^(-(($G$21+$H$21*'Advanced Outputs'!C$61^$I$21)*(($B29/$M$21)^-$K$21)+($G$22+$H$22*'Advanced Outputs'!C$61^$I$22)*$J$22*EXP(-(($L$22*($B29-$M$22))^$K$22))+($G$23+$H$23*'Advanced Outputs'!C$61^$I$23)*$J$23*EXP(-(($L$23*($B29-$M$23))^$K$23))+($G$24+$H$24*'Advanced Outputs'!C$61^$I$24)*$J$24*EXP(-(($L$24*($B29-$M$24))^$K$24))+($G$25+$H$25*'Advanced Outputs'!C$61^$I$25)*$J$25*EXP(-(($L$25*($B29-$M$25))^$K$25))+$G$26))</f>
        <v>9.142927796277e-5</v>
      </c>
      <c r="D29" s="21">
        <f>10^(-(($G$21+$H$21*'Advanced Outputs'!C$60^$I$21)*(($B29/$M$21)^-$K$21)+($G$22+$H$22*'Advanced Outputs'!C$60^$I$22)*$J$22*EXP(-(($L$22*($B29-$M$22))^$K$22))+($G$23+$H$23*'Advanced Outputs'!C$60^$I$23)*$J$23*EXP(-(($L$23*($B29-$M$23))^$K$23))+($G$24+$H$24*'Advanced Outputs'!C$60^$I$24)*$J$24*EXP(-(($L$24*($B29-$M$24))^$K$24))+($G$25+$H$25*'Advanced Outputs'!C$60^$I$25)*$J$25*EXP(-(($L$25*($B29-$M$25))^$K$25))+$G$26))</f>
        <v>0.0028231637495822</v>
      </c>
      <c r="E29" s="21">
        <f t="shared" si="0"/>
        <v>0.0323853966941523</v>
      </c>
      <c r="F29" s="12"/>
      <c r="G29" s="9"/>
      <c r="H29" s="9"/>
      <c r="I29" s="9"/>
      <c r="J29" s="9"/>
      <c r="K29" s="9"/>
      <c r="L29" s="9"/>
      <c r="M29" s="9"/>
    </row>
    <row r="30" hidden="1" spans="1:13">
      <c r="A30" s="4"/>
      <c r="B30" s="4">
        <v>389</v>
      </c>
      <c r="C30" s="21">
        <f>10^(-(($G$21+$H$21*'Advanced Outputs'!C$61^$I$21)*(($B30/$M$21)^-$K$21)+($G$22+$H$22*'Advanced Outputs'!C$61^$I$22)*$J$22*EXP(-(($L$22*($B30-$M$22))^$K$22))+($G$23+$H$23*'Advanced Outputs'!C$61^$I$23)*$J$23*EXP(-(($L$23*($B30-$M$23))^$K$23))+($G$24+$H$24*'Advanced Outputs'!C$61^$I$24)*$J$24*EXP(-(($L$24*($B30-$M$24))^$K$24))+($G$25+$H$25*'Advanced Outputs'!C$61^$I$25)*$J$25*EXP(-(($L$25*($B30-$M$25))^$K$25))+$G$26))</f>
        <v>0.000127047394813409</v>
      </c>
      <c r="D30" s="21">
        <f>10^(-(($G$21+$H$21*'Advanced Outputs'!C$60^$I$21)*(($B30/$M$21)^-$K$21)+($G$22+$H$22*'Advanced Outputs'!C$60^$I$22)*$J$22*EXP(-(($L$22*($B30-$M$22))^$K$22))+($G$23+$H$23*'Advanced Outputs'!C$60^$I$23)*$J$23*EXP(-(($L$23*($B30-$M$23))^$K$23))+($G$24+$H$24*'Advanced Outputs'!C$60^$I$24)*$J$24*EXP(-(($L$24*($B30-$M$24))^$K$24))+($G$25+$H$25*'Advanced Outputs'!C$60^$I$25)*$J$25*EXP(-(($L$25*($B30-$M$25))^$K$25))+$G$26))</f>
        <v>0.00339919049969148</v>
      </c>
      <c r="E30" s="21">
        <f t="shared" si="0"/>
        <v>0.0373757795642639</v>
      </c>
      <c r="F30" s="12"/>
      <c r="G30" s="9"/>
      <c r="H30" s="9"/>
      <c r="I30" s="9"/>
      <c r="J30" s="9"/>
      <c r="K30" s="9"/>
      <c r="L30" s="9"/>
      <c r="M30" s="9"/>
    </row>
    <row r="31" hidden="1" spans="1:13">
      <c r="A31" s="4"/>
      <c r="B31" s="4">
        <v>390</v>
      </c>
      <c r="C31" s="21">
        <f>10^(-(($G$21+$H$21*'Advanced Outputs'!C$61^$I$21)*(($B31/$M$21)^-$K$21)+($G$22+$H$22*'Advanced Outputs'!C$61^$I$22)*$J$22*EXP(-(($L$22*($B31-$M$22))^$K$22))+($G$23+$H$23*'Advanced Outputs'!C$61^$I$23)*$J$23*EXP(-(($L$23*($B31-$M$23))^$K$23))+($G$24+$H$24*'Advanced Outputs'!C$61^$I$24)*$J$24*EXP(-(($L$24*($B31-$M$24))^$K$24))+($G$25+$H$25*'Advanced Outputs'!C$61^$I$25)*$J$25*EXP(-(($L$25*($B31-$M$25))^$K$25))+$G$26))</f>
        <v>0.000175322109114919</v>
      </c>
      <c r="D31" s="21">
        <f>10^(-(($G$21+$H$21*'Advanced Outputs'!C$60^$I$21)*(($B31/$M$21)^-$K$21)+($G$22+$H$22*'Advanced Outputs'!C$60^$I$22)*$J$22*EXP(-(($L$22*($B31-$M$22))^$K$22))+($G$23+$H$23*'Advanced Outputs'!C$60^$I$23)*$J$23*EXP(-(($L$23*($B31-$M$23))^$K$23))+($G$24+$H$24*'Advanced Outputs'!C$60^$I$24)*$J$24*EXP(-(($L$24*($B31-$M$24))^$K$24))+($G$25+$H$25*'Advanced Outputs'!C$60^$I$25)*$J$25*EXP(-(($L$25*($B31-$M$25))^$K$25))+$G$26))</f>
        <v>0.00409160624867481</v>
      </c>
      <c r="E31" s="21">
        <f t="shared" si="0"/>
        <v>0.0428492133551958</v>
      </c>
      <c r="F31" s="12"/>
      <c r="G31" s="9"/>
      <c r="H31" s="9"/>
      <c r="I31" s="9"/>
      <c r="J31" s="9"/>
      <c r="K31" s="9"/>
      <c r="L31" s="9"/>
      <c r="M31" s="9"/>
    </row>
    <row r="32" hidden="1" spans="1:13">
      <c r="A32" s="4"/>
      <c r="B32" s="4">
        <v>391</v>
      </c>
      <c r="C32" s="21">
        <f>10^(-(($G$21+$H$21*'Advanced Outputs'!C$61^$I$21)*(($B32/$M$21)^-$K$21)+($G$22+$H$22*'Advanced Outputs'!C$61^$I$22)*$J$22*EXP(-(($L$22*($B32-$M$22))^$K$22))+($G$23+$H$23*'Advanced Outputs'!C$61^$I$23)*$J$23*EXP(-(($L$23*($B32-$M$23))^$K$23))+($G$24+$H$24*'Advanced Outputs'!C$61^$I$24)*$J$24*EXP(-(($L$24*($B32-$M$24))^$K$24))+($G$25+$H$25*'Advanced Outputs'!C$61^$I$25)*$J$25*EXP(-(($L$25*($B32-$M$25))^$K$25))+$G$26))</f>
        <v>0.000240211249122623</v>
      </c>
      <c r="D32" s="21">
        <f>10^(-(($G$21+$H$21*'Advanced Outputs'!C$60^$I$21)*(($B32/$M$21)^-$K$21)+($G$22+$H$22*'Advanced Outputs'!C$60^$I$22)*$J$22*EXP(-(($L$22*($B32-$M$22))^$K$22))+($G$23+$H$23*'Advanced Outputs'!C$60^$I$23)*$J$23*EXP(-(($L$23*($B32-$M$23))^$K$23))+($G$24+$H$24*'Advanced Outputs'!C$60^$I$24)*$J$24*EXP(-(($L$24*($B32-$M$24))^$K$24))+($G$25+$H$25*'Advanced Outputs'!C$60^$I$25)*$J$25*EXP(-(($L$25*($B32-$M$25))^$K$25))+$G$26))</f>
        <v>0.00492162623479893</v>
      </c>
      <c r="E32" s="21">
        <f t="shared" si="0"/>
        <v>0.0488072920743515</v>
      </c>
      <c r="F32" s="12"/>
      <c r="G32" s="9"/>
      <c r="H32" s="9"/>
      <c r="I32" s="9"/>
      <c r="J32" s="9"/>
      <c r="K32" s="9"/>
      <c r="L32" s="9"/>
      <c r="M32" s="9"/>
    </row>
    <row r="33" hidden="1" spans="1:13">
      <c r="A33" s="4"/>
      <c r="B33" s="4">
        <v>392</v>
      </c>
      <c r="C33" s="21">
        <f>10^(-(($G$21+$H$21*'Advanced Outputs'!C$61^$I$21)*(($B33/$M$21)^-$K$21)+($G$22+$H$22*'Advanced Outputs'!C$61^$I$22)*$J$22*EXP(-(($L$22*($B33-$M$22))^$K$22))+($G$23+$H$23*'Advanced Outputs'!C$61^$I$23)*$J$23*EXP(-(($L$23*($B33-$M$23))^$K$23))+($G$24+$H$24*'Advanced Outputs'!C$61^$I$24)*$J$24*EXP(-(($L$24*($B33-$M$24))^$K$24))+($G$25+$H$25*'Advanced Outputs'!C$61^$I$25)*$J$25*EXP(-(($L$25*($B33-$M$25))^$K$25))+$G$26))</f>
        <v>0.000326692853025622</v>
      </c>
      <c r="D33" s="21">
        <f>10^(-(($G$21+$H$21*'Advanced Outputs'!C$60^$I$21)*(($B33/$M$21)^-$K$21)+($G$22+$H$22*'Advanced Outputs'!C$60^$I$22)*$J$22*EXP(-(($L$22*($B33-$M$22))^$K$22))+($G$23+$H$23*'Advanced Outputs'!C$60^$I$23)*$J$23*EXP(-(($L$23*($B33-$M$23))^$K$23))+($G$24+$H$24*'Advanced Outputs'!C$60^$I$24)*$J$24*EXP(-(($L$24*($B33-$M$24))^$K$24))+($G$25+$H$25*'Advanced Outputs'!C$60^$I$25)*$J$25*EXP(-(($L$25*($B33-$M$25))^$K$25))+$G$26))</f>
        <v>0.00591346313711368</v>
      </c>
      <c r="E33" s="21">
        <f t="shared" si="0"/>
        <v>0.0552456057390895</v>
      </c>
      <c r="F33" s="12"/>
      <c r="G33" s="9"/>
      <c r="H33" s="9"/>
      <c r="I33" s="9"/>
      <c r="J33" s="9"/>
      <c r="K33" s="9"/>
      <c r="L33" s="9"/>
      <c r="M33" s="9"/>
    </row>
    <row r="34" hidden="1" spans="1:13">
      <c r="A34" s="4"/>
      <c r="B34" s="4">
        <v>393</v>
      </c>
      <c r="C34" s="21">
        <f>10^(-(($G$21+$H$21*'Advanced Outputs'!C$61^$I$21)*(($B34/$M$21)^-$K$21)+($G$22+$H$22*'Advanced Outputs'!C$61^$I$22)*$J$22*EXP(-(($L$22*($B34-$M$22))^$K$22))+($G$23+$H$23*'Advanced Outputs'!C$61^$I$23)*$J$23*EXP(-(($L$23*($B34-$M$23))^$K$23))+($G$24+$H$24*'Advanced Outputs'!C$61^$I$24)*$J$24*EXP(-(($L$24*($B34-$M$24))^$K$24))+($G$25+$H$25*'Advanced Outputs'!C$61^$I$25)*$J$25*EXP(-(($L$25*($B34-$M$25))^$K$25))+$G$26))</f>
        <v>0.000440949108672518</v>
      </c>
      <c r="D34" s="21">
        <f>10^(-(($G$21+$H$21*'Advanced Outputs'!C$60^$I$21)*(($B34/$M$21)^-$K$21)+($G$22+$H$22*'Advanced Outputs'!C$60^$I$22)*$J$22*EXP(-(($L$22*($B34-$M$22))^$K$22))+($G$23+$H$23*'Advanced Outputs'!C$60^$I$23)*$J$23*EXP(-(($L$23*($B34-$M$23))^$K$23))+($G$24+$H$24*'Advanced Outputs'!C$60^$I$24)*$J$24*EXP(-(($L$24*($B34-$M$24))^$K$24))+($G$25+$H$25*'Advanced Outputs'!C$60^$I$25)*$J$25*EXP(-(($L$25*($B34-$M$25))^$K$25))+$G$26))</f>
        <v>0.00709448867055277</v>
      </c>
      <c r="E34" s="21">
        <f t="shared" si="0"/>
        <v>0.0621537547170629</v>
      </c>
      <c r="F34" s="12"/>
      <c r="G34" s="9"/>
      <c r="H34" s="9"/>
      <c r="I34" s="9"/>
      <c r="J34" s="9"/>
      <c r="K34" s="9"/>
      <c r="L34" s="9"/>
      <c r="M34" s="9"/>
    </row>
    <row r="35" hidden="1" spans="1:13">
      <c r="A35" s="4"/>
      <c r="B35" s="4">
        <v>394</v>
      </c>
      <c r="C35" s="21">
        <f>10^(-(($G$21+$H$21*'Advanced Outputs'!C$61^$I$21)*(($B35/$M$21)^-$K$21)+($G$22+$H$22*'Advanced Outputs'!C$61^$I$22)*$J$22*EXP(-(($L$22*($B35-$M$22))^$K$22))+($G$23+$H$23*'Advanced Outputs'!C$61^$I$23)*$J$23*EXP(-(($L$23*($B35-$M$23))^$K$23))+($G$24+$H$24*'Advanced Outputs'!C$61^$I$24)*$J$24*EXP(-(($L$24*($B35-$M$24))^$K$24))+($G$25+$H$25*'Advanced Outputs'!C$61^$I$25)*$J$25*EXP(-(($L$25*($B35-$M$25))^$K$25))+$G$26))</f>
        <v>0.00059055736085306</v>
      </c>
      <c r="D35" s="21">
        <f>10^(-(($G$21+$H$21*'Advanced Outputs'!C$60^$I$21)*(($B35/$M$21)^-$K$21)+($G$22+$H$22*'Advanced Outputs'!C$60^$I$22)*$J$22*EXP(-(($L$22*($B35-$M$22))^$K$22))+($G$23+$H$23*'Advanced Outputs'!C$60^$I$23)*$J$23*EXP(-(($L$23*($B35-$M$23))^$K$23))+($G$24+$H$24*'Advanced Outputs'!C$60^$I$24)*$J$24*EXP(-(($L$24*($B35-$M$24))^$K$24))+($G$25+$H$25*'Advanced Outputs'!C$60^$I$25)*$J$25*EXP(-(($L$25*($B35-$M$25))^$K$25))+$G$26))</f>
        <v>0.00849532804153372</v>
      </c>
      <c r="E35" s="21">
        <f t="shared" si="0"/>
        <v>0.0695155452462601</v>
      </c>
      <c r="F35" s="12"/>
      <c r="G35" s="9"/>
      <c r="H35" s="9"/>
      <c r="I35" s="9"/>
      <c r="J35" s="9"/>
      <c r="K35" s="9"/>
      <c r="L35" s="9"/>
      <c r="M35" s="9"/>
    </row>
    <row r="36" hidden="1" spans="1:13">
      <c r="A36" s="4"/>
      <c r="B36" s="4">
        <v>395</v>
      </c>
      <c r="C36" s="21">
        <f>10^(-(($G$21+$H$21*'Advanced Outputs'!C$61^$I$21)*(($B36/$M$21)^-$K$21)+($G$22+$H$22*'Advanced Outputs'!C$61^$I$22)*$J$22*EXP(-(($L$22*($B36-$M$22))^$K$22))+($G$23+$H$23*'Advanced Outputs'!C$61^$I$23)*$J$23*EXP(-(($L$23*($B36-$M$23))^$K$23))+($G$24+$H$24*'Advanced Outputs'!C$61^$I$24)*$J$24*EXP(-(($L$24*($B36-$M$24))^$K$24))+($G$25+$H$25*'Advanced Outputs'!C$61^$I$25)*$J$25*EXP(-(($L$25*($B36-$M$25))^$K$25))+$G$26))</f>
        <v>0.000784679551276707</v>
      </c>
      <c r="D36" s="21">
        <f>10^(-(($G$21+$H$21*'Advanced Outputs'!C$60^$I$21)*(($B36/$M$21)^-$K$21)+($G$22+$H$22*'Advanced Outputs'!C$60^$I$22)*$J$22*EXP(-(($L$22*($B36-$M$22))^$K$22))+($G$23+$H$23*'Advanced Outputs'!C$60^$I$23)*$J$23*EXP(-(($L$23*($B36-$M$23))^$K$23))+($G$24+$H$24*'Advanced Outputs'!C$60^$I$24)*$J$24*EXP(-(($L$24*($B36-$M$24))^$K$24))+($G$25+$H$25*'Advanced Outputs'!C$60^$I$25)*$J$25*EXP(-(($L$25*($B36-$M$25))^$K$25))+$G$26))</f>
        <v>0.010149865583324</v>
      </c>
      <c r="E36" s="21">
        <f t="shared" si="0"/>
        <v>0.077309353984541</v>
      </c>
      <c r="F36" s="12"/>
      <c r="G36" s="9"/>
      <c r="H36" s="9"/>
      <c r="I36" s="9"/>
      <c r="J36" s="9"/>
      <c r="K36" s="9"/>
      <c r="L36" s="9"/>
      <c r="M36" s="9"/>
    </row>
    <row r="37" hidden="1" spans="1:13">
      <c r="A37" s="4"/>
      <c r="B37" s="4">
        <v>396</v>
      </c>
      <c r="C37" s="21">
        <f>10^(-(($G$21+$H$21*'Advanced Outputs'!C$61^$I$21)*(($B37/$M$21)^-$K$21)+($G$22+$H$22*'Advanced Outputs'!C$61^$I$22)*$J$22*EXP(-(($L$22*($B37-$M$22))^$K$22))+($G$23+$H$23*'Advanced Outputs'!C$61^$I$23)*$J$23*EXP(-(($L$23*($B37-$M$23))^$K$23))+($G$24+$H$24*'Advanced Outputs'!C$61^$I$24)*$J$24*EXP(-(($L$24*($B37-$M$24))^$K$24))+($G$25+$H$25*'Advanced Outputs'!C$61^$I$25)*$J$25*EXP(-(($L$25*($B37-$M$25))^$K$25))+$G$26))</f>
        <v>0.00103423894199427</v>
      </c>
      <c r="D37" s="21">
        <f>10^(-(($G$21+$H$21*'Advanced Outputs'!C$60^$I$21)*(($B37/$M$21)^-$K$21)+($G$22+$H$22*'Advanced Outputs'!C$60^$I$22)*$J$22*EXP(-(($L$22*($B37-$M$22))^$K$22))+($G$23+$H$23*'Advanced Outputs'!C$60^$I$23)*$J$23*EXP(-(($L$23*($B37-$M$23))^$K$23))+($G$24+$H$24*'Advanced Outputs'!C$60^$I$24)*$J$24*EXP(-(($L$24*($B37-$M$24))^$K$24))+($G$25+$H$25*'Advanced Outputs'!C$60^$I$25)*$J$25*EXP(-(($L$25*($B37-$M$25))^$K$25))+$G$26))</f>
        <v>0.0120951394140134</v>
      </c>
      <c r="E37" s="21">
        <f t="shared" si="0"/>
        <v>0.085508641661129</v>
      </c>
      <c r="F37" s="12"/>
      <c r="G37" s="9"/>
      <c r="H37" s="9"/>
      <c r="I37" s="9"/>
      <c r="J37" s="9"/>
      <c r="K37" s="9"/>
      <c r="L37" s="9"/>
      <c r="M37" s="9"/>
    </row>
    <row r="38" hidden="1" spans="1:13">
      <c r="A38" s="4"/>
      <c r="B38" s="4">
        <v>397</v>
      </c>
      <c r="C38" s="21">
        <f>10^(-(($G$21+$H$21*'Advanced Outputs'!C$61^$I$21)*(($B38/$M$21)^-$K$21)+($G$22+$H$22*'Advanced Outputs'!C$61^$I$22)*$J$22*EXP(-(($L$22*($B38-$M$22))^$K$22))+($G$23+$H$23*'Advanced Outputs'!C$61^$I$23)*$J$23*EXP(-(($L$23*($B38-$M$23))^$K$23))+($G$24+$H$24*'Advanced Outputs'!C$61^$I$24)*$J$24*EXP(-(($L$24*($B38-$M$24))^$K$24))+($G$25+$H$25*'Advanced Outputs'!C$61^$I$25)*$J$25*EXP(-(($L$25*($B38-$M$25))^$K$25))+$G$26))</f>
        <v>0.00135207067848219</v>
      </c>
      <c r="D38" s="21">
        <f>10^(-(($G$21+$H$21*'Advanced Outputs'!C$60^$I$21)*(($B38/$M$21)^-$K$21)+($G$22+$H$22*'Advanced Outputs'!C$60^$I$22)*$J$22*EXP(-(($L$22*($B38-$M$22))^$K$22))+($G$23+$H$23*'Advanced Outputs'!C$60^$I$23)*$J$23*EXP(-(($L$23*($B38-$M$23))^$K$23))+($G$24+$H$24*'Advanced Outputs'!C$60^$I$24)*$J$24*EXP(-(($L$24*($B38-$M$24))^$K$24))+($G$25+$H$25*'Advanced Outputs'!C$60^$I$25)*$J$25*EXP(-(($L$25*($B38-$M$25))^$K$25))+$G$26))</f>
        <v>0.0143711039576243</v>
      </c>
      <c r="E38" s="21">
        <f t="shared" si="0"/>
        <v>0.0940825897905271</v>
      </c>
      <c r="F38" s="12"/>
      <c r="G38" s="9"/>
      <c r="H38" s="9"/>
      <c r="I38" s="9"/>
      <c r="J38" s="9"/>
      <c r="K38" s="9"/>
      <c r="L38" s="9"/>
      <c r="M38" s="9"/>
    </row>
    <row r="39" hidden="1" spans="1:13">
      <c r="A39" s="4"/>
      <c r="B39" s="4">
        <v>398</v>
      </c>
      <c r="C39" s="21">
        <f>10^(-(($G$21+$H$21*'Advanced Outputs'!C$61^$I$21)*(($B39/$M$21)^-$K$21)+($G$22+$H$22*'Advanced Outputs'!C$61^$I$22)*$J$22*EXP(-(($L$22*($B39-$M$22))^$K$22))+($G$23+$H$23*'Advanced Outputs'!C$61^$I$23)*$J$23*EXP(-(($L$23*($B39-$M$23))^$K$23))+($G$24+$H$24*'Advanced Outputs'!C$61^$I$24)*$J$24*EXP(-(($L$24*($B39-$M$24))^$K$24))+($G$25+$H$25*'Advanced Outputs'!C$61^$I$25)*$J$25*EXP(-(($L$25*($B39-$M$25))^$K$25))+$G$26))</f>
        <v>0.00175303097011329</v>
      </c>
      <c r="D39" s="21">
        <f>10^(-(($G$21+$H$21*'Advanced Outputs'!C$60^$I$21)*(($B39/$M$21)^-$K$21)+($G$22+$H$22*'Advanced Outputs'!C$60^$I$22)*$J$22*EXP(-(($L$22*($B39-$M$22))^$K$22))+($G$23+$H$23*'Advanced Outputs'!C$60^$I$23)*$J$23*EXP(-(($L$23*($B39-$M$23))^$K$23))+($G$24+$H$24*'Advanced Outputs'!C$60^$I$24)*$J$24*EXP(-(($L$24*($B39-$M$24))^$K$24))+($G$25+$H$25*'Advanced Outputs'!C$60^$I$25)*$J$25*EXP(-(($L$25*($B39-$M$25))^$K$25))+$G$26))</f>
        <v>0.0170202419420643</v>
      </c>
      <c r="E39" s="21">
        <f t="shared" si="0"/>
        <v>0.102996830249563</v>
      </c>
      <c r="F39" s="12"/>
      <c r="G39" s="9"/>
      <c r="H39" s="9"/>
      <c r="I39" s="9"/>
      <c r="J39" s="9"/>
      <c r="K39" s="9"/>
      <c r="L39" s="9"/>
      <c r="M39" s="9"/>
    </row>
    <row r="40" hidden="1" spans="1:13">
      <c r="A40" s="4"/>
      <c r="B40" s="4">
        <v>399</v>
      </c>
      <c r="C40" s="21">
        <f>10^(-(($G$21+$H$21*'Advanced Outputs'!C$61^$I$21)*(($B40/$M$21)^-$K$21)+($G$22+$H$22*'Advanced Outputs'!C$61^$I$22)*$J$22*EXP(-(($L$22*($B40-$M$22))^$K$22))+($G$23+$H$23*'Advanced Outputs'!C$61^$I$23)*$J$23*EXP(-(($L$23*($B40-$M$23))^$K$23))+($G$24+$H$24*'Advanced Outputs'!C$61^$I$24)*$J$24*EXP(-(($L$24*($B40-$M$24))^$K$24))+($G$25+$H$25*'Advanced Outputs'!C$61^$I$25)*$J$25*EXP(-(($L$25*($B40-$M$25))^$K$25))+$G$26))</f>
        <v>0.00225404871972695</v>
      </c>
      <c r="D40" s="21">
        <f>10^(-(($G$21+$H$21*'Advanced Outputs'!C$60^$I$21)*(($B40/$M$21)^-$K$21)+($G$22+$H$22*'Advanced Outputs'!C$60^$I$22)*$J$22*EXP(-(($L$22*($B40-$M$22))^$K$22))+($G$23+$H$23*'Advanced Outputs'!C$60^$I$23)*$J$23*EXP(-(($L$23*($B40-$M$23))^$K$23))+($G$24+$H$24*'Advanced Outputs'!C$60^$I$24)*$J$24*EXP(-(($L$24*($B40-$M$24))^$K$24))+($G$25+$H$25*'Advanced Outputs'!C$60^$I$25)*$J$25*EXP(-(($L$25*($B40-$M$25))^$K$25))+$G$26))</f>
        <v>0.0200870122353294</v>
      </c>
      <c r="E40" s="21">
        <f t="shared" si="0"/>
        <v>0.112214235413393</v>
      </c>
      <c r="F40" s="12"/>
      <c r="G40" s="9"/>
      <c r="H40" s="9"/>
      <c r="I40" s="9"/>
      <c r="J40" s="9"/>
      <c r="K40" s="9"/>
      <c r="L40" s="9"/>
      <c r="M40" s="9"/>
    </row>
    <row r="41" hidden="1" spans="1:13">
      <c r="A41" s="4"/>
      <c r="B41" s="4">
        <v>400</v>
      </c>
      <c r="C41" s="21">
        <f>10^(-(($G$21+$H$21*'Advanced Outputs'!C$61^$I$21)*(($B41/$M$21)^-$K$21)+($G$22+$H$22*'Advanced Outputs'!C$61^$I$22)*$J$22*EXP(-(($L$22*($B41-$M$22))^$K$22))+($G$23+$H$23*'Advanced Outputs'!C$61^$I$23)*$J$23*EXP(-(($L$23*($B41-$M$23))^$K$23))+($G$24+$H$24*'Advanced Outputs'!C$61^$I$24)*$J$24*EXP(-(($L$24*($B41-$M$24))^$K$24))+($G$25+$H$25*'Advanced Outputs'!C$61^$I$25)*$J$25*EXP(-(($L$25*($B41-$M$25))^$K$25))+$G$26))</f>
        <v>0.00287410362003001</v>
      </c>
      <c r="D41" s="21">
        <f>10^(-(($G$21+$H$21*'Advanced Outputs'!C$60^$I$21)*(($B41/$M$21)^-$K$21)+($G$22+$H$22*'Advanced Outputs'!C$60^$I$22)*$J$22*EXP(-(($L$22*($B41-$M$22))^$K$22))+($G$23+$H$23*'Advanced Outputs'!C$60^$I$23)*$J$23*EXP(-(($L$23*($B41-$M$23))^$K$23))+($G$24+$H$24*'Advanced Outputs'!C$60^$I$24)*$J$24*EXP(-(($L$24*($B41-$M$24))^$K$24))+($G$25+$H$25*'Advanced Outputs'!C$60^$I$25)*$J$25*EXP(-(($L$25*($B41-$M$25))^$K$25))+$G$26))</f>
        <v>0.0236171266505429</v>
      </c>
      <c r="E41" s="21">
        <f t="shared" si="0"/>
        <v>0.121695736427104</v>
      </c>
      <c r="F41" s="12"/>
      <c r="G41" s="9"/>
      <c r="H41" s="9"/>
      <c r="I41" s="9"/>
      <c r="J41" s="9"/>
      <c r="K41" s="9"/>
      <c r="L41" s="9"/>
      <c r="M41" s="9"/>
    </row>
    <row r="42" hidden="1" spans="1:13">
      <c r="A42" s="4"/>
      <c r="B42" s="4">
        <v>401</v>
      </c>
      <c r="C42" s="21">
        <f>10^(-(($G$21+$H$21*'Advanced Outputs'!C$61^$I$21)*(($B42/$M$21)^-$K$21)+($G$22+$H$22*'Advanced Outputs'!C$61^$I$22)*$J$22*EXP(-(($L$22*($B42-$M$22))^$K$22))+($G$23+$H$23*'Advanced Outputs'!C$61^$I$23)*$J$23*EXP(-(($L$23*($B42-$M$23))^$K$23))+($G$24+$H$24*'Advanced Outputs'!C$61^$I$24)*$J$24*EXP(-(($L$24*($B42-$M$24))^$K$24))+($G$25+$H$25*'Advanced Outputs'!C$61^$I$25)*$J$25*EXP(-(($L$25*($B42-$M$25))^$K$25))+$G$26))</f>
        <v>0.0036341162913103</v>
      </c>
      <c r="D42" s="21">
        <f>10^(-(($G$21+$H$21*'Advanced Outputs'!C$60^$I$21)*(($B42/$M$21)^-$K$21)+($G$22+$H$22*'Advanced Outputs'!C$60^$I$22)*$J$22*EXP(-(($L$22*($B42-$M$22))^$K$22))+($G$23+$H$23*'Advanced Outputs'!C$60^$I$23)*$J$23*EXP(-(($L$23*($B42-$M$23))^$K$23))+($G$24+$H$24*'Advanced Outputs'!C$60^$I$24)*$J$24*EXP(-(($L$24*($B42-$M$24))^$K$24))+($G$25+$H$25*'Advanced Outputs'!C$60^$I$25)*$J$25*EXP(-(($L$25*($B42-$M$25))^$K$25))+$G$26))</f>
        <v>0.0276566574939391</v>
      </c>
      <c r="E42" s="21">
        <f t="shared" si="0"/>
        <v>0.131401138843576</v>
      </c>
      <c r="F42" s="12"/>
      <c r="G42" s="9"/>
      <c r="H42" s="9"/>
      <c r="I42" s="9"/>
      <c r="J42" s="9"/>
      <c r="K42" s="9"/>
      <c r="L42" s="9"/>
      <c r="M42" s="9"/>
    </row>
    <row r="43" hidden="1" spans="1:13">
      <c r="A43" s="4"/>
      <c r="B43" s="4">
        <v>402</v>
      </c>
      <c r="C43" s="21">
        <f>10^(-(($G$21+$H$21*'Advanced Outputs'!C$61^$I$21)*(($B43/$M$21)^-$K$21)+($G$22+$H$22*'Advanced Outputs'!C$61^$I$22)*$J$22*EXP(-(($L$22*($B43-$M$22))^$K$22))+($G$23+$H$23*'Advanced Outputs'!C$61^$I$23)*$J$23*EXP(-(($L$23*($B43-$M$23))^$K$23))+($G$24+$H$24*'Advanced Outputs'!C$61^$I$24)*$J$24*EXP(-(($L$24*($B43-$M$24))^$K$24))+($G$25+$H$25*'Advanced Outputs'!C$61^$I$25)*$J$25*EXP(-(($L$25*($B43-$M$25))^$K$25))+$G$26))</f>
        <v>0.00455673909542724</v>
      </c>
      <c r="D43" s="21">
        <f>10^(-(($G$21+$H$21*'Advanced Outputs'!C$60^$I$21)*(($B43/$M$21)^-$K$21)+($G$22+$H$22*'Advanced Outputs'!C$60^$I$22)*$J$22*EXP(-(($L$22*($B43-$M$22))^$K$22))+($G$23+$H$23*'Advanced Outputs'!C$60^$I$23)*$J$23*EXP(-(($L$23*($B43-$M$23))^$K$23))+($G$24+$H$24*'Advanced Outputs'!C$60^$I$24)*$J$24*EXP(-(($L$24*($B43-$M$24))^$K$24))+($G$25+$H$25*'Advanced Outputs'!C$60^$I$25)*$J$25*EXP(-(($L$25*($B43-$M$25))^$K$25))+$G$26))</f>
        <v>0.0322509877808471</v>
      </c>
      <c r="E43" s="21">
        <f t="shared" si="0"/>
        <v>0.141289907967822</v>
      </c>
      <c r="F43" s="12"/>
      <c r="G43" s="9"/>
      <c r="H43" s="9"/>
      <c r="I43" s="9"/>
      <c r="J43" s="9"/>
      <c r="K43" s="9"/>
      <c r="L43" s="9"/>
      <c r="M43" s="9"/>
    </row>
    <row r="44" hidden="1" spans="1:13">
      <c r="A44" s="4"/>
      <c r="B44" s="4">
        <v>403</v>
      </c>
      <c r="C44" s="21">
        <f>10^(-(($G$21+$H$21*'Advanced Outputs'!C$61^$I$21)*(($B44/$M$21)^-$K$21)+($G$22+$H$22*'Advanced Outputs'!C$61^$I$22)*$J$22*EXP(-(($L$22*($B44-$M$22))^$K$22))+($G$23+$H$23*'Advanced Outputs'!C$61^$I$23)*$J$23*EXP(-(($L$23*($B44-$M$23))^$K$23))+($G$24+$H$24*'Advanced Outputs'!C$61^$I$24)*$J$24*EXP(-(($L$24*($B44-$M$24))^$K$24))+($G$25+$H$25*'Advanced Outputs'!C$61^$I$25)*$J$25*EXP(-(($L$25*($B44-$M$25))^$K$25))+$G$26))</f>
        <v>0.00566604081405013</v>
      </c>
      <c r="D44" s="21">
        <f>10^(-(($G$21+$H$21*'Advanced Outputs'!C$60^$I$21)*(($B44/$M$21)^-$K$21)+($G$22+$H$22*'Advanced Outputs'!C$60^$I$22)*$J$22*EXP(-(($L$22*($B44-$M$22))^$K$22))+($G$23+$H$23*'Advanced Outputs'!C$60^$I$23)*$J$23*EXP(-(($L$23*($B44-$M$23))^$K$23))+($G$24+$H$24*'Advanced Outputs'!C$60^$I$24)*$J$24*EXP(-(($L$24*($B44-$M$24))^$K$24))+($G$25+$H$25*'Advanced Outputs'!C$60^$I$25)*$J$25*EXP(-(($L$25*($B44-$M$25))^$K$25))+$G$26))</f>
        <v>0.0374436271143768</v>
      </c>
      <c r="E44" s="21">
        <f t="shared" si="0"/>
        <v>0.151321900432947</v>
      </c>
      <c r="F44" s="12"/>
      <c r="G44" s="9"/>
      <c r="H44" s="9"/>
      <c r="I44" s="9"/>
      <c r="J44" s="9"/>
      <c r="K44" s="9"/>
      <c r="L44" s="9"/>
      <c r="M44" s="9"/>
    </row>
    <row r="45" hidden="1" spans="1:13">
      <c r="A45" s="4"/>
      <c r="B45" s="4">
        <v>404</v>
      </c>
      <c r="C45" s="21">
        <f>10^(-(($G$21+$H$21*'Advanced Outputs'!C$61^$I$21)*(($B45/$M$21)^-$K$21)+($G$22+$H$22*'Advanced Outputs'!C$61^$I$22)*$J$22*EXP(-(($L$22*($B45-$M$22))^$K$22))+($G$23+$H$23*'Advanced Outputs'!C$61^$I$23)*$J$23*EXP(-(($L$23*($B45-$M$23))^$K$23))+($G$24+$H$24*'Advanced Outputs'!C$61^$I$24)*$J$24*EXP(-(($L$24*($B45-$M$24))^$K$24))+($G$25+$H$25*'Advanced Outputs'!C$61^$I$25)*$J$25*EXP(-(($L$25*($B45-$M$25))^$K$25))+$G$26))</f>
        <v>0.00698708424465623</v>
      </c>
      <c r="D45" s="21">
        <f>10^(-(($G$21+$H$21*'Advanced Outputs'!C$60^$I$21)*(($B45/$M$21)^-$K$21)+($G$22+$H$22*'Advanced Outputs'!C$60^$I$22)*$J$22*EXP(-(($L$22*($B45-$M$22))^$K$22))+($G$23+$H$23*'Advanced Outputs'!C$60^$I$23)*$J$23*EXP(-(($L$23*($B45-$M$23))^$K$23))+($G$24+$H$24*'Advanced Outputs'!C$60^$I$24)*$J$24*EXP(-(($L$24*($B45-$M$24))^$K$24))+($G$25+$H$25*'Advanced Outputs'!C$60^$I$25)*$J$25*EXP(-(($L$25*($B45-$M$25))^$K$25))+$G$26))</f>
        <v>0.043274927426227</v>
      </c>
      <c r="E45" s="21">
        <f t="shared" si="0"/>
        <v>0.161458023391662</v>
      </c>
      <c r="F45" s="12"/>
      <c r="G45" s="9"/>
      <c r="H45" s="9"/>
      <c r="I45" s="9"/>
      <c r="J45" s="9"/>
      <c r="K45" s="9"/>
      <c r="L45" s="9"/>
      <c r="M45" s="9"/>
    </row>
    <row r="46" hidden="1" spans="1:13">
      <c r="A46" s="4"/>
      <c r="B46" s="4">
        <v>405</v>
      </c>
      <c r="C46" s="21">
        <f>10^(-(($G$21+$H$21*'Advanced Outputs'!C$61^$I$21)*(($B46/$M$21)^-$K$21)+($G$22+$H$22*'Advanced Outputs'!C$61^$I$22)*$J$22*EXP(-(($L$22*($B46-$M$22))^$K$22))+($G$23+$H$23*'Advanced Outputs'!C$61^$I$23)*$J$23*EXP(-(($L$23*($B46-$M$23))^$K$23))+($G$24+$H$24*'Advanced Outputs'!C$61^$I$24)*$J$24*EXP(-(($L$24*($B46-$M$24))^$K$24))+($G$25+$H$25*'Advanced Outputs'!C$61^$I$25)*$J$25*EXP(-(($L$25*($B46-$M$25))^$K$25))+$G$26))</f>
        <v>0.00854540259285243</v>
      </c>
      <c r="D46" s="21">
        <f>10^(-(($G$21+$H$21*'Advanced Outputs'!C$60^$I$21)*(($B46/$M$21)^-$K$21)+($G$22+$H$22*'Advanced Outputs'!C$60^$I$22)*$J$22*EXP(-(($L$22*($B46-$M$22))^$K$22))+($G$23+$H$23*'Advanced Outputs'!C$60^$I$23)*$J$23*EXP(-(($L$23*($B46-$M$23))^$K$23))+($G$24+$H$24*'Advanced Outputs'!C$60^$I$24)*$J$24*EXP(-(($L$24*($B46-$M$24))^$K$24))+($G$25+$H$25*'Advanced Outputs'!C$60^$I$25)*$J$25*EXP(-(($L$25*($B46-$M$25))^$K$25))+$G$26))</f>
        <v>0.0497807431975952</v>
      </c>
      <c r="E46" s="21">
        <f t="shared" si="0"/>
        <v>0.171660807853613</v>
      </c>
      <c r="F46" s="12"/>
      <c r="G46" s="9"/>
      <c r="H46" s="9"/>
      <c r="I46" s="9"/>
      <c r="J46" s="9"/>
      <c r="K46" s="9"/>
      <c r="L46" s="9"/>
      <c r="M46" s="9"/>
    </row>
    <row r="47" hidden="1" spans="1:13">
      <c r="A47" s="4"/>
      <c r="B47" s="4">
        <v>406</v>
      </c>
      <c r="C47" s="21">
        <f>10^(-(($G$21+$H$21*'Advanced Outputs'!C$61^$I$21)*(($B47/$M$21)^-$K$21)+($G$22+$H$22*'Advanced Outputs'!C$61^$I$22)*$J$22*EXP(-(($L$22*($B47-$M$22))^$K$22))+($G$23+$H$23*'Advanced Outputs'!C$61^$I$23)*$J$23*EXP(-(($L$23*($B47-$M$23))^$K$23))+($G$24+$H$24*'Advanced Outputs'!C$61^$I$24)*$J$24*EXP(-(($L$24*($B47-$M$24))^$K$24))+($G$25+$H$25*'Advanced Outputs'!C$61^$I$25)*$J$25*EXP(-(($L$25*($B47-$M$25))^$K$25))+$G$26))</f>
        <v>0.0103663878179131</v>
      </c>
      <c r="D47" s="21">
        <f>10^(-(($G$21+$H$21*'Advanced Outputs'!C$60^$I$21)*(($B47/$M$21)^-$K$21)+($G$22+$H$22*'Advanced Outputs'!C$60^$I$22)*$J$22*EXP(-(($L$22*($B47-$M$22))^$K$22))+($G$23+$H$23*'Advanced Outputs'!C$60^$I$23)*$J$23*EXP(-(($L$23*($B47-$M$23))^$K$23))+($G$24+$H$24*'Advanced Outputs'!C$60^$I$24)*$J$24*EXP(-(($L$24*($B47-$M$24))^$K$24))+($G$25+$H$25*'Advanced Outputs'!C$60^$I$25)*$J$25*EXP(-(($L$25*($B47-$M$25))^$K$25))+$G$26))</f>
        <v>0.0569910894358603</v>
      </c>
      <c r="E47" s="21">
        <f t="shared" si="0"/>
        <v>0.181894887789079</v>
      </c>
      <c r="F47" s="12"/>
      <c r="G47" s="9"/>
      <c r="H47" s="9"/>
      <c r="I47" s="9"/>
      <c r="J47" s="9"/>
      <c r="K47" s="9"/>
      <c r="L47" s="9"/>
      <c r="M47" s="9"/>
    </row>
    <row r="48" hidden="1" spans="1:13">
      <c r="A48" s="4"/>
      <c r="B48" s="4">
        <v>407</v>
      </c>
      <c r="C48" s="21">
        <f>10^(-(($G$21+$H$21*'Advanced Outputs'!C$61^$I$21)*(($B48/$M$21)^-$K$21)+($G$22+$H$22*'Advanced Outputs'!C$61^$I$22)*$J$22*EXP(-(($L$22*($B48-$M$22))^$K$22))+($G$23+$H$23*'Advanced Outputs'!C$61^$I$23)*$J$23*EXP(-(($L$23*($B48-$M$23))^$K$23))+($G$24+$H$24*'Advanced Outputs'!C$61^$I$24)*$J$24*EXP(-(($L$24*($B48-$M$24))^$K$24))+($G$25+$H$25*'Advanced Outputs'!C$61^$I$25)*$J$25*EXP(-(($L$25*($B48-$M$25))^$K$25))+$G$26))</f>
        <v>0.0124746112044833</v>
      </c>
      <c r="D48" s="21">
        <f>10^(-(($G$21+$H$21*'Advanced Outputs'!C$60^$I$21)*(($B48/$M$21)^-$K$21)+($G$22+$H$22*'Advanced Outputs'!C$60^$I$22)*$J$22*EXP(-(($L$22*($B48-$M$22))^$K$22))+($G$23+$H$23*'Advanced Outputs'!C$60^$I$23)*$J$23*EXP(-(($L$23*($B48-$M$23))^$K$23))+($G$24+$H$24*'Advanced Outputs'!C$60^$I$24)*$J$24*EXP(-(($L$24*($B48-$M$24))^$K$24))+($G$25+$H$25*'Advanced Outputs'!C$60^$I$25)*$J$25*EXP(-(($L$25*($B48-$M$25))^$K$25))+$G$26))</f>
        <v>0.0649288566541919</v>
      </c>
      <c r="E48" s="21">
        <f t="shared" si="0"/>
        <v>0.192127381372546</v>
      </c>
      <c r="F48" s="12"/>
      <c r="G48" s="9"/>
      <c r="H48" s="9"/>
      <c r="I48" s="9"/>
      <c r="J48" s="9"/>
      <c r="K48" s="9"/>
      <c r="L48" s="9"/>
      <c r="M48" s="9"/>
    </row>
    <row r="49" hidden="1" spans="1:13">
      <c r="A49" s="4"/>
      <c r="B49" s="4">
        <v>408</v>
      </c>
      <c r="C49" s="21">
        <f>10^(-(($G$21+$H$21*'Advanced Outputs'!C$61^$I$21)*(($B49/$M$21)^-$K$21)+($G$22+$H$22*'Advanced Outputs'!C$61^$I$22)*$J$22*EXP(-(($L$22*($B49-$M$22))^$K$22))+($G$23+$H$23*'Advanced Outputs'!C$61^$I$23)*$J$23*EXP(-(($L$23*($B49-$M$23))^$K$23))+($G$24+$H$24*'Advanced Outputs'!C$61^$I$24)*$J$24*EXP(-(($L$24*($B49-$M$24))^$K$24))+($G$25+$H$25*'Advanced Outputs'!C$61^$I$25)*$J$25*EXP(-(($L$25*($B49-$M$25))^$K$25))+$G$26))</f>
        <v>0.0148931027260542</v>
      </c>
      <c r="D49" s="21">
        <f>10^(-(($G$21+$H$21*'Advanced Outputs'!C$60^$I$21)*(($B49/$M$21)^-$K$21)+($G$22+$H$22*'Advanced Outputs'!C$60^$I$22)*$J$22*EXP(-(($L$22*($B49-$M$22))^$K$22))+($G$23+$H$23*'Advanced Outputs'!C$60^$I$23)*$J$23*EXP(-(($L$23*($B49-$M$23))^$K$23))+($G$24+$H$24*'Advanced Outputs'!C$60^$I$24)*$J$24*EXP(-(($L$24*($B49-$M$24))^$K$24))+($G$25+$H$25*'Advanced Outputs'!C$60^$I$25)*$J$25*EXP(-(($L$25*($B49-$M$25))^$K$25))+$G$26))</f>
        <v>0.0736086446193792</v>
      </c>
      <c r="E49" s="21">
        <f t="shared" si="0"/>
        <v>0.202328174945545</v>
      </c>
      <c r="F49" s="12"/>
      <c r="G49" s="9"/>
      <c r="H49" s="9"/>
      <c r="I49" s="9"/>
      <c r="J49" s="9"/>
      <c r="K49" s="9"/>
      <c r="L49" s="9"/>
      <c r="M49" s="9"/>
    </row>
    <row r="50" hidden="1" spans="1:13">
      <c r="A50" s="4"/>
      <c r="B50" s="4">
        <v>409</v>
      </c>
      <c r="C50" s="21">
        <f>10^(-(($G$21+$H$21*'Advanced Outputs'!C$61^$I$21)*(($B50/$M$21)^-$K$21)+($G$22+$H$22*'Advanced Outputs'!C$61^$I$22)*$J$22*EXP(-(($L$22*($B50-$M$22))^$K$22))+($G$23+$H$23*'Advanced Outputs'!C$61^$I$23)*$J$23*EXP(-(($L$23*($B50-$M$23))^$K$23))+($G$24+$H$24*'Advanced Outputs'!C$61^$I$24)*$J$24*EXP(-(($L$24*($B50-$M$24))^$K$24))+($G$25+$H$25*'Advanced Outputs'!C$61^$I$25)*$J$25*EXP(-(($L$25*($B50-$M$25))^$K$25))+$G$26))</f>
        <v>0.0176426206039692</v>
      </c>
      <c r="D50" s="21">
        <f>10^(-(($G$21+$H$21*'Advanced Outputs'!C$60^$I$21)*(($B50/$M$21)^-$K$21)+($G$22+$H$22*'Advanced Outputs'!C$60^$I$22)*$J$22*EXP(-(($L$22*($B50-$M$22))^$K$22))+($G$23+$H$23*'Advanced Outputs'!C$60^$I$23)*$J$23*EXP(-(($L$23*($B50-$M$23))^$K$23))+($G$24+$H$24*'Advanced Outputs'!C$60^$I$24)*$J$24*EXP(-(($L$24*($B50-$M$24))^$K$24))+($G$25+$H$25*'Advanced Outputs'!C$60^$I$25)*$J$25*EXP(-(($L$25*($B50-$M$25))^$K$25))+$G$26))</f>
        <v>0.0830357751891536</v>
      </c>
      <c r="E50" s="21">
        <f t="shared" si="0"/>
        <v>0.212470113800705</v>
      </c>
      <c r="F50" s="12"/>
      <c r="G50" s="9"/>
      <c r="H50" s="9"/>
      <c r="I50" s="9"/>
      <c r="J50" s="9"/>
      <c r="K50" s="9"/>
      <c r="L50" s="9"/>
      <c r="M50" s="9"/>
    </row>
    <row r="51" hidden="1" spans="1:13">
      <c r="A51" s="4"/>
      <c r="B51" s="4">
        <v>410</v>
      </c>
      <c r="C51" s="21">
        <f>10^(-(($G$21+$H$21*'Advanced Outputs'!C$61^$I$21)*(($B51/$M$21)^-$K$21)+($G$22+$H$22*'Advanced Outputs'!C$61^$I$22)*$J$22*EXP(-(($L$22*($B51-$M$22))^$K$22))+($G$23+$H$23*'Advanced Outputs'!C$61^$I$23)*$J$23*EXP(-(($L$23*($B51-$M$23))^$K$23))+($G$24+$H$24*'Advanced Outputs'!C$61^$I$24)*$J$24*EXP(-(($L$24*($B51-$M$24))^$K$24))+($G$25+$H$25*'Advanced Outputs'!C$61^$I$25)*$J$25*EXP(-(($L$25*($B51-$M$25))^$K$25))+$G$26))</f>
        <v>0.0207409453249949</v>
      </c>
      <c r="D51" s="21">
        <f>10^(-(($G$21+$H$21*'Advanced Outputs'!C$60^$I$21)*(($B51/$M$21)^-$K$21)+($G$22+$H$22*'Advanced Outputs'!C$60^$I$22)*$J$22*EXP(-(($L$22*($B51-$M$22))^$K$22))+($G$23+$H$23*'Advanced Outputs'!C$60^$I$23)*$J$23*EXP(-(($L$23*($B51-$M$23))^$K$23))+($G$24+$H$24*'Advanced Outputs'!C$60^$I$24)*$J$24*EXP(-(($L$24*($B51-$M$24))^$K$24))+($G$25+$H$25*'Advanced Outputs'!C$60^$I$25)*$J$25*EXP(-(($L$25*($B51-$M$25))^$K$25))+$G$26))</f>
        <v>0.0932055389798581</v>
      </c>
      <c r="E51" s="21">
        <f t="shared" si="0"/>
        <v>0.222529106660464</v>
      </c>
      <c r="F51" s="12"/>
      <c r="G51" s="9"/>
      <c r="H51" s="9"/>
      <c r="I51" s="9"/>
      <c r="J51" s="9"/>
      <c r="K51" s="9"/>
      <c r="L51" s="9"/>
      <c r="M51" s="9"/>
    </row>
    <row r="52" hidden="1" spans="1:13">
      <c r="A52" s="4"/>
      <c r="B52" s="4">
        <v>411</v>
      </c>
      <c r="C52" s="21">
        <f>10^(-(($G$21+$H$21*'Advanced Outputs'!C$61^$I$21)*(($B52/$M$21)^-$K$21)+($G$22+$H$22*'Advanced Outputs'!C$61^$I$22)*$J$22*EXP(-(($L$22*($B52-$M$22))^$K$22))+($G$23+$H$23*'Advanced Outputs'!C$61^$I$23)*$J$23*EXP(-(($L$23*($B52-$M$23))^$K$23))+($G$24+$H$24*'Advanced Outputs'!C$61^$I$24)*$J$24*EXP(-(($L$24*($B52-$M$24))^$K$24))+($G$25+$H$25*'Advanced Outputs'!C$61^$I$25)*$J$25*EXP(-(($L$25*($B52-$M$25))^$K$25))+$G$26))</f>
        <v>0.0242022329098512</v>
      </c>
      <c r="D52" s="21">
        <f>10^(-(($G$21+$H$21*'Advanced Outputs'!C$60^$I$21)*(($B52/$M$21)^-$K$21)+($G$22+$H$22*'Advanced Outputs'!C$60^$I$22)*$J$22*EXP(-(($L$22*($B52-$M$22))^$K$22))+($G$23+$H$23*'Advanced Outputs'!C$60^$I$23)*$J$23*EXP(-(($L$23*($B52-$M$23))^$K$23))+($G$24+$H$24*'Advanced Outputs'!C$60^$I$24)*$J$24*EXP(-(($L$24*($B52-$M$24))^$K$24))+($G$25+$H$25*'Advanced Outputs'!C$60^$I$25)*$J$25*EXP(-(($L$25*($B52-$M$25))^$K$25))+$G$26))</f>
        <v>0.104102721088955</v>
      </c>
      <c r="E52" s="21">
        <f t="shared" si="0"/>
        <v>0.232484152735744</v>
      </c>
      <c r="F52" s="12"/>
      <c r="G52" s="9"/>
      <c r="H52" s="9"/>
      <c r="I52" s="9"/>
      <c r="J52" s="9"/>
      <c r="K52" s="9"/>
      <c r="L52" s="9"/>
      <c r="M52" s="9"/>
    </row>
    <row r="53" hidden="1" spans="1:13">
      <c r="A53" s="4"/>
      <c r="B53" s="4">
        <v>412</v>
      </c>
      <c r="C53" s="21">
        <f>10^(-(($G$21+$H$21*'Advanced Outputs'!C$61^$I$21)*(($B53/$M$21)^-$K$21)+($G$22+$H$22*'Advanced Outputs'!C$61^$I$22)*$J$22*EXP(-(($L$22*($B53-$M$22))^$K$22))+($G$23+$H$23*'Advanced Outputs'!C$61^$I$23)*$J$23*EXP(-(($L$23*($B53-$M$23))^$K$23))+($G$24+$H$24*'Advanced Outputs'!C$61^$I$24)*$J$24*EXP(-(($L$24*($B53-$M$24))^$K$24))+($G$25+$H$25*'Advanced Outputs'!C$61^$I$25)*$J$25*EXP(-(($L$25*($B53-$M$25))^$K$25))+$G$26))</f>
        <v>0.0280364602929265</v>
      </c>
      <c r="D53" s="21">
        <f>10^(-(($G$21+$H$21*'Advanced Outputs'!C$60^$I$21)*(($B53/$M$21)^-$K$21)+($G$22+$H$22*'Advanced Outputs'!C$60^$I$22)*$J$22*EXP(-(($L$22*($B53-$M$22))^$K$22))+($G$23+$H$23*'Advanced Outputs'!C$60^$I$23)*$J$23*EXP(-(($L$23*($B53-$M$23))^$K$23))+($G$24+$H$24*'Advanced Outputs'!C$60^$I$24)*$J$24*EXP(-(($L$24*($B53-$M$24))^$K$24))+($G$25+$H$25*'Advanced Outputs'!C$60^$I$25)*$J$25*EXP(-(($L$25*($B53-$M$25))^$K$25))+$G$26))</f>
        <v>0.115701438216121</v>
      </c>
      <c r="E53" s="21">
        <f t="shared" si="0"/>
        <v>0.242317301540855</v>
      </c>
      <c r="F53" s="12"/>
      <c r="G53" s="9"/>
      <c r="H53" s="9"/>
      <c r="I53" s="9"/>
      <c r="J53" s="9"/>
      <c r="K53" s="9"/>
      <c r="L53" s="9"/>
      <c r="M53" s="9"/>
    </row>
    <row r="54" hidden="1" spans="1:13">
      <c r="A54" s="4"/>
      <c r="B54" s="4">
        <v>413</v>
      </c>
      <c r="C54" s="21">
        <f>10^(-(($G$21+$H$21*'Advanced Outputs'!C$61^$I$21)*(($B54/$M$21)^-$K$21)+($G$22+$H$22*'Advanced Outputs'!C$61^$I$22)*$J$22*EXP(-(($L$22*($B54-$M$22))^$K$22))+($G$23+$H$23*'Advanced Outputs'!C$61^$I$23)*$J$23*EXP(-(($L$23*($B54-$M$23))^$K$23))+($G$24+$H$24*'Advanced Outputs'!C$61^$I$24)*$J$24*EXP(-(($L$24*($B54-$M$24))^$K$24))+($G$25+$H$25*'Advanced Outputs'!C$61^$I$25)*$J$25*EXP(-(($L$25*($B54-$M$25))^$K$25))+$G$26))</f>
        <v>0.0322489913862917</v>
      </c>
      <c r="D54" s="21">
        <f>10^(-(($G$21+$H$21*'Advanced Outputs'!C$60^$I$21)*(($B54/$M$21)^-$K$21)+($G$22+$H$22*'Advanced Outputs'!C$60^$I$22)*$J$22*EXP(-(($L$22*($B54-$M$22))^$K$22))+($G$23+$H$23*'Advanced Outputs'!C$60^$I$23)*$J$23*EXP(-(($L$23*($B54-$M$23))^$K$23))+($G$24+$H$24*'Advanced Outputs'!C$60^$I$24)*$J$24*EXP(-(($L$24*($B54-$M$24))^$K$24))+($G$25+$H$25*'Advanced Outputs'!C$60^$I$25)*$J$25*EXP(-(($L$25*($B54-$M$25))^$K$25))+$G$26))</f>
        <v>0.127965304175862</v>
      </c>
      <c r="E54" s="21">
        <f t="shared" si="0"/>
        <v>0.252013556283757</v>
      </c>
      <c r="F54" s="12"/>
      <c r="G54" s="9"/>
      <c r="H54" s="9"/>
      <c r="I54" s="9"/>
      <c r="J54" s="9"/>
      <c r="K54" s="9"/>
      <c r="L54" s="9"/>
      <c r="M54" s="9"/>
    </row>
    <row r="55" hidden="1" spans="1:13">
      <c r="A55" s="4"/>
      <c r="B55" s="4">
        <v>414</v>
      </c>
      <c r="C55" s="21">
        <f>10^(-(($G$21+$H$21*'Advanced Outputs'!C$61^$I$21)*(($B55/$M$21)^-$K$21)+($G$22+$H$22*'Advanced Outputs'!C$61^$I$22)*$J$22*EXP(-(($L$22*($B55-$M$22))^$K$22))+($G$23+$H$23*'Advanced Outputs'!C$61^$I$23)*$J$23*EXP(-(($L$23*($B55-$M$23))^$K$23))+($G$24+$H$24*'Advanced Outputs'!C$61^$I$24)*$J$24*EXP(-(($L$24*($B55-$M$24))^$K$24))+($G$25+$H$25*'Advanced Outputs'!C$61^$I$25)*$J$25*EXP(-(($L$25*($B55-$M$25))^$K$25))+$G$26))</f>
        <v>0.0368402860925522</v>
      </c>
      <c r="D55" s="21">
        <f>10^(-(($G$21+$H$21*'Advanced Outputs'!C$60^$I$21)*(($B55/$M$21)^-$K$21)+($G$22+$H$22*'Advanced Outputs'!C$60^$I$22)*$J$22*EXP(-(($L$22*($B55-$M$22))^$K$22))+($G$23+$H$23*'Advanced Outputs'!C$60^$I$23)*$J$23*EXP(-(($L$23*($B55-$M$23))^$K$23))+($G$24+$H$24*'Advanced Outputs'!C$60^$I$24)*$J$24*EXP(-(($L$24*($B55-$M$24))^$K$24))+($G$25+$H$25*'Advanced Outputs'!C$60^$I$25)*$J$25*EXP(-(($L$25*($B55-$M$25))^$K$25))+$G$26))</f>
        <v>0.140847924103147</v>
      </c>
      <c r="E55" s="21">
        <f t="shared" si="0"/>
        <v>0.261560731740519</v>
      </c>
      <c r="F55" s="12"/>
      <c r="G55" s="9"/>
      <c r="H55" s="9"/>
      <c r="I55" s="9"/>
      <c r="J55" s="9"/>
      <c r="K55" s="9"/>
      <c r="L55" s="9"/>
      <c r="M55" s="9"/>
    </row>
    <row r="56" hidden="1" spans="1:13">
      <c r="A56" s="4"/>
      <c r="B56" s="4">
        <v>415</v>
      </c>
      <c r="C56" s="21">
        <f>10^(-(($G$21+$H$21*'Advanced Outputs'!C$61^$I$21)*(($B56/$M$21)^-$K$21)+($G$22+$H$22*'Advanced Outputs'!C$61^$I$22)*$J$22*EXP(-(($L$22*($B56-$M$22))^$K$22))+($G$23+$H$23*'Advanced Outputs'!C$61^$I$23)*$J$23*EXP(-(($L$23*($B56-$M$23))^$K$23))+($G$24+$H$24*'Advanced Outputs'!C$61^$I$24)*$J$24*EXP(-(($L$24*($B56-$M$24))^$K$24))+($G$25+$H$25*'Advanced Outputs'!C$61^$I$25)*$J$25*EXP(-(($L$25*($B56-$M$25))^$K$25))+$G$26))</f>
        <v>0.0418057667220279</v>
      </c>
      <c r="D56" s="21">
        <f>10^(-(($G$21+$H$21*'Advanced Outputs'!C$60^$I$21)*(($B56/$M$21)^-$K$21)+($G$22+$H$22*'Advanced Outputs'!C$60^$I$22)*$J$22*EXP(-(($L$22*($B56-$M$22))^$K$22))+($G$23+$H$23*'Advanced Outputs'!C$60^$I$23)*$J$23*EXP(-(($L$23*($B56-$M$23))^$K$23))+($G$24+$H$24*'Advanced Outputs'!C$60^$I$24)*$J$24*EXP(-(($L$24*($B56-$M$24))^$K$24))+($G$25+$H$25*'Advanced Outputs'!C$60^$I$25)*$J$25*EXP(-(($L$25*($B56-$M$25))^$K$25))+$G$26))</f>
        <v>0.154293700870887</v>
      </c>
      <c r="E56" s="21">
        <f t="shared" si="0"/>
        <v>0.270949277164666</v>
      </c>
      <c r="F56" s="12"/>
      <c r="G56" s="9"/>
      <c r="H56" s="9"/>
      <c r="I56" s="9"/>
      <c r="J56" s="9"/>
      <c r="K56" s="9"/>
      <c r="L56" s="9"/>
      <c r="M56" s="9"/>
    </row>
    <row r="57" hidden="1" spans="1:13">
      <c r="A57" s="4"/>
      <c r="B57" s="4">
        <v>416</v>
      </c>
      <c r="C57" s="21">
        <f>10^(-(($G$21+$H$21*'Advanced Outputs'!C$61^$I$21)*(($B57/$M$21)^-$K$21)+($G$22+$H$22*'Advanced Outputs'!C$61^$I$22)*$J$22*EXP(-(($L$22*($B57-$M$22))^$K$22))+($G$23+$H$23*'Advanced Outputs'!C$61^$I$23)*$J$23*EXP(-(($L$23*($B57-$M$23))^$K$23))+($G$24+$H$24*'Advanced Outputs'!C$61^$I$24)*$J$24*EXP(-(($L$24*($B57-$M$24))^$K$24))+($G$25+$H$25*'Advanced Outputs'!C$61^$I$25)*$J$25*EXP(-(($L$25*($B57-$M$25))^$K$25))+$G$26))</f>
        <v>0.0471358476078546</v>
      </c>
      <c r="D57" s="21">
        <f>10^(-(($G$21+$H$21*'Advanced Outputs'!C$60^$I$21)*(($B57/$M$21)^-$K$21)+($G$22+$H$22*'Advanced Outputs'!C$60^$I$22)*$J$22*EXP(-(($L$22*($B57-$M$22))^$K$22))+($G$23+$H$23*'Advanced Outputs'!C$60^$I$23)*$J$23*EXP(-(($L$23*($B57-$M$23))^$K$23))+($G$24+$H$24*'Advanced Outputs'!C$60^$I$24)*$J$24*EXP(-(($L$24*($B57-$M$24))^$K$24))+($G$25+$H$25*'Advanced Outputs'!C$60^$I$25)*$J$25*EXP(-(($L$25*($B57-$M$25))^$K$25))+$G$26))</f>
        <v>0.168238921605946</v>
      </c>
      <c r="E57" s="21">
        <f t="shared" si="0"/>
        <v>0.280172074083175</v>
      </c>
      <c r="F57" s="12"/>
      <c r="G57" s="9"/>
      <c r="H57" s="9"/>
      <c r="I57" s="9"/>
      <c r="J57" s="9"/>
      <c r="K57" s="9"/>
      <c r="L57" s="9"/>
      <c r="M57" s="9"/>
    </row>
    <row r="58" hidden="1" spans="1:13">
      <c r="A58" s="4"/>
      <c r="B58" s="4">
        <v>417</v>
      </c>
      <c r="C58" s="21">
        <f>10^(-(($G$21+$H$21*'Advanced Outputs'!C$61^$I$21)*(($B58/$M$21)^-$K$21)+($G$22+$H$22*'Advanced Outputs'!C$61^$I$22)*$J$22*EXP(-(($L$22*($B58-$M$22))^$K$22))+($G$23+$H$23*'Advanced Outputs'!C$61^$I$23)*$J$23*EXP(-(($L$23*($B58-$M$23))^$K$23))+($G$24+$H$24*'Advanced Outputs'!C$61^$I$24)*$J$24*EXP(-(($L$24*($B58-$M$24))^$K$24))+($G$25+$H$25*'Advanced Outputs'!C$61^$I$25)*$J$25*EXP(-(($L$25*($B58-$M$25))^$K$25))+$G$26))</f>
        <v>0.0528161248986541</v>
      </c>
      <c r="D58" s="21">
        <f>10^(-(($G$21+$H$21*'Advanced Outputs'!C$60^$I$21)*(($B58/$M$21)^-$K$21)+($G$22+$H$22*'Advanced Outputs'!C$60^$I$22)*$J$22*EXP(-(($L$22*($B58-$M$22))^$K$22))+($G$23+$H$23*'Advanced Outputs'!C$60^$I$23)*$J$23*EXP(-(($L$23*($B58-$M$23))^$K$23))+($G$24+$H$24*'Advanced Outputs'!C$60^$I$24)*$J$24*EXP(-(($L$24*($B58-$M$24))^$K$24))+($G$25+$H$25*'Advanced Outputs'!C$60^$I$25)*$J$25*EXP(-(($L$25*($B58-$M$25))^$K$25))+$G$26))</f>
        <v>0.182613078819845</v>
      </c>
      <c r="E58" s="21">
        <f t="shared" si="0"/>
        <v>0.289224217892735</v>
      </c>
      <c r="F58" s="12"/>
      <c r="G58" s="9"/>
      <c r="H58" s="9"/>
      <c r="I58" s="9"/>
      <c r="J58" s="9"/>
      <c r="K58" s="9"/>
      <c r="L58" s="9"/>
      <c r="M58" s="9"/>
    </row>
    <row r="59" hidden="1" spans="1:13">
      <c r="A59" s="4"/>
      <c r="B59" s="4">
        <v>418</v>
      </c>
      <c r="C59" s="21">
        <f>10^(-(($G$21+$H$21*'Advanced Outputs'!C$61^$I$21)*(($B59/$M$21)^-$K$21)+($G$22+$H$22*'Advanced Outputs'!C$61^$I$22)*$J$22*EXP(-(($L$22*($B59-$M$22))^$K$22))+($G$23+$H$23*'Advanced Outputs'!C$61^$I$23)*$J$23*EXP(-(($L$23*($B59-$M$23))^$K$23))+($G$24+$H$24*'Advanced Outputs'!C$61^$I$24)*$J$24*EXP(-(($L$24*($B59-$M$24))^$K$24))+($G$25+$H$25*'Advanced Outputs'!C$61^$I$25)*$J$25*EXP(-(($L$25*($B59-$M$25))^$K$25))+$G$26))</f>
        <v>0.0588277152212755</v>
      </c>
      <c r="D59" s="21">
        <f>10^(-(($G$21+$H$21*'Advanced Outputs'!C$60^$I$21)*(($B59/$M$21)^-$K$21)+($G$22+$H$22*'Advanced Outputs'!C$60^$I$22)*$J$22*EXP(-(($L$22*($B59-$M$22))^$K$22))+($G$23+$H$23*'Advanced Outputs'!C$60^$I$23)*$J$23*EXP(-(($L$23*($B59-$M$23))^$K$23))+($G$24+$H$24*'Advanced Outputs'!C$60^$I$24)*$J$24*EXP(-(($L$24*($B59-$M$24))^$K$24))+($G$25+$H$25*'Advanced Outputs'!C$60^$I$25)*$J$25*EXP(-(($L$25*($B59-$M$25))^$K$25))+$G$26))</f>
        <v>0.197340370438758</v>
      </c>
      <c r="E59" s="21">
        <f t="shared" si="0"/>
        <v>0.298102791083652</v>
      </c>
      <c r="F59" s="12"/>
      <c r="G59" s="9"/>
      <c r="H59" s="9"/>
      <c r="I59" s="9"/>
      <c r="J59" s="9"/>
      <c r="K59" s="9"/>
      <c r="L59" s="9"/>
      <c r="M59" s="9"/>
    </row>
    <row r="60" hidden="1" spans="1:13">
      <c r="A60" s="4"/>
      <c r="B60" s="4">
        <v>419</v>
      </c>
      <c r="C60" s="21">
        <f>10^(-(($G$21+$H$21*'Advanced Outputs'!C$61^$I$21)*(($B60/$M$21)^-$K$21)+($G$22+$H$22*'Advanced Outputs'!C$61^$I$22)*$J$22*EXP(-(($L$22*($B60-$M$22))^$K$22))+($G$23+$H$23*'Advanced Outputs'!C$61^$I$23)*$J$23*EXP(-(($L$23*($B60-$M$23))^$K$23))+($G$24+$H$24*'Advanced Outputs'!C$61^$I$24)*$J$24*EXP(-(($L$24*($B60-$M$24))^$K$24))+($G$25+$H$25*'Advanced Outputs'!C$61^$I$25)*$J$25*EXP(-(($L$25*($B60-$M$25))^$K$25))+$G$26))</f>
        <v>0.0651477247354488</v>
      </c>
      <c r="D60" s="21">
        <f>10^(-(($G$21+$H$21*'Advanced Outputs'!C$60^$I$21)*(($B60/$M$21)^-$K$21)+($G$22+$H$22*'Advanced Outputs'!C$60^$I$22)*$J$22*EXP(-(($L$22*($B60-$M$22))^$K$22))+($G$23+$H$23*'Advanced Outputs'!C$60^$I$23)*$J$23*EXP(-(($L$23*($B60-$M$23))^$K$23))+($G$24+$H$24*'Advanced Outputs'!C$60^$I$24)*$J$24*EXP(-(($L$24*($B60-$M$24))^$K$24))+($G$25+$H$25*'Advanced Outputs'!C$60^$I$25)*$J$25*EXP(-(($L$25*($B60-$M$25))^$K$25))+$G$26))</f>
        <v>0.212341316496807</v>
      </c>
      <c r="E60" s="21">
        <f t="shared" si="0"/>
        <v>0.306806634762616</v>
      </c>
      <c r="F60" s="12"/>
      <c r="G60" s="9"/>
      <c r="H60" s="9"/>
      <c r="I60" s="9"/>
      <c r="J60" s="9"/>
      <c r="K60" s="9"/>
      <c r="L60" s="9"/>
      <c r="M60" s="9"/>
    </row>
    <row r="61" hidden="1" spans="1:13">
      <c r="A61" s="4"/>
      <c r="B61" s="4">
        <v>420</v>
      </c>
      <c r="C61" s="21">
        <f>10^(-(($G$21+$H$21*'Advanced Outputs'!C$61^$I$21)*(($B61/$M$21)^-$K$21)+($G$22+$H$22*'Advanced Outputs'!C$61^$I$22)*$J$22*EXP(-(($L$22*($B61-$M$22))^$K$22))+($G$23+$H$23*'Advanced Outputs'!C$61^$I$23)*$J$23*EXP(-(($L$23*($B61-$M$23))^$K$23))+($G$24+$H$24*'Advanced Outputs'!C$61^$I$24)*$J$24*EXP(-(($L$24*($B61-$M$24))^$K$24))+($G$25+$H$25*'Advanced Outputs'!C$61^$I$25)*$J$25*EXP(-(($L$25*($B61-$M$25))^$K$25))+$G$26))</f>
        <v>0.0717498244973286</v>
      </c>
      <c r="D61" s="21">
        <f>10^(-(($G$21+$H$21*'Advanced Outputs'!C$60^$I$21)*(($B61/$M$21)^-$K$21)+($G$22+$H$22*'Advanced Outputs'!C$60^$I$22)*$J$22*EXP(-(($L$22*($B61-$M$22))^$K$22))+($G$23+$H$23*'Advanced Outputs'!C$60^$I$23)*$J$23*EXP(-(($L$23*($B61-$M$23))^$K$23))+($G$24+$H$24*'Advanced Outputs'!C$60^$I$24)*$J$24*EXP(-(($L$24*($B61-$M$24))^$K$24))+($G$25+$H$25*'Advanced Outputs'!C$60^$I$25)*$J$25*EXP(-(($L$25*($B61-$M$25))^$K$25))+$G$26))</f>
        <v>0.227534427680144</v>
      </c>
      <c r="E61" s="21">
        <f t="shared" si="0"/>
        <v>0.315336123982919</v>
      </c>
      <c r="F61" s="12"/>
      <c r="G61" s="9"/>
      <c r="H61" s="9"/>
      <c r="I61" s="9"/>
      <c r="J61" s="9"/>
      <c r="K61" s="9"/>
      <c r="L61" s="9"/>
      <c r="M61" s="9"/>
    </row>
    <row r="62" hidden="1" spans="1:13">
      <c r="A62" s="4"/>
      <c r="B62" s="4">
        <v>421</v>
      </c>
      <c r="C62" s="21">
        <f>10^(-(($G$21+$H$21*'Advanced Outputs'!C$61^$I$21)*(($B62/$M$21)^-$K$21)+($G$22+$H$22*'Advanced Outputs'!C$61^$I$22)*$J$22*EXP(-(($L$22*($B62-$M$22))^$K$22))+($G$23+$H$23*'Advanced Outputs'!C$61^$I$23)*$J$23*EXP(-(($L$23*($B62-$M$23))^$K$23))+($G$24+$H$24*'Advanced Outputs'!C$61^$I$24)*$J$24*EXP(-(($L$24*($B62-$M$24))^$K$24))+($G$25+$H$25*'Advanced Outputs'!C$61^$I$25)*$J$25*EXP(-(($L$25*($B62-$M$25))^$K$25))+$G$26))</f>
        <v>0.0786049042882441</v>
      </c>
      <c r="D62" s="21">
        <f>10^(-(($G$21+$H$21*'Advanced Outputs'!C$60^$I$21)*(($B62/$M$21)^-$K$21)+($G$22+$H$22*'Advanced Outputs'!C$60^$I$22)*$J$22*EXP(-(($L$22*($B62-$M$22))^$K$22))+($G$23+$H$23*'Advanced Outputs'!C$60^$I$23)*$J$23*EXP(-(($L$23*($B62-$M$23))^$K$23))+($G$24+$H$24*'Advanced Outputs'!C$60^$I$24)*$J$24*EXP(-(($L$24*($B62-$M$24))^$K$24))+($G$25+$H$25*'Advanced Outputs'!C$60^$I$25)*$J$25*EXP(-(($L$25*($B62-$M$25))^$K$25))+$G$26))</f>
        <v>0.242837862176619</v>
      </c>
      <c r="E62" s="21">
        <f t="shared" si="0"/>
        <v>0.323692951270811</v>
      </c>
      <c r="F62" s="12"/>
      <c r="G62" s="9"/>
      <c r="H62" s="9"/>
      <c r="I62" s="9"/>
      <c r="J62" s="9"/>
      <c r="K62" s="9"/>
      <c r="L62" s="9"/>
      <c r="M62" s="9"/>
    </row>
    <row r="63" hidden="1" spans="1:13">
      <c r="A63" s="4"/>
      <c r="B63" s="4">
        <v>422</v>
      </c>
      <c r="C63" s="21">
        <f>10^(-(($G$21+$H$21*'Advanced Outputs'!C$61^$I$21)*(($B63/$M$21)^-$K$21)+($G$22+$H$22*'Advanced Outputs'!C$61^$I$22)*$J$22*EXP(-(($L$22*($B63-$M$22))^$K$22))+($G$23+$H$23*'Advanced Outputs'!C$61^$I$23)*$J$23*EXP(-(($L$23*($B63-$M$23))^$K$23))+($G$24+$H$24*'Advanced Outputs'!C$61^$I$24)*$J$24*EXP(-(($L$24*($B63-$M$24))^$K$24))+($G$25+$H$25*'Advanced Outputs'!C$61^$I$25)*$J$25*EXP(-(($L$25*($B63-$M$25))^$K$25))+$G$26))</f>
        <v>0.0856817752474233</v>
      </c>
      <c r="D63" s="21">
        <f>10^(-(($G$21+$H$21*'Advanced Outputs'!C$60^$I$21)*(($B63/$M$21)^-$K$21)+($G$22+$H$22*'Advanced Outputs'!C$60^$I$22)*$J$22*EXP(-(($L$22*($B63-$M$22))^$K$22))+($G$23+$H$23*'Advanced Outputs'!C$60^$I$23)*$J$23*EXP(-(($L$23*($B63-$M$23))^$K$23))+($G$24+$H$24*'Advanced Outputs'!C$60^$I$24)*$J$24*EXP(-(($L$24*($B63-$M$24))^$K$24))+($G$25+$H$25*'Advanced Outputs'!C$60^$I$25)*$J$25*EXP(-(($L$25*($B63-$M$25))^$K$25))+$G$26))</f>
        <v>0.258171012002856</v>
      </c>
      <c r="E63" s="21">
        <f t="shared" si="0"/>
        <v>0.331879921694986</v>
      </c>
      <c r="F63" s="12"/>
      <c r="G63" s="9"/>
      <c r="H63" s="9"/>
      <c r="I63" s="9"/>
      <c r="J63" s="9"/>
      <c r="K63" s="9"/>
      <c r="L63" s="9"/>
      <c r="M63" s="9"/>
    </row>
    <row r="64" hidden="1" spans="1:13">
      <c r="A64" s="4"/>
      <c r="B64" s="4">
        <v>423</v>
      </c>
      <c r="C64" s="21">
        <f>10^(-(($G$21+$H$21*'Advanced Outputs'!C$61^$I$21)*(($B64/$M$21)^-$K$21)+($G$22+$H$22*'Advanced Outputs'!C$61^$I$22)*$J$22*EXP(-(($L$22*($B64-$M$22))^$K$22))+($G$23+$H$23*'Advanced Outputs'!C$61^$I$23)*$J$23*EXP(-(($L$23*($B64-$M$23))^$K$23))+($G$24+$H$24*'Advanced Outputs'!C$61^$I$24)*$J$24*EXP(-(($L$24*($B64-$M$24))^$K$24))+($G$25+$H$25*'Advanced Outputs'!C$61^$I$25)*$J$25*EXP(-(($L$25*($B64-$M$25))^$K$25))+$G$26))</f>
        <v>0.092947891704141</v>
      </c>
      <c r="D64" s="21">
        <f>10^(-(($G$21+$H$21*'Advanced Outputs'!C$60^$I$21)*(($B64/$M$21)^-$K$21)+($G$22+$H$22*'Advanced Outputs'!C$60^$I$22)*$J$22*EXP(-(($L$22*($B64-$M$22))^$K$22))+($G$23+$H$23*'Advanced Outputs'!C$60^$I$23)*$J$23*EXP(-(($L$23*($B64-$M$23))^$K$23))+($G$24+$H$24*'Advanced Outputs'!C$60^$I$24)*$J$24*EXP(-(($L$24*($B64-$M$24))^$K$24))+($G$25+$H$25*'Advanced Outputs'!C$60^$I$25)*$J$25*EXP(-(($L$25*($B64-$M$25))^$K$25))+$G$26))</f>
        <v>0.273455967525041</v>
      </c>
      <c r="E64" s="21">
        <f t="shared" si="0"/>
        <v>0.339900761886389</v>
      </c>
      <c r="F64" s="12"/>
      <c r="G64" s="9"/>
      <c r="H64" s="9"/>
      <c r="I64" s="9"/>
      <c r="J64" s="9"/>
      <c r="K64" s="9"/>
      <c r="L64" s="9"/>
      <c r="M64" s="9"/>
    </row>
    <row r="65" hidden="1" spans="1:13">
      <c r="A65" s="4"/>
      <c r="B65" s="4">
        <v>424</v>
      </c>
      <c r="C65" s="21">
        <f>10^(-(($G$21+$H$21*'Advanced Outputs'!C$61^$I$21)*(($B65/$M$21)^-$K$21)+($G$22+$H$22*'Advanced Outputs'!C$61^$I$22)*$J$22*EXP(-(($L$22*($B65-$M$22))^$K$22))+($G$23+$H$23*'Advanced Outputs'!C$61^$I$23)*$J$23*EXP(-(($L$23*($B65-$M$23))^$K$23))+($G$24+$H$24*'Advanced Outputs'!C$61^$I$24)*$J$24*EXP(-(($L$24*($B65-$M$24))^$K$24))+($G$25+$H$25*'Advanced Outputs'!C$61^$I$25)*$J$25*EXP(-(($L$25*($B65-$M$25))^$K$25))+$G$26))</f>
        <v>0.100370064326562</v>
      </c>
      <c r="D65" s="21">
        <f>10^(-(($G$21+$H$21*'Advanced Outputs'!C$60^$I$21)*(($B65/$M$21)^-$K$21)+($G$22+$H$22*'Advanced Outputs'!C$60^$I$22)*$J$22*EXP(-(($L$22*($B65-$M$22))^$K$22))+($G$23+$H$23*'Advanced Outputs'!C$60^$I$23)*$J$23*EXP(-(($L$23*($B65-$M$23))^$K$23))+($G$24+$H$24*'Advanced Outputs'!C$60^$I$24)*$J$24*EXP(-(($L$24*($B65-$M$24))^$K$24))+($G$25+$H$25*'Advanced Outputs'!C$60^$I$25)*$J$25*EXP(-(($L$25*($B65-$M$25))^$K$25))+$G$26))</f>
        <v>0.288618818491786</v>
      </c>
      <c r="E65" s="21">
        <f t="shared" si="0"/>
        <v>0.347759944590789</v>
      </c>
      <c r="F65" s="12"/>
      <c r="G65" s="9"/>
      <c r="H65" s="9"/>
      <c r="I65" s="9"/>
      <c r="J65" s="9"/>
      <c r="K65" s="9"/>
      <c r="L65" s="9"/>
      <c r="M65" s="9"/>
    </row>
    <row r="66" hidden="1" spans="1:13">
      <c r="A66" s="4"/>
      <c r="B66" s="4">
        <v>425</v>
      </c>
      <c r="C66" s="21">
        <f>10^(-(($G$21+$H$21*'Advanced Outputs'!C$61^$I$21)*(($B66/$M$21)^-$K$21)+($G$22+$H$22*'Advanced Outputs'!C$61^$I$22)*$J$22*EXP(-(($L$22*($B66-$M$22))^$K$22))+($G$23+$H$23*'Advanced Outputs'!C$61^$I$23)*$J$23*EXP(-(($L$23*($B66-$M$23))^$K$23))+($G$24+$H$24*'Advanced Outputs'!C$61^$I$24)*$J$24*EXP(-(($L$24*($B66-$M$24))^$K$24))+($G$25+$H$25*'Advanced Outputs'!C$61^$I$25)*$J$25*EXP(-(($L$25*($B66-$M$25))^$K$25))+$G$26))</f>
        <v>0.107915139780223</v>
      </c>
      <c r="D66" s="21">
        <f>10^(-(($G$21+$H$21*'Advanced Outputs'!C$60^$I$21)*(($B66/$M$21)^-$K$21)+($G$22+$H$22*'Advanced Outputs'!C$60^$I$22)*$J$22*EXP(-(($L$22*($B66-$M$22))^$K$22))+($G$23+$H$23*'Advanced Outputs'!C$60^$I$23)*$J$23*EXP(-(($L$23*($B66-$M$23))^$K$23))+($G$24+$H$24*'Advanced Outputs'!C$60^$I$24)*$J$24*EXP(-(($L$24*($B66-$M$24))^$K$24))+($G$25+$H$25*'Advanced Outputs'!C$60^$I$25)*$J$25*EXP(-(($L$25*($B66-$M$25))^$K$25))+$G$26))</f>
        <v>0.30359076072481</v>
      </c>
      <c r="E66" s="21">
        <f t="shared" si="0"/>
        <v>0.35546252963226</v>
      </c>
      <c r="F66" s="12"/>
      <c r="G66" s="9"/>
      <c r="H66" s="9"/>
      <c r="I66" s="9"/>
      <c r="J66" s="9"/>
      <c r="K66" s="9"/>
      <c r="L66" s="9"/>
      <c r="M66" s="9"/>
    </row>
    <row r="67" hidden="1" spans="1:13">
      <c r="A67" s="4"/>
      <c r="B67" s="4">
        <v>426</v>
      </c>
      <c r="C67" s="21">
        <f>10^(-(($G$21+$H$21*'Advanced Outputs'!C$61^$I$21)*(($B67/$M$21)^-$K$21)+($G$22+$H$22*'Advanced Outputs'!C$61^$I$22)*$J$22*EXP(-(($L$22*($B67-$M$22))^$K$22))+($G$23+$H$23*'Advanced Outputs'!C$61^$I$23)*$J$23*EXP(-(($L$23*($B67-$M$23))^$K$23))+($G$24+$H$24*'Advanced Outputs'!C$61^$I$24)*$J$24*EXP(-(($L$24*($B67-$M$24))^$K$24))+($G$25+$H$25*'Advanced Outputs'!C$61^$I$25)*$J$25*EXP(-(($L$25*($B67-$M$25))^$K$25))+$G$26))</f>
        <v>0.1155506261474</v>
      </c>
      <c r="D67" s="21">
        <f>10^(-(($G$21+$H$21*'Advanced Outputs'!C$60^$I$21)*(($B67/$M$21)^-$K$21)+($G$22+$H$22*'Advanced Outputs'!C$60^$I$22)*$J$22*EXP(-(($L$22*($B67-$M$22))^$K$22))+($G$23+$H$23*'Advanced Outputs'!C$60^$I$23)*$J$23*EXP(-(($L$23*($B67-$M$23))^$K$23))+($G$24+$H$24*'Advanced Outputs'!C$60^$I$24)*$J$24*EXP(-(($L$24*($B67-$M$24))^$K$24))+($G$25+$H$25*'Advanced Outputs'!C$60^$I$25)*$J$25*EXP(-(($L$25*($B67-$M$25))^$K$25))+$G$26))</f>
        <v>0.31830898884952</v>
      </c>
      <c r="E67" s="21">
        <f t="shared" si="0"/>
        <v>0.363014021580229</v>
      </c>
      <c r="F67" s="12"/>
      <c r="G67" s="9"/>
      <c r="H67" s="9"/>
      <c r="I67" s="9"/>
      <c r="J67" s="9"/>
      <c r="K67" s="9"/>
      <c r="L67" s="9"/>
      <c r="M67" s="9"/>
    </row>
    <row r="68" hidden="1" spans="1:13">
      <c r="A68" s="4"/>
      <c r="B68" s="4">
        <v>427</v>
      </c>
      <c r="C68" s="21">
        <f>10^(-(($G$21+$H$21*'Advanced Outputs'!C$61^$I$21)*(($B68/$M$21)^-$K$21)+($G$22+$H$22*'Advanced Outputs'!C$61^$I$22)*$J$22*EXP(-(($L$22*($B68-$M$22))^$K$22))+($G$23+$H$23*'Advanced Outputs'!C$61^$I$23)*$J$23*EXP(-(($L$23*($B68-$M$23))^$K$23))+($G$24+$H$24*'Advanced Outputs'!C$61^$I$24)*$J$24*EXP(-(($L$24*($B68-$M$24))^$K$24))+($G$25+$H$25*'Advanced Outputs'!C$61^$I$25)*$J$25*EXP(-(($L$25*($B68-$M$25))^$K$25))+$G$26))</f>
        <v>0.123245248009803</v>
      </c>
      <c r="D68" s="21">
        <f>10^(-(($G$21+$H$21*'Advanced Outputs'!C$60^$I$21)*(($B68/$M$21)^-$K$21)+($G$22+$H$22*'Advanced Outputs'!C$60^$I$22)*$J$22*EXP(-(($L$22*($B68-$M$22))^$K$22))+($G$23+$H$23*'Advanced Outputs'!C$60^$I$23)*$J$23*EXP(-(($L$23*($B68-$M$23))^$K$23))+($G$24+$H$24*'Advanced Outputs'!C$60^$I$24)*$J$24*EXP(-(($L$24*($B68-$M$24))^$K$24))+($G$25+$H$25*'Advanced Outputs'!C$60^$I$25)*$J$25*EXP(-(($L$25*($B68-$M$25))^$K$25))+$G$26))</f>
        <v>0.332717366358555</v>
      </c>
      <c r="E68" s="21">
        <f t="shared" si="0"/>
        <v>0.370420243940579</v>
      </c>
      <c r="F68" s="12"/>
      <c r="G68" s="9"/>
      <c r="H68" s="9"/>
      <c r="I68" s="9"/>
      <c r="J68" s="9"/>
      <c r="K68" s="9"/>
      <c r="L68" s="9"/>
      <c r="M68" s="9"/>
    </row>
    <row r="69" hidden="1" spans="1:13">
      <c r="A69" s="4"/>
      <c r="B69" s="4">
        <v>428</v>
      </c>
      <c r="C69" s="21">
        <f>10^(-(($G$21+$H$21*'Advanced Outputs'!C$61^$I$21)*(($B69/$M$21)^-$K$21)+($G$22+$H$22*'Advanced Outputs'!C$61^$I$22)*$J$22*EXP(-(($L$22*($B69-$M$22))^$K$22))+($G$23+$H$23*'Advanced Outputs'!C$61^$I$23)*$J$23*EXP(-(($L$23*($B69-$M$23))^$K$23))+($G$24+$H$24*'Advanced Outputs'!C$61^$I$24)*$J$24*EXP(-(($L$24*($B69-$M$24))^$K$24))+($G$25+$H$25*'Advanced Outputs'!C$61^$I$25)*$J$25*EXP(-(($L$25*($B69-$M$25))^$K$25))+$G$26))</f>
        <v>0.130969419968346</v>
      </c>
      <c r="D69" s="21">
        <f>10^(-(($G$21+$H$21*'Advanced Outputs'!C$60^$I$21)*(($B69/$M$21)^-$K$21)+($G$22+$H$22*'Advanced Outputs'!C$60^$I$22)*$J$22*EXP(-(($L$22*($B69-$M$22))^$K$22))+($G$23+$H$23*'Advanced Outputs'!C$60^$I$23)*$J$23*EXP(-(($L$23*($B69-$M$23))^$K$23))+($G$24+$H$24*'Advanced Outputs'!C$60^$I$24)*$J$24*EXP(-(($L$24*($B69-$M$24))^$K$24))+($G$25+$H$25*'Advanced Outputs'!C$60^$I$25)*$J$25*EXP(-(($L$25*($B69-$M$25))^$K$25))+$G$26))</f>
        <v>0.346766874281463</v>
      </c>
      <c r="E69" s="21">
        <f t="shared" si="0"/>
        <v>0.377687229322952</v>
      </c>
      <c r="F69" s="12"/>
      <c r="G69" s="9"/>
      <c r="H69" s="9"/>
      <c r="I69" s="9"/>
      <c r="J69" s="9"/>
      <c r="K69" s="9"/>
      <c r="L69" s="9"/>
      <c r="M69" s="9"/>
    </row>
    <row r="70" hidden="1" spans="1:13">
      <c r="A70" s="4"/>
      <c r="B70" s="4">
        <v>429</v>
      </c>
      <c r="C70" s="21">
        <f>10^(-(($G$21+$H$21*'Advanced Outputs'!C$61^$I$21)*(($B70/$M$21)^-$K$21)+($G$22+$H$22*'Advanced Outputs'!C$61^$I$22)*$J$22*EXP(-(($L$22*($B70-$M$22))^$K$22))+($G$23+$H$23*'Advanced Outputs'!C$61^$I$23)*$J$23*EXP(-(($L$23*($B70-$M$23))^$K$23))+($G$24+$H$24*'Advanced Outputs'!C$61^$I$24)*$J$24*EXP(-(($L$24*($B70-$M$24))^$K$24))+($G$25+$H$25*'Advanced Outputs'!C$61^$I$25)*$J$25*EXP(-(($L$25*($B70-$M$25))^$K$25))+$G$26))</f>
        <v>0.138695632137681</v>
      </c>
      <c r="D70" s="21">
        <f>10^(-(($G$21+$H$21*'Advanced Outputs'!C$60^$I$21)*(($B70/$M$21)^-$K$21)+($G$22+$H$22*'Advanced Outputs'!C$60^$I$22)*$J$22*EXP(-(($L$22*($B70-$M$22))^$K$22))+($G$23+$H$23*'Advanced Outputs'!C$60^$I$23)*$J$23*EXP(-(($L$23*($B70-$M$23))^$K$23))+($G$24+$H$24*'Advanced Outputs'!C$60^$I$24)*$J$24*EXP(-(($L$24*($B70-$M$24))^$K$24))+($G$25+$H$25*'Advanced Outputs'!C$60^$I$25)*$J$25*EXP(-(($L$25*($B70-$M$25))^$K$25))+$G$26))</f>
        <v>0.360415848334067</v>
      </c>
      <c r="E70" s="21">
        <f t="shared" si="0"/>
        <v>0.384821124761208</v>
      </c>
      <c r="F70" s="12"/>
      <c r="G70" s="9"/>
      <c r="H70" s="9"/>
      <c r="I70" s="9"/>
      <c r="J70" s="9"/>
      <c r="K70" s="9"/>
      <c r="L70" s="9"/>
      <c r="M70" s="9"/>
    </row>
    <row r="71" hidden="1" spans="1:13">
      <c r="A71" s="4"/>
      <c r="B71" s="4">
        <v>430</v>
      </c>
      <c r="C71" s="21">
        <f>10^(-(($G$21+$H$21*'Advanced Outputs'!C$61^$I$21)*(($B71/$M$21)^-$K$21)+($G$22+$H$22*'Advanced Outputs'!C$61^$I$22)*$J$22*EXP(-(($L$22*($B71-$M$22))^$K$22))+($G$23+$H$23*'Advanced Outputs'!C$61^$I$23)*$J$23*EXP(-(($L$23*($B71-$M$23))^$K$23))+($G$24+$H$24*'Advanced Outputs'!C$61^$I$24)*$J$24*EXP(-(($L$24*($B71-$M$24))^$K$24))+($G$25+$H$25*'Advanced Outputs'!C$61^$I$25)*$J$25*EXP(-(($L$25*($B71-$M$25))^$K$25))+$G$26))</f>
        <v>0.146398745544906</v>
      </c>
      <c r="D71" s="21">
        <f>10^(-(($G$21+$H$21*'Advanced Outputs'!C$60^$I$21)*(($B71/$M$21)^-$K$21)+($G$22+$H$22*'Advanced Outputs'!C$60^$I$22)*$J$22*EXP(-(($L$22*($B71-$M$22))^$K$22))+($G$23+$H$23*'Advanced Outputs'!C$60^$I$23)*$J$23*EXP(-(($L$23*($B71-$M$23))^$K$23))+($G$24+$H$24*'Advanced Outputs'!C$60^$I$24)*$J$24*EXP(-(($L$24*($B71-$M$24))^$K$24))+($G$25+$H$25*'Advanced Outputs'!C$60^$I$25)*$J$25*EXP(-(($L$25*($B71-$M$25))^$K$25))+$G$26))</f>
        <v>0.373630021357619</v>
      </c>
      <c r="E71" s="21">
        <f t="shared" si="0"/>
        <v>0.391828111169849</v>
      </c>
      <c r="F71" s="12"/>
      <c r="G71" s="9"/>
      <c r="H71" s="9"/>
      <c r="I71" s="9"/>
      <c r="J71" s="9"/>
      <c r="K71" s="9"/>
      <c r="L71" s="9"/>
      <c r="M71" s="9"/>
    </row>
    <row r="72" hidden="1" spans="1:13">
      <c r="A72" s="4"/>
      <c r="B72" s="4">
        <v>431</v>
      </c>
      <c r="C72" s="21">
        <f>10^(-(($G$21+$H$21*'Advanced Outputs'!C$61^$I$21)*(($B72/$M$21)^-$K$21)+($G$22+$H$22*'Advanced Outputs'!C$61^$I$22)*$J$22*EXP(-(($L$22*($B72-$M$22))^$K$22))+($G$23+$H$23*'Advanced Outputs'!C$61^$I$23)*$J$23*EXP(-(($L$23*($B72-$M$23))^$K$23))+($G$24+$H$24*'Advanced Outputs'!C$61^$I$24)*$J$24*EXP(-(($L$24*($B72-$M$24))^$K$24))+($G$25+$H$25*'Advanced Outputs'!C$61^$I$25)*$J$25*EXP(-(($L$25*($B72-$M$25))^$K$25))+$G$26))</f>
        <v>0.154056199189263</v>
      </c>
      <c r="D72" s="21">
        <f>10^(-(($G$21+$H$21*'Advanced Outputs'!C$60^$I$21)*(($B72/$M$21)^-$K$21)+($G$22+$H$22*'Advanced Outputs'!C$60^$I$22)*$J$22*EXP(-(($L$22*($B72-$M$22))^$K$22))+($G$23+$H$23*'Advanced Outputs'!C$60^$I$23)*$J$23*EXP(-(($L$23*($B72-$M$23))^$K$23))+($G$24+$H$24*'Advanced Outputs'!C$60^$I$24)*$J$24*EXP(-(($L$24*($B72-$M$24))^$K$24))+($G$25+$H$25*'Advanced Outputs'!C$60^$I$25)*$J$25*EXP(-(($L$25*($B72-$M$25))^$K$25))+$G$26))</f>
        <v>0.386382393004261</v>
      </c>
      <c r="E72" s="21">
        <f t="shared" si="0"/>
        <v>0.398714335794189</v>
      </c>
      <c r="F72" s="12"/>
      <c r="G72" s="9"/>
      <c r="H72" s="9"/>
      <c r="I72" s="9"/>
      <c r="J72" s="9"/>
      <c r="K72" s="9"/>
      <c r="L72" s="9"/>
      <c r="M72" s="9"/>
    </row>
    <row r="73" hidden="1" spans="1:13">
      <c r="A73" s="4"/>
      <c r="B73" s="4">
        <v>432</v>
      </c>
      <c r="C73" s="21">
        <f>10^(-(($G$21+$H$21*'Advanced Outputs'!C$61^$I$21)*(($B73/$M$21)^-$K$21)+($G$22+$H$22*'Advanced Outputs'!C$61^$I$22)*$J$22*EXP(-(($L$22*($B73-$M$22))^$K$22))+($G$23+$H$23*'Advanced Outputs'!C$61^$I$23)*$J$23*EXP(-(($L$23*($B73-$M$23))^$K$23))+($G$24+$H$24*'Advanced Outputs'!C$61^$I$24)*$J$24*EXP(-(($L$24*($B73-$M$24))^$K$24))+($G$25+$H$25*'Advanced Outputs'!C$61^$I$25)*$J$25*EXP(-(($L$25*($B73-$M$25))^$K$25))+$G$26))</f>
        <v>0.161648133662763</v>
      </c>
      <c r="D73" s="21">
        <f>10^(-(($G$21+$H$21*'Advanced Outputs'!C$60^$I$21)*(($B73/$M$21)^-$K$21)+($G$22+$H$22*'Advanced Outputs'!C$60^$I$22)*$J$22*EXP(-(($L$22*($B73-$M$22))^$K$22))+($G$23+$H$23*'Advanced Outputs'!C$60^$I$23)*$J$23*EXP(-(($L$23*($B73-$M$23))^$K$23))+($G$24+$H$24*'Advanced Outputs'!C$60^$I$24)*$J$24*EXP(-(($L$24*($B73-$M$24))^$K$24))+($G$25+$H$25*'Advanced Outputs'!C$60^$I$25)*$J$25*EXP(-(($L$25*($B73-$M$25))^$K$25))+$G$26))</f>
        <v>0.398652951992514</v>
      </c>
      <c r="E73" s="21">
        <f t="shared" si="0"/>
        <v>0.405485856444377</v>
      </c>
      <c r="F73" s="12"/>
      <c r="G73" s="9"/>
      <c r="H73" s="9"/>
      <c r="I73" s="9"/>
      <c r="J73" s="9"/>
      <c r="K73" s="9"/>
      <c r="L73" s="9"/>
      <c r="M73" s="9"/>
    </row>
    <row r="74" hidden="1" spans="1:13">
      <c r="A74" s="4"/>
      <c r="B74" s="4">
        <v>433</v>
      </c>
      <c r="C74" s="21">
        <f>10^(-(($G$21+$H$21*'Advanced Outputs'!C$61^$I$21)*(($B74/$M$21)^-$K$21)+($G$22+$H$22*'Advanced Outputs'!C$61^$I$22)*$J$22*EXP(-(($L$22*($B74-$M$22))^$K$22))+($G$23+$H$23*'Advanced Outputs'!C$61^$I$23)*$J$23*EXP(-(($L$23*($B74-$M$23))^$K$23))+($G$24+$H$24*'Advanced Outputs'!C$61^$I$24)*$J$24*EXP(-(($L$24*($B74-$M$24))^$K$24))+($G$25+$H$25*'Advanced Outputs'!C$61^$I$25)*$J$25*EXP(-(($L$25*($B74-$M$25))^$K$25))+$G$26))</f>
        <v>0.169157438638432</v>
      </c>
      <c r="D74" s="21">
        <f>10^(-(($G$21+$H$21*'Advanced Outputs'!C$60^$I$21)*(($B74/$M$21)^-$K$21)+($G$22+$H$22*'Advanced Outputs'!C$60^$I$22)*$J$22*EXP(-(($L$22*($B74-$M$22))^$K$22))+($G$23+$H$23*'Advanced Outputs'!C$60^$I$23)*$J$23*EXP(-(($L$23*($B74-$M$23))^$K$23))+($G$24+$H$24*'Advanced Outputs'!C$60^$I$24)*$J$24*EXP(-(($L$24*($B74-$M$24))^$K$24))+($G$25+$H$25*'Advanced Outputs'!C$60^$I$25)*$J$25*EXP(-(($L$25*($B74-$M$25))^$K$25))+$G$26))</f>
        <v>0.410428277966451</v>
      </c>
      <c r="E74" s="21">
        <f t="shared" si="0"/>
        <v>0.412148596282293</v>
      </c>
      <c r="F74" s="12"/>
      <c r="G74" s="9"/>
      <c r="H74" s="9"/>
      <c r="I74" s="9"/>
      <c r="J74" s="9"/>
      <c r="K74" s="9"/>
      <c r="L74" s="9"/>
      <c r="M74" s="9"/>
    </row>
    <row r="75" hidden="1" spans="1:13">
      <c r="A75" s="4"/>
      <c r="B75" s="4">
        <v>434</v>
      </c>
      <c r="C75" s="21">
        <f>10^(-(($G$21+$H$21*'Advanced Outputs'!C$61^$I$21)*(($B75/$M$21)^-$K$21)+($G$22+$H$22*'Advanced Outputs'!C$61^$I$22)*$J$22*EXP(-(($L$22*($B75-$M$22))^$K$22))+($G$23+$H$23*'Advanced Outputs'!C$61^$I$23)*$J$23*EXP(-(($L$23*($B75-$M$23))^$K$23))+($G$24+$H$24*'Advanced Outputs'!C$61^$I$24)*$J$24*EXP(-(($L$24*($B75-$M$24))^$K$24))+($G$25+$H$25*'Advanced Outputs'!C$61^$I$25)*$J$25*EXP(-(($L$25*($B75-$M$25))^$K$25))+$G$26))</f>
        <v>0.17656973320752</v>
      </c>
      <c r="D75" s="21">
        <f>10^(-(($G$21+$H$21*'Advanced Outputs'!C$60^$I$21)*(($B75/$M$21)^-$K$21)+($G$22+$H$22*'Advanced Outputs'!C$60^$I$22)*$J$22*EXP(-(($L$22*($B75-$M$22))^$K$22))+($G$23+$H$23*'Advanced Outputs'!C$60^$I$23)*$J$23*EXP(-(($L$23*($B75-$M$23))^$K$23))+($G$24+$H$24*'Advanced Outputs'!C$60^$I$24)*$J$24*EXP(-(($L$24*($B75-$M$24))^$K$24))+($G$25+$H$25*'Advanced Outputs'!C$60^$I$25)*$J$25*EXP(-(($L$25*($B75-$M$25))^$K$25))+$G$26))</f>
        <v>0.421701050246007</v>
      </c>
      <c r="E75" s="21">
        <f t="shared" si="0"/>
        <v>0.418708307945912</v>
      </c>
      <c r="F75" s="12"/>
      <c r="G75" s="9"/>
      <c r="H75" s="9"/>
      <c r="I75" s="9"/>
      <c r="J75" s="9"/>
      <c r="K75" s="9"/>
      <c r="L75" s="9"/>
      <c r="M75" s="9"/>
    </row>
    <row r="76" hidden="1" spans="1:13">
      <c r="A76" s="4"/>
      <c r="B76" s="4">
        <v>435</v>
      </c>
      <c r="C76" s="21">
        <f>10^(-(($G$21+$H$21*'Advanced Outputs'!C$61^$I$21)*(($B76/$M$21)^-$K$21)+($G$22+$H$22*'Advanced Outputs'!C$61^$I$22)*$J$22*EXP(-(($L$22*($B76-$M$22))^$K$22))+($G$23+$H$23*'Advanced Outputs'!C$61^$I$23)*$J$23*EXP(-(($L$23*($B76-$M$23))^$K$23))+($G$24+$H$24*'Advanced Outputs'!C$61^$I$24)*$J$24*EXP(-(($L$24*($B76-$M$24))^$K$24))+($G$25+$H$25*'Advanced Outputs'!C$61^$I$25)*$J$25*EXP(-(($L$25*($B76-$M$25))^$K$25))+$G$26))</f>
        <v>0.183873289038883</v>
      </c>
      <c r="D76" s="21">
        <f>10^(-(($G$21+$H$21*'Advanced Outputs'!C$60^$I$21)*(($B76/$M$21)^-$K$21)+($G$22+$H$22*'Advanced Outputs'!C$60^$I$22)*$J$22*EXP(-(($L$22*($B76-$M$22))^$K$22))+($G$23+$H$23*'Advanced Outputs'!C$60^$I$23)*$J$23*EXP(-(($L$23*($B76-$M$23))^$K$23))+($G$24+$H$24*'Advanced Outputs'!C$60^$I$24)*$J$24*EXP(-(($L$24*($B76-$M$24))^$K$24))+($G$25+$H$25*'Advanced Outputs'!C$60^$I$25)*$J$25*EXP(-(($L$25*($B76-$M$25))^$K$25))+$G$26))</f>
        <v>0.432469489804186</v>
      </c>
      <c r="E76" s="21">
        <f t="shared" si="0"/>
        <v>0.425170545839286</v>
      </c>
      <c r="F76" s="12"/>
      <c r="G76" s="9"/>
      <c r="H76" s="9"/>
      <c r="I76" s="9"/>
      <c r="J76" s="9"/>
      <c r="K76" s="9"/>
      <c r="L76" s="9"/>
      <c r="M76" s="9"/>
    </row>
    <row r="77" hidden="1" spans="1:13">
      <c r="A77" s="4"/>
      <c r="B77" s="4">
        <v>436</v>
      </c>
      <c r="C77" s="21">
        <f>10^(-(($G$21+$H$21*'Advanced Outputs'!C$61^$I$21)*(($B77/$M$21)^-$K$21)+($G$22+$H$22*'Advanced Outputs'!C$61^$I$22)*$J$22*EXP(-(($L$22*($B77-$M$22))^$K$22))+($G$23+$H$23*'Advanced Outputs'!C$61^$I$23)*$J$23*EXP(-(($L$23*($B77-$M$23))^$K$23))+($G$24+$H$24*'Advanced Outputs'!C$61^$I$24)*$J$24*EXP(-(($L$24*($B77-$M$24))^$K$24))+($G$25+$H$25*'Advanced Outputs'!C$61^$I$25)*$J$25*EXP(-(($L$25*($B77-$M$25))^$K$25))+$G$26))</f>
        <v>0.191058906723011</v>
      </c>
      <c r="D77" s="21">
        <f>10^(-(($G$21+$H$21*'Advanced Outputs'!C$60^$I$21)*(($B77/$M$21)^-$K$21)+($G$22+$H$22*'Advanced Outputs'!C$60^$I$22)*$J$22*EXP(-(($L$22*($B77-$M$22))^$K$22))+($G$23+$H$23*'Advanced Outputs'!C$60^$I$23)*$J$23*EXP(-(($L$23*($B77-$M$23))^$K$23))+($G$24+$H$24*'Advanced Outputs'!C$60^$I$24)*$J$24*EXP(-(($L$24*($B77-$M$24))^$K$24))+($G$25+$H$25*'Advanced Outputs'!C$60^$I$25)*$J$25*EXP(-(($L$25*($B77-$M$25))^$K$25))+$G$26))</f>
        <v>0.4427367589219</v>
      </c>
      <c r="E77" s="21">
        <f t="shared" si="0"/>
        <v>0.431540645480296</v>
      </c>
      <c r="F77" s="12"/>
      <c r="G77" s="9"/>
      <c r="H77" s="9"/>
      <c r="I77" s="9"/>
      <c r="J77" s="9"/>
      <c r="K77" s="9"/>
      <c r="L77" s="9"/>
      <c r="M77" s="9"/>
    </row>
    <row r="78" hidden="1" spans="1:13">
      <c r="A78" s="4"/>
      <c r="B78" s="4">
        <v>437</v>
      </c>
      <c r="C78" s="21">
        <f>10^(-(($G$21+$H$21*'Advanced Outputs'!C$61^$I$21)*(($B78/$M$21)^-$K$21)+($G$22+$H$22*'Advanced Outputs'!C$61^$I$22)*$J$22*EXP(-(($L$22*($B78-$M$22))^$K$22))+($G$23+$H$23*'Advanced Outputs'!C$61^$I$23)*$J$23*EXP(-(($L$23*($B78-$M$23))^$K$23))+($G$24+$H$24*'Advanced Outputs'!C$61^$I$24)*$J$24*EXP(-(($L$24*($B78-$M$24))^$K$24))+($G$25+$H$25*'Advanced Outputs'!C$61^$I$25)*$J$25*EXP(-(($L$25*($B78-$M$25))^$K$25))+$G$26))</f>
        <v>0.198119755548984</v>
      </c>
      <c r="D78" s="21">
        <f>10^(-(($G$21+$H$21*'Advanced Outputs'!C$60^$I$21)*(($B78/$M$21)^-$K$21)+($G$22+$H$22*'Advanced Outputs'!C$60^$I$22)*$J$22*EXP(-(($L$22*($B78-$M$22))^$K$22))+($G$23+$H$23*'Advanced Outputs'!C$60^$I$23)*$J$23*EXP(-(($L$23*($B78-$M$23))^$K$23))+($G$24+$H$24*'Advanced Outputs'!C$60^$I$24)*$J$24*EXP(-(($L$24*($B78-$M$24))^$K$24))+($G$25+$H$25*'Advanced Outputs'!C$60^$I$25)*$J$25*EXP(-(($L$25*($B78-$M$25))^$K$25))+$G$26))</f>
        <v>0.452510340423204</v>
      </c>
      <c r="E78" s="21">
        <f t="shared" si="0"/>
        <v>0.437823708876344</v>
      </c>
      <c r="F78" s="12"/>
      <c r="G78" s="9"/>
      <c r="H78" s="9"/>
      <c r="I78" s="9"/>
      <c r="J78" s="9"/>
      <c r="K78" s="9"/>
      <c r="L78" s="9"/>
      <c r="M78" s="9"/>
    </row>
    <row r="79" hidden="1" spans="1:13">
      <c r="A79" s="4"/>
      <c r="B79" s="4">
        <v>438</v>
      </c>
      <c r="C79" s="21">
        <f>10^(-(($G$21+$H$21*'Advanced Outputs'!C$61^$I$21)*(($B79/$M$21)^-$K$21)+($G$22+$H$22*'Advanced Outputs'!C$61^$I$22)*$J$22*EXP(-(($L$22*($B79-$M$22))^$K$22))+($G$23+$H$23*'Advanced Outputs'!C$61^$I$23)*$J$23*EXP(-(($L$23*($B79-$M$23))^$K$23))+($G$24+$H$24*'Advanced Outputs'!C$61^$I$24)*$J$24*EXP(-(($L$24*($B79-$M$24))^$K$24))+($G$25+$H$25*'Advanced Outputs'!C$61^$I$25)*$J$25*EXP(-(($L$25*($B79-$M$25))^$K$25))+$G$26))</f>
        <v>0.205051186451832</v>
      </c>
      <c r="D79" s="21">
        <f>10^(-(($G$21+$H$21*'Advanced Outputs'!C$60^$I$21)*(($B79/$M$21)^-$K$21)+($G$22+$H$22*'Advanced Outputs'!C$60^$I$22)*$J$22*EXP(-(($L$22*($B79-$M$22))^$K$22))+($G$23+$H$23*'Advanced Outputs'!C$60^$I$23)*$J$23*EXP(-(($L$23*($B79-$M$23))^$K$23))+($G$24+$H$24*'Advanced Outputs'!C$60^$I$24)*$J$24*EXP(-(($L$24*($B79-$M$24))^$K$24))+($G$25+$H$25*'Advanced Outputs'!C$60^$I$25)*$J$25*EXP(-(($L$25*($B79-$M$25))^$K$25))+$G$26))</f>
        <v>0.461801415434611</v>
      </c>
      <c r="E79" s="21">
        <f t="shared" si="0"/>
        <v>0.444024594984955</v>
      </c>
      <c r="F79" s="12"/>
      <c r="G79" s="9"/>
      <c r="H79" s="9"/>
      <c r="I79" s="9"/>
      <c r="J79" s="9"/>
      <c r="K79" s="9"/>
      <c r="L79" s="9"/>
      <c r="M79" s="9"/>
    </row>
    <row r="80" hidden="1" spans="1:13">
      <c r="A80" s="4"/>
      <c r="B80" s="4">
        <v>439</v>
      </c>
      <c r="C80" s="21">
        <f>10^(-(($G$21+$H$21*'Advanced Outputs'!C$61^$I$21)*(($B80/$M$21)^-$K$21)+($G$22+$H$22*'Advanced Outputs'!C$61^$I$22)*$J$22*EXP(-(($L$22*($B80-$M$22))^$K$22))+($G$23+$H$23*'Advanced Outputs'!C$61^$I$23)*$J$23*EXP(-(($L$23*($B80-$M$23))^$K$23))+($G$24+$H$24*'Advanced Outputs'!C$61^$I$24)*$J$24*EXP(-(($L$24*($B80-$M$24))^$K$24))+($G$25+$H$25*'Advanced Outputs'!C$61^$I$25)*$J$25*EXP(-(($L$25*($B80-$M$25))^$K$25))+$G$26))</f>
        <v>0.21185052706597</v>
      </c>
      <c r="D80" s="21">
        <f>10^(-(($G$21+$H$21*'Advanced Outputs'!C$60^$I$21)*(($B80/$M$21)^-$K$21)+($G$22+$H$22*'Advanced Outputs'!C$60^$I$22)*$J$22*EXP(-(($L$22*($B80-$M$22))^$K$22))+($G$23+$H$23*'Advanced Outputs'!C$60^$I$23)*$J$23*EXP(-(($L$23*($B80-$M$23))^$K$23))+($G$24+$H$24*'Advanced Outputs'!C$60^$I$24)*$J$24*EXP(-(($L$24*($B80-$M$24))^$K$24))+($G$25+$H$25*'Advanced Outputs'!C$60^$I$25)*$J$25*EXP(-(($L$25*($B80-$M$25))^$K$25))+$G$26))</f>
        <v>0.47062425546245</v>
      </c>
      <c r="E80" s="21">
        <f t="shared" si="0"/>
        <v>0.450147914407427</v>
      </c>
      <c r="F80" s="12"/>
      <c r="G80" s="9"/>
      <c r="H80" s="9"/>
      <c r="I80" s="9"/>
      <c r="J80" s="9"/>
      <c r="K80" s="9"/>
      <c r="L80" s="9"/>
      <c r="M80" s="9"/>
    </row>
    <row r="81" hidden="1" spans="1:13">
      <c r="A81" s="4"/>
      <c r="B81" s="4">
        <v>440</v>
      </c>
      <c r="C81" s="21">
        <f>10^(-(($G$21+$H$21*'Advanced Outputs'!C$61^$I$21)*(($B81/$M$21)^-$K$21)+($G$22+$H$22*'Advanced Outputs'!C$61^$I$22)*$J$22*EXP(-(($L$22*($B81-$M$22))^$K$22))+($G$23+$H$23*'Advanced Outputs'!C$61^$I$23)*$J$23*EXP(-(($L$23*($B81-$M$23))^$K$23))+($G$24+$H$24*'Advanced Outputs'!C$61^$I$24)*$J$24*EXP(-(($L$24*($B81-$M$24))^$K$24))+($G$25+$H$25*'Advanced Outputs'!C$61^$I$25)*$J$25*EXP(-(($L$25*($B81-$M$25))^$K$25))+$G$26))</f>
        <v>0.218516866825879</v>
      </c>
      <c r="D81" s="21">
        <f>10^(-(($G$21+$H$21*'Advanced Outputs'!C$60^$I$21)*(($B81/$M$21)^-$K$21)+($G$22+$H$22*'Advanced Outputs'!C$60^$I$22)*$J$22*EXP(-(($L$22*($B81-$M$22))^$K$22))+($G$23+$H$23*'Advanced Outputs'!C$60^$I$23)*$J$23*EXP(-(($L$23*($B81-$M$23))^$K$23))+($G$24+$H$24*'Advanced Outputs'!C$60^$I$24)*$J$24*EXP(-(($L$24*($B81-$M$24))^$K$24))+($G$25+$H$25*'Advanced Outputs'!C$60^$I$25)*$J$25*EXP(-(($L$25*($B81-$M$25))^$K$25))+$G$26))</f>
        <v>0.47899564142487</v>
      </c>
      <c r="E81" s="21">
        <f t="shared" si="0"/>
        <v>0.456198027555859</v>
      </c>
      <c r="F81" s="12"/>
      <c r="G81" s="9"/>
      <c r="H81" s="9"/>
      <c r="I81" s="9"/>
      <c r="J81" s="9"/>
      <c r="K81" s="9"/>
      <c r="L81" s="9"/>
      <c r="M81" s="9"/>
    </row>
    <row r="82" hidden="1" spans="1:13">
      <c r="A82" s="4"/>
      <c r="B82" s="4">
        <v>441</v>
      </c>
      <c r="C82" s="21">
        <f>10^(-(($G$21+$H$21*'Advanced Outputs'!C$61^$I$21)*(($B82/$M$21)^-$K$21)+($G$22+$H$22*'Advanced Outputs'!C$61^$I$22)*$J$22*EXP(-(($L$22*($B82-$M$22))^$K$22))+($G$23+$H$23*'Advanced Outputs'!C$61^$I$23)*$J$23*EXP(-(($L$23*($B82-$M$23))^$K$23))+($G$24+$H$24*'Advanced Outputs'!C$61^$I$24)*$J$24*EXP(-(($L$24*($B82-$M$24))^$K$24))+($G$25+$H$25*'Advanced Outputs'!C$61^$I$25)*$J$25*EXP(-(($L$25*($B82-$M$25))^$K$25))+$G$26))</f>
        <v>0.225050838954062</v>
      </c>
      <c r="D82" s="21">
        <f>10^(-(($G$21+$H$21*'Advanced Outputs'!C$60^$I$21)*(($B82/$M$21)^-$K$21)+($G$22+$H$22*'Advanced Outputs'!C$60^$I$22)*$J$22*EXP(-(($L$22*($B82-$M$22))^$K$22))+($G$23+$H$23*'Advanced Outputs'!C$60^$I$23)*$J$23*EXP(-(($L$23*($B82-$M$23))^$K$23))+($G$24+$H$24*'Advanced Outputs'!C$60^$I$24)*$J$24*EXP(-(($L$24*($B82-$M$24))^$K$24))+($G$25+$H$25*'Advanced Outputs'!C$60^$I$25)*$J$25*EXP(-(($L$25*($B82-$M$25))^$K$25))+$G$26))</f>
        <v>0.486934319252903</v>
      </c>
      <c r="E82" s="21">
        <f t="shared" si="0"/>
        <v>0.462179045624376</v>
      </c>
      <c r="F82" s="12"/>
      <c r="G82" s="9"/>
      <c r="H82" s="9"/>
      <c r="I82" s="9"/>
      <c r="J82" s="9"/>
      <c r="K82" s="9"/>
      <c r="L82" s="9"/>
      <c r="M82" s="9"/>
    </row>
    <row r="83" hidden="1" spans="1:13">
      <c r="A83" s="4"/>
      <c r="B83" s="4">
        <v>442</v>
      </c>
      <c r="C83" s="21">
        <f>10^(-(($G$21+$H$21*'Advanced Outputs'!C$61^$I$21)*(($B83/$M$21)^-$K$21)+($G$22+$H$22*'Advanced Outputs'!C$61^$I$22)*$J$22*EXP(-(($L$22*($B83-$M$22))^$K$22))+($G$23+$H$23*'Advanced Outputs'!C$61^$I$23)*$J$23*EXP(-(($L$23*($B83-$M$23))^$K$23))+($G$24+$H$24*'Advanced Outputs'!C$61^$I$24)*$J$24*EXP(-(($L$24*($B83-$M$24))^$K$24))+($G$25+$H$25*'Advanced Outputs'!C$61^$I$25)*$J$25*EXP(-(($L$25*($B83-$M$25))^$K$25))+$G$26))</f>
        <v>0.231454405040498</v>
      </c>
      <c r="D83" s="21">
        <f>10^(-(($G$21+$H$21*'Advanced Outputs'!C$60^$I$21)*(($B83/$M$21)^-$K$21)+($G$22+$H$22*'Advanced Outputs'!C$60^$I$22)*$J$22*EXP(-(($L$22*($B83-$M$22))^$K$22))+($G$23+$H$23*'Advanced Outputs'!C$60^$I$23)*$J$23*EXP(-(($L$23*($B83-$M$23))^$K$23))+($G$24+$H$24*'Advanced Outputs'!C$60^$I$24)*$J$24*EXP(-(($L$24*($B83-$M$24))^$K$24))+($G$25+$H$25*'Advanced Outputs'!C$60^$I$25)*$J$25*EXP(-(($L$25*($B83-$M$25))^$K$25))+$G$26))</f>
        <v>0.494460498891511</v>
      </c>
      <c r="E83" s="21">
        <f t="shared" si="0"/>
        <v>0.468094833782226</v>
      </c>
      <c r="F83" s="12"/>
      <c r="G83" s="9"/>
      <c r="H83" s="9"/>
      <c r="I83" s="9"/>
      <c r="J83" s="9"/>
      <c r="K83" s="9"/>
      <c r="L83" s="9"/>
      <c r="M83" s="9"/>
    </row>
    <row r="84" hidden="1" spans="1:13">
      <c r="A84" s="4"/>
      <c r="B84" s="4">
        <v>443</v>
      </c>
      <c r="C84" s="21">
        <f>10^(-(($G$21+$H$21*'Advanced Outputs'!C$61^$I$21)*(($B84/$M$21)^-$K$21)+($G$22+$H$22*'Advanced Outputs'!C$61^$I$22)*$J$22*EXP(-(($L$22*($B84-$M$22))^$K$22))+($G$23+$H$23*'Advanced Outputs'!C$61^$I$23)*$J$23*EXP(-(($L$23*($B84-$M$23))^$K$23))+($G$24+$H$24*'Advanced Outputs'!C$61^$I$24)*$J$24*EXP(-(($L$24*($B84-$M$24))^$K$24))+($G$25+$H$25*'Advanced Outputs'!C$61^$I$25)*$J$25*EXP(-(($L$25*($B84-$M$25))^$K$25))+$G$26))</f>
        <v>0.237730646804209</v>
      </c>
      <c r="D84" s="21">
        <f>10^(-(($G$21+$H$21*'Advanced Outputs'!C$60^$I$21)*(($B84/$M$21)^-$K$21)+($G$22+$H$22*'Advanced Outputs'!C$60^$I$22)*$J$22*EXP(-(($L$22*($B84-$M$22))^$K$22))+($G$23+$H$23*'Advanced Outputs'!C$60^$I$23)*$J$23*EXP(-(($L$23*($B84-$M$23))^$K$23))+($G$24+$H$24*'Advanced Outputs'!C$60^$I$24)*$J$24*EXP(-(($L$24*($B84-$M$24))^$K$24))+($G$25+$H$25*'Advanced Outputs'!C$60^$I$25)*$J$25*EXP(-(($L$25*($B84-$M$25))^$K$25))+$G$26))</f>
        <v>0.50159540105473</v>
      </c>
      <c r="E84" s="21">
        <f t="shared" si="0"/>
        <v>0.473949016088107</v>
      </c>
      <c r="F84" s="12"/>
      <c r="G84" s="9"/>
      <c r="H84" s="9"/>
      <c r="I84" s="9"/>
      <c r="J84" s="9"/>
      <c r="K84" s="9"/>
      <c r="L84" s="9"/>
      <c r="M84" s="9"/>
    </row>
    <row r="85" hidden="1" spans="1:13">
      <c r="A85" s="4"/>
      <c r="B85" s="4">
        <v>444</v>
      </c>
      <c r="C85" s="21">
        <f>10^(-(($G$21+$H$21*'Advanced Outputs'!C$61^$I$21)*(($B85/$M$21)^-$K$21)+($G$22+$H$22*'Advanced Outputs'!C$61^$I$22)*$J$22*EXP(-(($L$22*($B85-$M$22))^$K$22))+($G$23+$H$23*'Advanced Outputs'!C$61^$I$23)*$J$23*EXP(-(($L$23*($B85-$M$23))^$K$23))+($G$24+$H$24*'Advanced Outputs'!C$61^$I$24)*$J$24*EXP(-(($L$24*($B85-$M$24))^$K$24))+($G$25+$H$25*'Advanced Outputs'!C$61^$I$25)*$J$25*EXP(-(($L$25*($B85-$M$25))^$K$25))+$G$26))</f>
        <v>0.243883568578422</v>
      </c>
      <c r="D85" s="21">
        <f>10^(-(($G$21+$H$21*'Advanced Outputs'!C$60^$I$21)*(($B85/$M$21)^-$K$21)+($G$22+$H$22*'Advanced Outputs'!C$60^$I$22)*$J$22*EXP(-(($L$22*($B85-$M$22))^$K$22))+($G$23+$H$23*'Advanced Outputs'!C$60^$I$23)*$J$23*EXP(-(($L$23*($B85-$M$23))^$K$23))+($G$24+$H$24*'Advanced Outputs'!C$60^$I$24)*$J$24*EXP(-(($L$24*($B85-$M$24))^$K$24))+($G$25+$H$25*'Advanced Outputs'!C$60^$I$25)*$J$25*EXP(-(($L$25*($B85-$M$25))^$K$25))+$G$26))</f>
        <v>0.508360853955805</v>
      </c>
      <c r="E85" s="21">
        <f t="shared" ref="E85:E148" si="1">C85/D85</f>
        <v>0.479744981700782</v>
      </c>
      <c r="F85" s="12"/>
      <c r="G85" s="9"/>
      <c r="H85" s="9"/>
      <c r="I85" s="9"/>
      <c r="J85" s="9"/>
      <c r="K85" s="9"/>
      <c r="L85" s="9"/>
      <c r="M85" s="9"/>
    </row>
    <row r="86" hidden="1" spans="1:13">
      <c r="A86" s="4"/>
      <c r="B86" s="4">
        <v>445</v>
      </c>
      <c r="C86" s="21">
        <f>10^(-(($G$21+$H$21*'Advanced Outputs'!C$61^$I$21)*(($B86/$M$21)^-$K$21)+($G$22+$H$22*'Advanced Outputs'!C$61^$I$22)*$J$22*EXP(-(($L$22*($B86-$M$22))^$K$22))+($G$23+$H$23*'Advanced Outputs'!C$61^$I$23)*$J$23*EXP(-(($L$23*($B86-$M$23))^$K$23))+($G$24+$H$24*'Advanced Outputs'!C$61^$I$24)*$J$24*EXP(-(($L$24*($B86-$M$24))^$K$24))+($G$25+$H$25*'Advanced Outputs'!C$61^$I$25)*$J$25*EXP(-(($L$25*($B86-$M$25))^$K$25))+$G$26))</f>
        <v>0.249917913105177</v>
      </c>
      <c r="D86" s="21">
        <f>10^(-(($G$21+$H$21*'Advanced Outputs'!C$60^$I$21)*(($B86/$M$21)^-$K$21)+($G$22+$H$22*'Advanced Outputs'!C$60^$I$22)*$J$22*EXP(-(($L$22*($B86-$M$22))^$K$22))+($G$23+$H$23*'Advanced Outputs'!C$60^$I$23)*$J$23*EXP(-(($L$23*($B86-$M$23))^$K$23))+($G$24+$H$24*'Advanced Outputs'!C$60^$I$24)*$J$24*EXP(-(($L$24*($B86-$M$24))^$K$24))+($G$25+$H$25*'Advanced Outputs'!C$60^$I$25)*$J$25*EXP(-(($L$25*($B86-$M$25))^$K$25))+$G$26))</f>
        <v>0.514778940455253</v>
      </c>
      <c r="E86" s="21">
        <f t="shared" si="1"/>
        <v>0.48548589203</v>
      </c>
      <c r="F86" s="12"/>
      <c r="G86" s="9"/>
      <c r="H86" s="9"/>
      <c r="I86" s="9"/>
      <c r="J86" s="9"/>
      <c r="K86" s="9"/>
      <c r="L86" s="9"/>
      <c r="M86" s="9"/>
    </row>
    <row r="87" hidden="1" spans="1:13">
      <c r="A87" s="4"/>
      <c r="B87" s="4">
        <v>446</v>
      </c>
      <c r="C87" s="21">
        <f>10^(-(($G$21+$H$21*'Advanced Outputs'!C$61^$I$21)*(($B87/$M$21)^-$K$21)+($G$22+$H$22*'Advanced Outputs'!C$61^$I$22)*$J$22*EXP(-(($L$22*($B87-$M$22))^$K$22))+($G$23+$H$23*'Advanced Outputs'!C$61^$I$23)*$J$23*EXP(-(($L$23*($B87-$M$23))^$K$23))+($G$24+$H$24*'Advanced Outputs'!C$61^$I$24)*$J$24*EXP(-(($L$24*($B87-$M$24))^$K$24))+($G$25+$H$25*'Advanced Outputs'!C$61^$I$25)*$J$25*EXP(-(($L$25*($B87-$M$25))^$K$25))+$G$26))</f>
        <v>0.255838992380622</v>
      </c>
      <c r="D87" s="21">
        <f>10^(-(($G$21+$H$21*'Advanced Outputs'!C$60^$I$21)*(($B87/$M$21)^-$K$21)+($G$22+$H$22*'Advanced Outputs'!C$60^$I$22)*$J$22*EXP(-(($L$22*($B87-$M$22))^$K$22))+($G$23+$H$23*'Advanced Outputs'!C$60^$I$23)*$J$23*EXP(-(($L$23*($B87-$M$23))^$K$23))+($G$24+$H$24*'Advanced Outputs'!C$60^$I$24)*$J$24*EXP(-(($L$24*($B87-$M$24))^$K$24))+($G$25+$H$25*'Advanced Outputs'!C$60^$I$25)*$J$25*EXP(-(($L$25*($B87-$M$25))^$K$25))+$G$26))</f>
        <v>0.520871694639417</v>
      </c>
      <c r="E87" s="21">
        <f t="shared" si="1"/>
        <v>0.491174688533864</v>
      </c>
      <c r="F87" s="12"/>
      <c r="G87" s="9"/>
      <c r="H87" s="9"/>
      <c r="I87" s="9"/>
      <c r="J87" s="9"/>
      <c r="K87" s="9"/>
      <c r="L87" s="9"/>
      <c r="M87" s="9"/>
    </row>
    <row r="88" hidden="1" spans="1:13">
      <c r="A88" s="4"/>
      <c r="B88" s="4">
        <v>447</v>
      </c>
      <c r="C88" s="21">
        <f>10^(-(($G$21+$H$21*'Advanced Outputs'!C$61^$I$21)*(($B88/$M$21)^-$K$21)+($G$22+$H$22*'Advanced Outputs'!C$61^$I$22)*$J$22*EXP(-(($L$22*($B88-$M$22))^$K$22))+($G$23+$H$23*'Advanced Outputs'!C$61^$I$23)*$J$23*EXP(-(($L$23*($B88-$M$23))^$K$23))+($G$24+$H$24*'Advanced Outputs'!C$61^$I$24)*$J$24*EXP(-(($L$24*($B88-$M$24))^$K$24))+($G$25+$H$25*'Advanced Outputs'!C$61^$I$25)*$J$25*EXP(-(($L$25*($B88-$M$25))^$K$25))+$G$26))</f>
        <v>0.261652534566679</v>
      </c>
      <c r="D88" s="21">
        <f>10^(-(($G$21+$H$21*'Advanced Outputs'!C$60^$I$21)*(($B88/$M$21)^-$K$21)+($G$22+$H$22*'Advanced Outputs'!C$60^$I$22)*$J$22*EXP(-(($L$22*($B88-$M$22))^$K$22))+($G$23+$H$23*'Advanced Outputs'!C$60^$I$23)*$J$23*EXP(-(($L$23*($B88-$M$23))^$K$23))+($G$24+$H$24*'Advanced Outputs'!C$60^$I$24)*$J$24*EXP(-(($L$24*($B88-$M$24))^$K$24))+($G$25+$H$25*'Advanced Outputs'!C$60^$I$25)*$J$25*EXP(-(($L$25*($B88-$M$25))^$K$25))+$G$26))</f>
        <v>0.526660845737138</v>
      </c>
      <c r="E88" s="21">
        <f t="shared" si="1"/>
        <v>0.496814100923828</v>
      </c>
      <c r="F88" s="12"/>
      <c r="G88" s="9"/>
      <c r="H88" s="9"/>
      <c r="I88" s="9"/>
      <c r="J88" s="9"/>
      <c r="K88" s="9"/>
      <c r="L88" s="9"/>
      <c r="M88" s="9"/>
    </row>
    <row r="89" hidden="1" spans="1:13">
      <c r="A89" s="4"/>
      <c r="B89" s="4">
        <v>448</v>
      </c>
      <c r="C89" s="21">
        <f>10^(-(($G$21+$H$21*'Advanced Outputs'!C$61^$I$21)*(($B89/$M$21)^-$K$21)+($G$22+$H$22*'Advanced Outputs'!C$61^$I$22)*$J$22*EXP(-(($L$22*($B89-$M$22))^$K$22))+($G$23+$H$23*'Advanced Outputs'!C$61^$I$23)*$J$23*EXP(-(($L$23*($B89-$M$23))^$K$23))+($G$24+$H$24*'Advanced Outputs'!C$61^$I$24)*$J$24*EXP(-(($L$24*($B89-$M$24))^$K$24))+($G$25+$H$25*'Advanced Outputs'!C$61^$I$25)*$J$25*EXP(-(($L$25*($B89-$M$25))^$K$25))+$G$26))</f>
        <v>0.267364547379008</v>
      </c>
      <c r="D89" s="21">
        <f>10^(-(($G$21+$H$21*'Advanced Outputs'!C$60^$I$21)*(($B89/$M$21)^-$K$21)+($G$22+$H$22*'Advanced Outputs'!C$60^$I$22)*$J$22*EXP(-(($L$22*($B89-$M$22))^$K$22))+($G$23+$H$23*'Advanced Outputs'!C$60^$I$23)*$J$23*EXP(-(($L$23*($B89-$M$23))^$K$23))+($G$24+$H$24*'Advanced Outputs'!C$60^$I$24)*$J$24*EXP(-(($L$24*($B89-$M$24))^$K$24))+($G$25+$H$25*'Advanced Outputs'!C$60^$I$25)*$J$25*EXP(-(($L$25*($B89-$M$25))^$K$25))+$G$26))</f>
        <v>0.532167606471479</v>
      </c>
      <c r="E89" s="21">
        <f t="shared" si="1"/>
        <v>0.502406655586875</v>
      </c>
      <c r="F89" s="12"/>
      <c r="G89" s="9"/>
      <c r="H89" s="9"/>
      <c r="I89" s="9"/>
      <c r="J89" s="9"/>
      <c r="K89" s="9"/>
      <c r="L89" s="9"/>
      <c r="M89" s="9"/>
    </row>
    <row r="90" hidden="1" spans="1:13">
      <c r="A90" s="4"/>
      <c r="B90" s="4">
        <v>449</v>
      </c>
      <c r="C90" s="21">
        <f>10^(-(($G$21+$H$21*'Advanced Outputs'!C$61^$I$21)*(($B90/$M$21)^-$K$21)+($G$22+$H$22*'Advanced Outputs'!C$61^$I$22)*$J$22*EXP(-(($L$22*($B90-$M$22))^$K$22))+($G$23+$H$23*'Advanced Outputs'!C$61^$I$23)*$J$23*EXP(-(($L$23*($B90-$M$23))^$K$23))+($G$24+$H$24*'Advanced Outputs'!C$61^$I$24)*$J$24*EXP(-(($L$24*($B90-$M$24))^$K$24))+($G$25+$H$25*'Advanced Outputs'!C$61^$I$25)*$J$25*EXP(-(($L$25*($B90-$M$25))^$K$25))+$G$26))</f>
        <v>0.272981197870259</v>
      </c>
      <c r="D90" s="21">
        <f>10^(-(($G$21+$H$21*'Advanced Outputs'!C$60^$I$21)*(($B90/$M$21)^-$K$21)+($G$22+$H$22*'Advanced Outputs'!C$60^$I$22)*$J$22*EXP(-(($L$22*($B90-$M$22))^$K$22))+($G$23+$H$23*'Advanced Outputs'!C$60^$I$23)*$J$23*EXP(-(($L$23*($B90-$M$23))^$K$23))+($G$24+$H$24*'Advanced Outputs'!C$60^$I$24)*$J$24*EXP(-(($L$24*($B90-$M$24))^$K$24))+($G$25+$H$25*'Advanced Outputs'!C$60^$I$25)*$J$25*EXP(-(($L$25*($B90-$M$25))^$K$25))+$G$26))</f>
        <v>0.537412502390324</v>
      </c>
      <c r="E90" s="21">
        <f t="shared" si="1"/>
        <v>0.507954684076167</v>
      </c>
      <c r="F90" s="12"/>
      <c r="G90" s="9"/>
      <c r="H90" s="9"/>
      <c r="I90" s="9"/>
      <c r="J90" s="9"/>
      <c r="K90" s="9"/>
      <c r="L90" s="9"/>
      <c r="M90" s="9"/>
    </row>
    <row r="91" hidden="1" spans="1:13">
      <c r="A91" s="4"/>
      <c r="B91" s="4">
        <v>450</v>
      </c>
      <c r="C91" s="21">
        <f>10^(-(($G$21+$H$21*'Advanced Outputs'!C$61^$I$21)*(($B91/$M$21)^-$K$21)+($G$22+$H$22*'Advanced Outputs'!C$61^$I$22)*$J$22*EXP(-(($L$22*($B91-$M$22))^$K$22))+($G$23+$H$23*'Advanced Outputs'!C$61^$I$23)*$J$23*EXP(-(($L$23*($B91-$M$23))^$K$23))+($G$24+$H$24*'Advanced Outputs'!C$61^$I$24)*$J$24*EXP(-(($L$24*($B91-$M$24))^$K$24))+($G$25+$H$25*'Advanced Outputs'!C$61^$I$25)*$J$25*EXP(-(($L$25*($B91-$M$25))^$K$25))+$G$26))</f>
        <v>0.278508708143011</v>
      </c>
      <c r="D91" s="21">
        <f>10^(-(($G$21+$H$21*'Advanced Outputs'!C$60^$I$21)*(($B91/$M$21)^-$K$21)+($G$22+$H$22*'Advanced Outputs'!C$60^$I$22)*$J$22*EXP(-(($L$22*($B91-$M$22))^$K$22))+($G$23+$H$23*'Advanced Outputs'!C$60^$I$23)*$J$23*EXP(-(($L$23*($B91-$M$23))^$K$23))+($G$24+$H$24*'Advanced Outputs'!C$60^$I$24)*$J$24*EXP(-(($L$24*($B91-$M$24))^$K$24))+($G$25+$H$25*'Advanced Outputs'!C$60^$I$25)*$J$25*EXP(-(($L$25*($B91-$M$25))^$K$25))+$G$26))</f>
        <v>0.542415238385398</v>
      </c>
      <c r="E91" s="21">
        <f t="shared" si="1"/>
        <v>0.513460331557139</v>
      </c>
      <c r="F91" s="12"/>
      <c r="G91" s="9"/>
      <c r="H91" s="9"/>
      <c r="I91" s="9"/>
      <c r="J91" s="9"/>
      <c r="K91" s="9"/>
      <c r="L91" s="9"/>
      <c r="M91" s="9"/>
    </row>
    <row r="92" hidden="1" spans="1:13">
      <c r="A92" s="4"/>
      <c r="B92" s="4">
        <v>451</v>
      </c>
      <c r="C92" s="21">
        <f>10^(-(($G$21+$H$21*'Advanced Outputs'!C$61^$I$21)*(($B92/$M$21)^-$K$21)+($G$22+$H$22*'Advanced Outputs'!C$61^$I$22)*$J$22*EXP(-(($L$22*($B92-$M$22))^$K$22))+($G$23+$H$23*'Advanced Outputs'!C$61^$I$23)*$J$23*EXP(-(($L$23*($B92-$M$23))^$K$23))+($G$24+$H$24*'Advanced Outputs'!C$61^$I$24)*$J$24*EXP(-(($L$24*($B92-$M$24))^$K$24))+($G$25+$H$25*'Advanced Outputs'!C$61^$I$25)*$J$25*EXP(-(($L$25*($B92-$M$25))^$K$25))+$G$26))</f>
        <v>0.283953266237464</v>
      </c>
      <c r="D92" s="21">
        <f>10^(-(($G$21+$H$21*'Advanced Outputs'!C$60^$I$21)*(($B92/$M$21)^-$K$21)+($G$22+$H$22*'Advanced Outputs'!C$60^$I$22)*$J$22*EXP(-(($L$22*($B92-$M$22))^$K$22))+($G$23+$H$23*'Advanced Outputs'!C$60^$I$23)*$J$23*EXP(-(($L$23*($B92-$M$23))^$K$23))+($G$24+$H$24*'Advanced Outputs'!C$60^$I$24)*$J$24*EXP(-(($L$24*($B92-$M$24))^$K$24))+($G$25+$H$25*'Advanced Outputs'!C$60^$I$25)*$J$25*EXP(-(($L$25*($B92-$M$25))^$K$25))+$G$26))</f>
        <v>0.547194598455567</v>
      </c>
      <c r="E92" s="21">
        <f t="shared" si="1"/>
        <v>0.518925565126026</v>
      </c>
      <c r="F92" s="12"/>
      <c r="G92" s="9"/>
      <c r="H92" s="9"/>
      <c r="I92" s="9"/>
      <c r="J92" s="9"/>
      <c r="K92" s="9"/>
      <c r="L92" s="9"/>
      <c r="M92" s="9"/>
    </row>
    <row r="93" hidden="1" spans="1:13">
      <c r="A93" s="4"/>
      <c r="B93" s="4">
        <v>452</v>
      </c>
      <c r="C93" s="21">
        <f>10^(-(($G$21+$H$21*'Advanced Outputs'!C$61^$I$21)*(($B93/$M$21)^-$K$21)+($G$22+$H$22*'Advanced Outputs'!C$61^$I$22)*$J$22*EXP(-(($L$22*($B93-$M$22))^$K$22))+($G$23+$H$23*'Advanced Outputs'!C$61^$I$23)*$J$23*EXP(-(($L$23*($B93-$M$23))^$K$23))+($G$24+$H$24*'Advanced Outputs'!C$61^$I$24)*$J$24*EXP(-(($L$24*($B93-$M$24))^$K$24))+($G$25+$H$25*'Advanced Outputs'!C$61^$I$25)*$J$25*EXP(-(($L$25*($B93-$M$25))^$K$25))+$G$26))</f>
        <v>0.289320951232777</v>
      </c>
      <c r="D93" s="21">
        <f>10^(-(($G$21+$H$21*'Advanced Outputs'!C$60^$I$21)*(($B93/$M$21)^-$K$21)+($G$22+$H$22*'Advanced Outputs'!C$60^$I$22)*$J$22*EXP(-(($L$22*($B93-$M$22))^$K$22))+($G$23+$H$23*'Advanced Outputs'!C$60^$I$23)*$J$23*EXP(-(($L$23*($B93-$M$23))^$K$23))+($G$24+$H$24*'Advanced Outputs'!C$60^$I$24)*$J$24*EXP(-(($L$24*($B93-$M$24))^$K$24))+($G$25+$H$25*'Advanced Outputs'!C$60^$I$25)*$J$25*EXP(-(($L$25*($B93-$M$25))^$K$25))+$G$26))</f>
        <v>0.551768374760815</v>
      </c>
      <c r="E93" s="21">
        <f t="shared" si="1"/>
        <v>0.524352181942639</v>
      </c>
      <c r="F93" s="12"/>
      <c r="G93" s="9"/>
      <c r="H93" s="9"/>
      <c r="I93" s="9"/>
      <c r="J93" s="9"/>
      <c r="K93" s="9"/>
      <c r="L93" s="9"/>
      <c r="M93" s="9"/>
    </row>
    <row r="94" hidden="1" spans="1:13">
      <c r="A94" s="4"/>
      <c r="B94" s="4">
        <v>453</v>
      </c>
      <c r="C94" s="21">
        <f>10^(-(($G$21+$H$21*'Advanced Outputs'!C$61^$I$21)*(($B94/$M$21)^-$K$21)+($G$22+$H$22*'Advanced Outputs'!C$61^$I$22)*$J$22*EXP(-(($L$22*($B94-$M$22))^$K$22))+($G$23+$H$23*'Advanced Outputs'!C$61^$I$23)*$J$23*EXP(-(($L$23*($B94-$M$23))^$K$23))+($G$24+$H$24*'Advanced Outputs'!C$61^$I$24)*$J$24*EXP(-(($L$24*($B94-$M$24))^$K$24))+($G$25+$H$25*'Advanced Outputs'!C$61^$I$25)*$J$25*EXP(-(($L$25*($B94-$M$25))^$K$25))+$G$26))</f>
        <v>0.294617671465488</v>
      </c>
      <c r="D94" s="21">
        <f>10^(-(($G$21+$H$21*'Advanced Outputs'!C$60^$I$21)*(($B94/$M$21)^-$K$21)+($G$22+$H$22*'Advanced Outputs'!C$60^$I$22)*$J$22*EXP(-(($L$22*($B94-$M$22))^$K$22))+($G$23+$H$23*'Advanced Outputs'!C$60^$I$23)*$J$23*EXP(-(($L$23*($B94-$M$23))^$K$23))+($G$24+$H$24*'Advanced Outputs'!C$60^$I$24)*$J$24*EXP(-(($L$24*($B94-$M$24))^$K$24))+($G$25+$H$25*'Advanced Outputs'!C$60^$I$25)*$J$25*EXP(-(($L$25*($B94-$M$25))^$K$25))+$G$26))</f>
        <v>0.556153322115275</v>
      </c>
      <c r="E94" s="21">
        <f t="shared" si="1"/>
        <v>0.52974181713945</v>
      </c>
      <c r="F94" s="12"/>
      <c r="G94" s="9"/>
      <c r="H94" s="9"/>
      <c r="I94" s="9"/>
      <c r="J94" s="9"/>
      <c r="K94" s="9"/>
      <c r="L94" s="9"/>
      <c r="M94" s="9"/>
    </row>
    <row r="95" hidden="1" spans="1:13">
      <c r="A95" s="4"/>
      <c r="B95" s="4">
        <v>454</v>
      </c>
      <c r="C95" s="21">
        <f>10^(-(($G$21+$H$21*'Advanced Outputs'!C$61^$I$21)*(($B95/$M$21)^-$K$21)+($G$22+$H$22*'Advanced Outputs'!C$61^$I$22)*$J$22*EXP(-(($L$22*($B95-$M$22))^$K$22))+($G$23+$H$23*'Advanced Outputs'!C$61^$I$23)*$J$23*EXP(-(($L$23*($B95-$M$23))^$K$23))+($G$24+$H$24*'Advanced Outputs'!C$61^$I$24)*$J$24*EXP(-(($L$24*($B95-$M$24))^$K$24))+($G$25+$H$25*'Advanced Outputs'!C$61^$I$25)*$J$25*EXP(-(($L$25*($B95-$M$25))^$K$25))+$G$26))</f>
        <v>0.299849114691581</v>
      </c>
      <c r="D95" s="21">
        <f>10^(-(($G$21+$H$21*'Advanced Outputs'!C$60^$I$21)*(($B95/$M$21)^-$K$21)+($G$22+$H$22*'Advanced Outputs'!C$60^$I$22)*$J$22*EXP(-(($L$22*($B95-$M$22))^$K$22))+($G$23+$H$23*'Advanced Outputs'!C$60^$I$23)*$J$23*EXP(-(($L$23*($B95-$M$23))^$K$23))+($G$24+$H$24*'Advanced Outputs'!C$60^$I$24)*$J$24*EXP(-(($L$24*($B95-$M$24))^$K$24))+($G$25+$H$25*'Advanced Outputs'!C$60^$I$25)*$J$25*EXP(-(($L$25*($B95-$M$25))^$K$25))+$G$26))</f>
        <v>0.560365134251831</v>
      </c>
      <c r="E95" s="21">
        <f t="shared" si="1"/>
        <v>0.535095951485139</v>
      </c>
      <c r="F95" s="12"/>
      <c r="G95" s="9"/>
      <c r="H95" s="9"/>
      <c r="I95" s="9"/>
      <c r="J95" s="9"/>
      <c r="K95" s="9"/>
      <c r="L95" s="9"/>
      <c r="M95" s="9"/>
    </row>
    <row r="96" hidden="1" spans="1:13">
      <c r="A96" s="4"/>
      <c r="B96" s="4">
        <v>455</v>
      </c>
      <c r="C96" s="21">
        <f>10^(-(($G$21+$H$21*'Advanced Outputs'!C$61^$I$21)*(($B96/$M$21)^-$K$21)+($G$22+$H$22*'Advanced Outputs'!C$61^$I$22)*$J$22*EXP(-(($L$22*($B96-$M$22))^$K$22))+($G$23+$H$23*'Advanced Outputs'!C$61^$I$23)*$J$23*EXP(-(($L$23*($B96-$M$23))^$K$23))+($G$24+$H$24*'Advanced Outputs'!C$61^$I$24)*$J$24*EXP(-(($L$24*($B96-$M$24))^$K$24))+($G$25+$H$25*'Advanced Outputs'!C$61^$I$25)*$J$25*EXP(-(($L$25*($B96-$M$25))^$K$25))+$G$26))</f>
        <v>0.305020708989311</v>
      </c>
      <c r="D96" s="21">
        <f>10^(-(($G$21+$H$21*'Advanced Outputs'!C$60^$I$21)*(($B96/$M$21)^-$K$21)+($G$22+$H$22*'Advanced Outputs'!C$60^$I$22)*$J$22*EXP(-(($L$22*($B96-$M$22))^$K$22))+($G$23+$H$23*'Advanced Outputs'!C$60^$I$23)*$J$23*EXP(-(($L$23*($B96-$M$23))^$K$23))+($G$24+$H$24*'Advanced Outputs'!C$60^$I$24)*$J$24*EXP(-(($L$24*($B96-$M$24))^$K$24))+($G$25+$H$25*'Advanced Outputs'!C$60^$I$25)*$J$25*EXP(-(($L$25*($B96-$M$25))^$K$25))+$G$26))</f>
        <v>0.564418438432384</v>
      </c>
      <c r="E96" s="21">
        <f t="shared" si="1"/>
        <v>0.540415918793291</v>
      </c>
      <c r="F96" s="12"/>
      <c r="G96" s="9"/>
      <c r="H96" s="9"/>
      <c r="I96" s="9"/>
      <c r="J96" s="9"/>
      <c r="K96" s="9"/>
      <c r="L96" s="9"/>
      <c r="M96" s="9"/>
    </row>
    <row r="97" hidden="1" spans="1:13">
      <c r="A97" s="4"/>
      <c r="B97" s="4">
        <v>456</v>
      </c>
      <c r="C97" s="21">
        <f>10^(-(($G$21+$H$21*'Advanced Outputs'!C$61^$I$21)*(($B97/$M$21)^-$K$21)+($G$22+$H$22*'Advanced Outputs'!C$61^$I$22)*$J$22*EXP(-(($L$22*($B97-$M$22))^$K$22))+($G$23+$H$23*'Advanced Outputs'!C$61^$I$23)*$J$23*EXP(-(($L$23*($B97-$M$23))^$K$23))+($G$24+$H$24*'Advanced Outputs'!C$61^$I$24)*$J$24*EXP(-(($L$24*($B97-$M$24))^$K$24))+($G$25+$H$25*'Advanced Outputs'!C$61^$I$25)*$J$25*EXP(-(($L$25*($B97-$M$25))^$K$25))+$G$26))</f>
        <v>0.310137593207558</v>
      </c>
      <c r="D97" s="21">
        <f>10^(-(($G$21+$H$21*'Advanced Outputs'!C$60^$I$21)*(($B97/$M$21)^-$K$21)+($G$22+$H$22*'Advanced Outputs'!C$60^$I$22)*$J$22*EXP(-(($L$22*($B97-$M$22))^$K$22))+($G$23+$H$23*'Advanced Outputs'!C$60^$I$23)*$J$23*EXP(-(($L$23*($B97-$M$23))^$K$23))+($G$24+$H$24*'Advanced Outputs'!C$60^$I$24)*$J$24*EXP(-(($L$24*($B97-$M$24))^$K$24))+($G$25+$H$25*'Advanced Outputs'!C$60^$I$25)*$J$25*EXP(-(($L$25*($B97-$M$25))^$K$25))+$G$26))</f>
        <v>0.56832680525598</v>
      </c>
      <c r="E97" s="21">
        <f t="shared" si="1"/>
        <v>0.545702913076339</v>
      </c>
      <c r="F97" s="12"/>
      <c r="G97" s="9"/>
      <c r="H97" s="9"/>
      <c r="I97" s="9"/>
      <c r="J97" s="9"/>
      <c r="K97" s="9"/>
      <c r="L97" s="9"/>
      <c r="M97" s="9"/>
    </row>
    <row r="98" hidden="1" spans="1:13">
      <c r="A98" s="4"/>
      <c r="B98" s="4">
        <v>457</v>
      </c>
      <c r="C98" s="21">
        <f>10^(-(($G$21+$H$21*'Advanced Outputs'!C$61^$I$21)*(($B98/$M$21)^-$K$21)+($G$22+$H$22*'Advanced Outputs'!C$61^$I$22)*$J$22*EXP(-(($L$22*($B98-$M$22))^$K$22))+($G$23+$H$23*'Advanced Outputs'!C$61^$I$23)*$J$23*EXP(-(($L$23*($B98-$M$23))^$K$23))+($G$24+$H$24*'Advanced Outputs'!C$61^$I$24)*$J$24*EXP(-(($L$24*($B98-$M$24))^$K$24))+($G$25+$H$25*'Advanced Outputs'!C$61^$I$25)*$J$25*EXP(-(($L$25*($B98-$M$25))^$K$25))+$G$26))</f>
        <v>0.315204595800427</v>
      </c>
      <c r="D98" s="21">
        <f>10^(-(($G$21+$H$21*'Advanced Outputs'!C$60^$I$21)*(($B98/$M$21)^-$K$21)+($G$22+$H$22*'Advanced Outputs'!C$60^$I$22)*$J$22*EXP(-(($L$22*($B98-$M$22))^$K$22))+($G$23+$H$23*'Advanced Outputs'!C$60^$I$23)*$J$23*EXP(-(($L$23*($B98-$M$23))^$K$23))+($G$24+$H$24*'Advanced Outputs'!C$60^$I$24)*$J$24*EXP(-(($L$24*($B98-$M$24))^$K$24))+($G$25+$H$25*'Advanced Outputs'!C$60^$I$25)*$J$25*EXP(-(($L$25*($B98-$M$25))^$K$25))+$G$26))</f>
        <v>0.572102770814755</v>
      </c>
      <c r="E98" s="21">
        <f t="shared" si="1"/>
        <v>0.55095799545164</v>
      </c>
      <c r="F98" s="12"/>
      <c r="G98" s="9"/>
      <c r="H98" s="9"/>
      <c r="I98" s="9"/>
      <c r="J98" s="9"/>
      <c r="K98" s="9"/>
      <c r="L98" s="9"/>
      <c r="M98" s="9"/>
    </row>
    <row r="99" hidden="1" spans="1:13">
      <c r="A99" s="4"/>
      <c r="B99" s="4">
        <v>458</v>
      </c>
      <c r="C99" s="21">
        <f>10^(-(($G$21+$H$21*'Advanced Outputs'!C$61^$I$21)*(($B99/$M$21)^-$K$21)+($G$22+$H$22*'Advanced Outputs'!C$61^$I$22)*$J$22*EXP(-(($L$22*($B99-$M$22))^$K$22))+($G$23+$H$23*'Advanced Outputs'!C$61^$I$23)*$J$23*EXP(-(($L$23*($B99-$M$23))^$K$23))+($G$24+$H$24*'Advanced Outputs'!C$61^$I$24)*$J$24*EXP(-(($L$24*($B99-$M$24))^$K$24))+($G$25+$H$25*'Advanced Outputs'!C$61^$I$25)*$J$25*EXP(-(($L$25*($B99-$M$25))^$K$25))+$G$26))</f>
        <v>0.320226220945314</v>
      </c>
      <c r="D99" s="21">
        <f>10^(-(($G$21+$H$21*'Advanced Outputs'!C$60^$I$21)*(($B99/$M$21)^-$K$21)+($G$22+$H$22*'Advanced Outputs'!C$60^$I$22)*$J$22*EXP(-(($L$22*($B99-$M$22))^$K$22))+($G$23+$H$23*'Advanced Outputs'!C$60^$I$23)*$J$23*EXP(-(($L$23*($B99-$M$23))^$K$23))+($G$24+$H$24*'Advanced Outputs'!C$60^$I$24)*$J$24*EXP(-(($L$24*($B99-$M$24))^$K$24))+($G$25+$H$25*'Advanced Outputs'!C$60^$I$25)*$J$25*EXP(-(($L$25*($B99-$M$25))^$K$25))+$G$26))</f>
        <v>0.575757868651796</v>
      </c>
      <c r="E99" s="21">
        <f t="shared" si="1"/>
        <v>0.556182100811163</v>
      </c>
      <c r="F99" s="12"/>
      <c r="G99" s="9"/>
      <c r="H99" s="9"/>
      <c r="I99" s="9"/>
      <c r="J99" s="9"/>
      <c r="K99" s="9"/>
      <c r="L99" s="9"/>
      <c r="M99" s="9"/>
    </row>
    <row r="100" hidden="1" spans="1:13">
      <c r="A100" s="4"/>
      <c r="B100" s="4">
        <v>459</v>
      </c>
      <c r="C100" s="21">
        <f>10^(-(($G$21+$H$21*'Advanced Outputs'!C$61^$I$21)*(($B100/$M$21)^-$K$21)+($G$22+$H$22*'Advanced Outputs'!C$61^$I$22)*$J$22*EXP(-(($L$22*($B100-$M$22))^$K$22))+($G$23+$H$23*'Advanced Outputs'!C$61^$I$23)*$J$23*EXP(-(($L$23*($B100-$M$23))^$K$23))+($G$24+$H$24*'Advanced Outputs'!C$61^$I$24)*$J$24*EXP(-(($L$24*($B100-$M$24))^$K$24))+($G$25+$H$25*'Advanced Outputs'!C$61^$I$25)*$J$25*EXP(-(($L$25*($B100-$M$25))^$K$25))+$G$26))</f>
        <v>0.325206640912263</v>
      </c>
      <c r="D100" s="21">
        <f>10^(-(($G$21+$H$21*'Advanced Outputs'!C$60^$I$21)*(($B100/$M$21)^-$K$21)+($G$22+$H$22*'Advanced Outputs'!C$60^$I$22)*$J$22*EXP(-(($L$22*($B100-$M$22))^$K$22))+($G$23+$H$23*'Advanced Outputs'!C$60^$I$23)*$J$23*EXP(-(($L$23*($B100-$M$23))^$K$23))+($G$24+$H$24*'Advanced Outputs'!C$60^$I$24)*$J$24*EXP(-(($L$24*($B100-$M$24))^$K$24))+($G$25+$H$25*'Advanced Outputs'!C$60^$I$25)*$J$25*EXP(-(($L$25*($B100-$M$25))^$K$25))+$G$26))</f>
        <v>0.579302669275305</v>
      </c>
      <c r="E100" s="21">
        <f t="shared" si="1"/>
        <v>0.561376044269033</v>
      </c>
      <c r="F100" s="12"/>
      <c r="G100" s="9"/>
      <c r="H100" s="9"/>
      <c r="I100" s="9"/>
      <c r="J100" s="9"/>
      <c r="K100" s="9"/>
      <c r="L100" s="9"/>
      <c r="M100" s="9"/>
    </row>
    <row r="101" hidden="1" spans="1:13">
      <c r="A101" s="4"/>
      <c r="B101" s="4">
        <v>460</v>
      </c>
      <c r="C101" s="21">
        <f>10^(-(($G$21+$H$21*'Advanced Outputs'!C$61^$I$21)*(($B101/$M$21)^-$K$21)+($G$22+$H$22*'Advanced Outputs'!C$61^$I$22)*$J$22*EXP(-(($L$22*($B101-$M$22))^$K$22))+($G$23+$H$23*'Advanced Outputs'!C$61^$I$23)*$J$23*EXP(-(($L$23*($B101-$M$23))^$K$23))+($G$24+$H$24*'Advanced Outputs'!C$61^$I$24)*$J$24*EXP(-(($L$24*($B101-$M$24))^$K$24))+($G$25+$H$25*'Advanced Outputs'!C$61^$I$25)*$J$25*EXP(-(($L$25*($B101-$M$25))^$K$25))+$G$26))</f>
        <v>0.330149693731942</v>
      </c>
      <c r="D101" s="21">
        <f>10^(-(($G$21+$H$21*'Advanced Outputs'!C$60^$I$21)*(($B101/$M$21)^-$K$21)+($G$22+$H$22*'Advanced Outputs'!C$60^$I$22)*$J$22*EXP(-(($L$22*($B101-$M$22))^$K$22))+($G$23+$H$23*'Advanced Outputs'!C$60^$I$23)*$J$23*EXP(-(($L$23*($B101-$M$23))^$K$23))+($G$24+$H$24*'Advanced Outputs'!C$60^$I$24)*$J$24*EXP(-(($L$24*($B101-$M$24))^$K$24))+($G$25+$H$25*'Advanced Outputs'!C$60^$I$25)*$J$25*EXP(-(($L$25*($B101-$M$25))^$K$25))+$G$26))</f>
        <v>0.582746825272367</v>
      </c>
      <c r="E101" s="21">
        <f t="shared" si="1"/>
        <v>0.566540527402505</v>
      </c>
      <c r="F101" s="12"/>
      <c r="G101" s="9"/>
      <c r="H101" s="9"/>
      <c r="I101" s="9"/>
      <c r="J101" s="9"/>
      <c r="K101" s="9"/>
      <c r="L101" s="9"/>
      <c r="M101" s="9"/>
    </row>
    <row r="102" hidden="1" spans="1:13">
      <c r="A102" s="4"/>
      <c r="B102" s="4">
        <v>461</v>
      </c>
      <c r="C102" s="21">
        <f>10^(-(($G$21+$H$21*'Advanced Outputs'!C$61^$I$21)*(($B102/$M$21)^-$K$21)+($G$22+$H$22*'Advanced Outputs'!C$61^$I$22)*$J$22*EXP(-(($L$22*($B102-$M$22))^$K$22))+($G$23+$H$23*'Advanced Outputs'!C$61^$I$23)*$J$23*EXP(-(($L$23*($B102-$M$23))^$K$23))+($G$24+$H$24*'Advanced Outputs'!C$61^$I$24)*$J$24*EXP(-(($L$24*($B102-$M$24))^$K$24))+($G$25+$H$25*'Advanced Outputs'!C$61^$I$25)*$J$25*EXP(-(($L$25*($B102-$M$25))^$K$25))+$G$26))</f>
        <v>0.335058885293668</v>
      </c>
      <c r="D102" s="21">
        <f>10^(-(($G$21+$H$21*'Advanced Outputs'!C$60^$I$21)*(($B102/$M$21)^-$K$21)+($G$22+$H$22*'Advanced Outputs'!C$60^$I$22)*$J$22*EXP(-(($L$22*($B102-$M$22))^$K$22))+($G$23+$H$23*'Advanced Outputs'!C$60^$I$23)*$J$23*EXP(-(($L$23*($B102-$M$23))^$K$23))+($G$24+$H$24*'Advanced Outputs'!C$60^$I$24)*$J$24*EXP(-(($L$24*($B102-$M$24))^$K$24))+($G$25+$H$25*'Advanced Outputs'!C$60^$I$25)*$J$25*EXP(-(($L$25*($B102-$M$25))^$K$25))+$G$26))</f>
        <v>0.586099120337942</v>
      </c>
      <c r="E102" s="21">
        <f t="shared" si="1"/>
        <v>0.571676144302135</v>
      </c>
      <c r="F102" s="12"/>
      <c r="G102" s="9"/>
      <c r="H102" s="9"/>
      <c r="I102" s="9"/>
      <c r="J102" s="9"/>
      <c r="K102" s="9"/>
      <c r="L102" s="9"/>
      <c r="M102" s="9"/>
    </row>
    <row r="103" hidden="1" spans="1:13">
      <c r="A103" s="4"/>
      <c r="B103" s="4">
        <v>462</v>
      </c>
      <c r="C103" s="21">
        <f>10^(-(($G$21+$H$21*'Advanced Outputs'!C$61^$I$21)*(($B103/$M$21)^-$K$21)+($G$22+$H$22*'Advanced Outputs'!C$61^$I$22)*$J$22*EXP(-(($L$22*($B103-$M$22))^$K$22))+($G$23+$H$23*'Advanced Outputs'!C$61^$I$23)*$J$23*EXP(-(($L$23*($B103-$M$23))^$K$23))+($G$24+$H$24*'Advanced Outputs'!C$61^$I$24)*$J$24*EXP(-(($L$24*($B103-$M$24))^$K$24))+($G$25+$H$25*'Advanced Outputs'!C$61^$I$25)*$J$25*EXP(-(($L$25*($B103-$M$25))^$K$25))+$G$26))</f>
        <v>0.339937395090346</v>
      </c>
      <c r="D103" s="21">
        <f>10^(-(($G$21+$H$21*'Advanced Outputs'!C$60^$I$21)*(($B103/$M$21)^-$K$21)+($G$22+$H$22*'Advanced Outputs'!C$60^$I$22)*$J$22*EXP(-(($L$22*($B103-$M$22))^$K$22))+($G$23+$H$23*'Advanced Outputs'!C$60^$I$23)*$J$23*EXP(-(($L$23*($B103-$M$23))^$K$23))+($G$24+$H$24*'Advanced Outputs'!C$60^$I$24)*$J$24*EXP(-(($L$24*($B103-$M$24))^$K$24))+($G$25+$H$25*'Advanced Outputs'!C$60^$I$25)*$J$25*EXP(-(($L$25*($B103-$M$25))^$K$25))+$G$26))</f>
        <v>0.589367520787057</v>
      </c>
      <c r="E103" s="21">
        <f t="shared" si="1"/>
        <v>0.576783387446231</v>
      </c>
      <c r="F103" s="12"/>
      <c r="G103" s="9"/>
      <c r="H103" s="9"/>
      <c r="I103" s="9"/>
      <c r="J103" s="9"/>
      <c r="K103" s="9"/>
      <c r="L103" s="9"/>
      <c r="M103" s="9"/>
    </row>
    <row r="104" hidden="1" spans="1:13">
      <c r="A104" s="4"/>
      <c r="B104" s="4">
        <v>463</v>
      </c>
      <c r="C104" s="21">
        <f>10^(-(($G$21+$H$21*'Advanced Outputs'!C$61^$I$21)*(($B104/$M$21)^-$K$21)+($G$22+$H$22*'Advanced Outputs'!C$61^$I$22)*$J$22*EXP(-(($L$22*($B104-$M$22))^$K$22))+($G$23+$H$23*'Advanced Outputs'!C$61^$I$23)*$J$23*EXP(-(($L$23*($B104-$M$23))^$K$23))+($G$24+$H$24*'Advanced Outputs'!C$61^$I$24)*$J$24*EXP(-(($L$24*($B104-$M$24))^$K$24))+($G$25+$H$25*'Advanced Outputs'!C$61^$I$25)*$J$25*EXP(-(($L$25*($B104-$M$25))^$K$25))+$G$26))</f>
        <v>0.344788084911467</v>
      </c>
      <c r="D104" s="21">
        <f>10^(-(($G$21+$H$21*'Advanced Outputs'!C$60^$I$21)*(($B104/$M$21)^-$K$21)+($G$22+$H$22*'Advanced Outputs'!C$60^$I$22)*$J$22*EXP(-(($L$22*($B104-$M$22))^$K$22))+($G$23+$H$23*'Advanced Outputs'!C$60^$I$23)*$J$23*EXP(-(($L$23*($B104-$M$23))^$K$23))+($G$24+$H$24*'Advanced Outputs'!C$60^$I$24)*$J$24*EXP(-(($L$24*($B104-$M$24))^$K$24))+($G$25+$H$25*'Advanced Outputs'!C$60^$I$25)*$J$25*EXP(-(($L$25*($B104-$M$25))^$K$25))+$G$26))</f>
        <v>0.592559228348528</v>
      </c>
      <c r="E104" s="21">
        <f t="shared" si="1"/>
        <v>0.581862653413392</v>
      </c>
      <c r="F104" s="12"/>
      <c r="G104" s="9"/>
      <c r="H104" s="9"/>
      <c r="I104" s="9"/>
      <c r="J104" s="9"/>
      <c r="K104" s="9"/>
      <c r="L104" s="9"/>
      <c r="M104" s="9"/>
    </row>
    <row r="105" hidden="1" spans="1:13">
      <c r="A105" s="4"/>
      <c r="B105" s="4">
        <v>464</v>
      </c>
      <c r="C105" s="21">
        <f>10^(-(($G$21+$H$21*'Advanced Outputs'!C$61^$I$21)*(($B105/$M$21)^-$K$21)+($G$22+$H$22*'Advanced Outputs'!C$61^$I$22)*$J$22*EXP(-(($L$22*($B105-$M$22))^$K$22))+($G$23+$H$23*'Advanced Outputs'!C$61^$I$23)*$J$23*EXP(-(($L$23*($B105-$M$23))^$K$23))+($G$24+$H$24*'Advanced Outputs'!C$61^$I$24)*$J$24*EXP(-(($L$24*($B105-$M$24))^$K$24))+($G$25+$H$25*'Advanced Outputs'!C$61^$I$25)*$J$25*EXP(-(($L$25*($B105-$M$25))^$K$25))+$G$26))</f>
        <v>0.349613509866489</v>
      </c>
      <c r="D105" s="21">
        <f>10^(-(($G$21+$H$21*'Advanced Outputs'!C$60^$I$21)*(($B105/$M$21)^-$K$21)+($G$22+$H$22*'Advanced Outputs'!C$60^$I$22)*$J$22*EXP(-(($L$22*($B105-$M$22))^$K$22))+($G$23+$H$23*'Advanced Outputs'!C$60^$I$23)*$J$23*EXP(-(($L$23*($B105-$M$23))^$K$23))+($G$24+$H$24*'Advanced Outputs'!C$60^$I$24)*$J$24*EXP(-(($L$24*($B105-$M$24))^$K$24))+($G$25+$H$25*'Advanced Outputs'!C$60^$I$25)*$J$25*EXP(-(($L$25*($B105-$M$25))^$K$25))+$G$26))</f>
        <v>0.595680733246195</v>
      </c>
      <c r="E105" s="21">
        <f t="shared" si="1"/>
        <v>0.586914248445222</v>
      </c>
      <c r="F105" s="12"/>
      <c r="G105" s="9"/>
      <c r="H105" s="9"/>
      <c r="I105" s="9"/>
      <c r="J105" s="9"/>
      <c r="K105" s="9"/>
      <c r="L105" s="9"/>
      <c r="M105" s="9"/>
    </row>
    <row r="106" hidden="1" spans="1:13">
      <c r="A106" s="4"/>
      <c r="B106" s="4">
        <v>465</v>
      </c>
      <c r="C106" s="21">
        <f>10^(-(($G$21+$H$21*'Advanced Outputs'!C$61^$I$21)*(($B106/$M$21)^-$K$21)+($G$22+$H$22*'Advanced Outputs'!C$61^$I$22)*$J$22*EXP(-(($L$22*($B106-$M$22))^$K$22))+($G$23+$H$23*'Advanced Outputs'!C$61^$I$23)*$J$23*EXP(-(($L$23*($B106-$M$23))^$K$23))+($G$24+$H$24*'Advanced Outputs'!C$61^$I$24)*$J$24*EXP(-(($L$24*($B106-$M$24))^$K$24))+($G$25+$H$25*'Advanced Outputs'!C$61^$I$25)*$J$25*EXP(-(($L$25*($B106-$M$25))^$K$25))+$G$26))</f>
        <v>0.354415931197883</v>
      </c>
      <c r="D106" s="21">
        <f>10^(-(($G$21+$H$21*'Advanced Outputs'!C$60^$I$21)*(($B106/$M$21)^-$K$21)+($G$22+$H$22*'Advanced Outputs'!C$60^$I$22)*$J$22*EXP(-(($L$22*($B106-$M$22))^$K$22))+($G$23+$H$23*'Advanced Outputs'!C$60^$I$23)*$J$23*EXP(-(($L$23*($B106-$M$23))^$K$23))+($G$24+$H$24*'Advanced Outputs'!C$60^$I$24)*$J$24*EXP(-(($L$24*($B106-$M$24))^$K$24))+($G$25+$H$25*'Advanced Outputs'!C$60^$I$25)*$J$25*EXP(-(($L$25*($B106-$M$25))^$K$25))+$G$26))</f>
        <v>0.598737866758644</v>
      </c>
      <c r="E106" s="21">
        <f t="shared" si="1"/>
        <v>0.591938393869366</v>
      </c>
      <c r="F106" s="12"/>
      <c r="G106" s="9"/>
      <c r="H106" s="9"/>
      <c r="I106" s="9"/>
      <c r="J106" s="9"/>
      <c r="K106" s="9"/>
      <c r="L106" s="9"/>
      <c r="M106" s="9"/>
    </row>
    <row r="107" hidden="1" spans="1:13">
      <c r="A107" s="4"/>
      <c r="B107" s="4">
        <v>466</v>
      </c>
      <c r="C107" s="21">
        <f>10^(-(($G$21+$H$21*'Advanced Outputs'!C$61^$I$21)*(($B107/$M$21)^-$K$21)+($G$22+$H$22*'Advanced Outputs'!C$61^$I$22)*$J$22*EXP(-(($L$22*($B107-$M$22))^$K$22))+($G$23+$H$23*'Advanced Outputs'!C$61^$I$23)*$J$23*EXP(-(($L$23*($B107-$M$23))^$K$23))+($G$24+$H$24*'Advanced Outputs'!C$61^$I$24)*$J$24*EXP(-(($L$24*($B107-$M$24))^$K$24))+($G$25+$H$25*'Advanced Outputs'!C$61^$I$25)*$J$25*EXP(-(($L$25*($B107-$M$25))^$K$25))+$G$26))</f>
        <v>0.359197330414826</v>
      </c>
      <c r="D107" s="21">
        <f>10^(-(($G$21+$H$21*'Advanced Outputs'!C$60^$I$21)*(($B107/$M$21)^-$K$21)+($G$22+$H$22*'Advanced Outputs'!C$60^$I$22)*$J$22*EXP(-(($L$22*($B107-$M$22))^$K$22))+($G$23+$H$23*'Advanced Outputs'!C$60^$I$23)*$J$23*EXP(-(($L$23*($B107-$M$23))^$K$23))+($G$24+$H$24*'Advanced Outputs'!C$60^$I$24)*$J$24*EXP(-(($L$24*($B107-$M$24))^$K$24))+($G$25+$H$25*'Advanced Outputs'!C$60^$I$25)*$J$25*EXP(-(($L$25*($B107-$M$25))^$K$25))+$G$26))</f>
        <v>0.601735852611416</v>
      </c>
      <c r="E107" s="21">
        <f t="shared" si="1"/>
        <v>0.59693523139095</v>
      </c>
      <c r="F107" s="12"/>
      <c r="G107" s="9"/>
      <c r="H107" s="9"/>
      <c r="I107" s="9"/>
      <c r="J107" s="9"/>
      <c r="K107" s="9"/>
      <c r="L107" s="9"/>
      <c r="M107" s="9"/>
    </row>
    <row r="108" hidden="1" spans="1:13">
      <c r="A108" s="4"/>
      <c r="B108" s="4">
        <v>467</v>
      </c>
      <c r="C108" s="21">
        <f>10^(-(($G$21+$H$21*'Advanced Outputs'!C$61^$I$21)*(($B108/$M$21)^-$K$21)+($G$22+$H$22*'Advanced Outputs'!C$61^$I$22)*$J$22*EXP(-(($L$22*($B108-$M$22))^$K$22))+($G$23+$H$23*'Advanced Outputs'!C$61^$I$23)*$J$23*EXP(-(($L$23*($B108-$M$23))^$K$23))+($G$24+$H$24*'Advanced Outputs'!C$61^$I$24)*$J$24*EXP(-(($L$24*($B108-$M$24))^$K$24))+($G$25+$H$25*'Advanced Outputs'!C$61^$I$25)*$J$25*EXP(-(($L$25*($B108-$M$25))^$K$25))+$G$26))</f>
        <v>0.363959424344654</v>
      </c>
      <c r="D108" s="21">
        <f>10^(-(($G$21+$H$21*'Advanced Outputs'!C$60^$I$21)*(($B108/$M$21)^-$K$21)+($G$22+$H$22*'Advanced Outputs'!C$60^$I$22)*$J$22*EXP(-(($L$22*($B108-$M$22))^$K$22))+($G$23+$H$23*'Advanced Outputs'!C$60^$I$23)*$J$23*EXP(-(($L$23*($B108-$M$23))^$K$23))+($G$24+$H$24*'Advanced Outputs'!C$60^$I$24)*$J$24*EXP(-(($L$24*($B108-$M$24))^$K$24))+($G$25+$H$25*'Advanced Outputs'!C$60^$I$25)*$J$25*EXP(-(($L$25*($B108-$M$25))^$K$25))+$G$26))</f>
        <v>0.604679356697858</v>
      </c>
      <c r="E108" s="21">
        <f t="shared" si="1"/>
        <v>0.601904828258449</v>
      </c>
      <c r="F108" s="12"/>
      <c r="G108" s="9"/>
      <c r="H108" s="9"/>
      <c r="I108" s="9"/>
      <c r="J108" s="9"/>
      <c r="K108" s="9"/>
      <c r="L108" s="9"/>
      <c r="M108" s="9"/>
    </row>
    <row r="109" hidden="1" spans="1:13">
      <c r="A109" s="4"/>
      <c r="B109" s="4">
        <v>468</v>
      </c>
      <c r="C109" s="21">
        <f>10^(-(($G$21+$H$21*'Advanced Outputs'!C$61^$I$21)*(($B109/$M$21)^-$K$21)+($G$22+$H$22*'Advanced Outputs'!C$61^$I$22)*$J$22*EXP(-(($L$22*($B109-$M$22))^$K$22))+($G$23+$H$23*'Advanced Outputs'!C$61^$I$23)*$J$23*EXP(-(($L$23*($B109-$M$23))^$K$23))+($G$24+$H$24*'Advanced Outputs'!C$61^$I$24)*$J$24*EXP(-(($L$24*($B109-$M$24))^$K$24))+($G$25+$H$25*'Advanced Outputs'!C$61^$I$25)*$J$25*EXP(-(($L$25*($B109-$M$25))^$K$25))+$G$26))</f>
        <v>0.368703680759344</v>
      </c>
      <c r="D109" s="21">
        <f>10^(-(($G$21+$H$21*'Advanced Outputs'!C$60^$I$21)*(($B109/$M$21)^-$K$21)+($G$22+$H$22*'Advanced Outputs'!C$60^$I$22)*$J$22*EXP(-(($L$22*($B109-$M$22))^$K$22))+($G$23+$H$23*'Advanced Outputs'!C$60^$I$23)*$J$23*EXP(-(($L$23*($B109-$M$23))^$K$23))+($G$24+$H$24*'Advanced Outputs'!C$60^$I$24)*$J$24*EXP(-(($L$24*($B109-$M$24))^$K$24))+($G$25+$H$25*'Advanced Outputs'!C$60^$I$25)*$J$25*EXP(-(($L$25*($B109-$M$25))^$K$25))+$G$26))</f>
        <v>0.607572534747583</v>
      </c>
      <c r="E109" s="21">
        <f t="shared" si="1"/>
        <v>0.606847182308072</v>
      </c>
      <c r="F109" s="12"/>
      <c r="G109" s="9"/>
      <c r="H109" s="9"/>
      <c r="I109" s="9"/>
      <c r="J109" s="9"/>
      <c r="K109" s="9"/>
      <c r="L109" s="9"/>
      <c r="M109" s="9"/>
    </row>
    <row r="110" hidden="1" spans="1:13">
      <c r="A110" s="4"/>
      <c r="B110" s="4">
        <v>469</v>
      </c>
      <c r="C110" s="21">
        <f>10^(-(($G$21+$H$21*'Advanced Outputs'!C$61^$I$21)*(($B110/$M$21)^-$K$21)+($G$22+$H$22*'Advanced Outputs'!C$61^$I$22)*$J$22*EXP(-(($L$22*($B110-$M$22))^$K$22))+($G$23+$H$23*'Advanced Outputs'!C$61^$I$23)*$J$23*EXP(-(($L$23*($B110-$M$23))^$K$23))+($G$24+$H$24*'Advanced Outputs'!C$61^$I$24)*$J$24*EXP(-(($L$24*($B110-$M$24))^$K$24))+($G$25+$H$25*'Advanced Outputs'!C$61^$I$25)*$J$25*EXP(-(($L$25*($B110-$M$25))^$K$25))+$G$26))</f>
        <v>0.373431334288685</v>
      </c>
      <c r="D110" s="21">
        <f>10^(-(($G$21+$H$21*'Advanced Outputs'!C$60^$I$21)*(($B110/$M$21)^-$K$21)+($G$22+$H$22*'Advanced Outputs'!C$60^$I$22)*$J$22*EXP(-(($L$22*($B110-$M$22))^$K$22))+($G$23+$H$23*'Advanced Outputs'!C$60^$I$23)*$J$23*EXP(-(($L$23*($B110-$M$23))^$K$23))+($G$24+$H$24*'Advanced Outputs'!C$60^$I$24)*$J$24*EXP(-(($L$24*($B110-$M$24))^$K$24))+($G$25+$H$25*'Advanced Outputs'!C$60^$I$25)*$J$25*EXP(-(($L$25*($B110-$M$25))^$K$25))+$G$26))</f>
        <v>0.610419077666422</v>
      </c>
      <c r="E110" s="21">
        <f t="shared" si="1"/>
        <v>0.61176222688891</v>
      </c>
      <c r="F110" s="12"/>
      <c r="G110" s="9"/>
      <c r="H110" s="9"/>
      <c r="I110" s="9"/>
      <c r="J110" s="9"/>
      <c r="K110" s="9"/>
      <c r="L110" s="9"/>
      <c r="M110" s="9"/>
    </row>
    <row r="111" hidden="1" spans="1:13">
      <c r="A111" s="4"/>
      <c r="B111" s="4">
        <v>470</v>
      </c>
      <c r="C111" s="21">
        <f>10^(-(($G$21+$H$21*'Advanced Outputs'!C$61^$I$21)*(($B111/$M$21)^-$K$21)+($G$22+$H$22*'Advanced Outputs'!C$61^$I$22)*$J$22*EXP(-(($L$22*($B111-$M$22))^$K$22))+($G$23+$H$23*'Advanced Outputs'!C$61^$I$23)*$J$23*EXP(-(($L$23*($B111-$M$23))^$K$23))+($G$24+$H$24*'Advanced Outputs'!C$61^$I$24)*$J$24*EXP(-(($L$24*($B111-$M$24))^$K$24))+($G$25+$H$25*'Advanced Outputs'!C$61^$I$25)*$J$25*EXP(-(($L$25*($B111-$M$25))^$K$25))+$G$26))</f>
        <v>0.378143402380321</v>
      </c>
      <c r="D111" s="21">
        <f>10^(-(($G$21+$H$21*'Advanced Outputs'!C$60^$I$21)*(($B111/$M$21)^-$K$21)+($G$22+$H$22*'Advanced Outputs'!C$60^$I$22)*$J$22*EXP(-(($L$22*($B111-$M$22))^$K$22))+($G$23+$H$23*'Advanced Outputs'!C$60^$I$23)*$J$23*EXP(-(($L$23*($B111-$M$23))^$K$23))+($G$24+$H$24*'Advanced Outputs'!C$60^$I$24)*$J$24*EXP(-(($L$24*($B111-$M$24))^$K$24))+($G$25+$H$25*'Advanced Outputs'!C$60^$I$25)*$J$25*EXP(-(($L$25*($B111-$M$25))^$K$25))+$G$26))</f>
        <v>0.613222254360545</v>
      </c>
      <c r="E111" s="21">
        <f t="shared" si="1"/>
        <v>0.616649835669517</v>
      </c>
      <c r="F111" s="12"/>
      <c r="G111" s="9"/>
      <c r="H111" s="9"/>
      <c r="I111" s="9"/>
      <c r="J111" s="9"/>
      <c r="K111" s="9"/>
      <c r="L111" s="9"/>
      <c r="M111" s="9"/>
    </row>
    <row r="112" hidden="1" spans="1:13">
      <c r="A112" s="4"/>
      <c r="B112" s="4">
        <v>471</v>
      </c>
      <c r="C112" s="21">
        <f>10^(-(($G$21+$H$21*'Advanced Outputs'!C$61^$I$21)*(($B112/$M$21)^-$K$21)+($G$22+$H$22*'Advanced Outputs'!C$61^$I$22)*$J$22*EXP(-(($L$22*($B112-$M$22))^$K$22))+($G$23+$H$23*'Advanced Outputs'!C$61^$I$23)*$J$23*EXP(-(($L$23*($B112-$M$23))^$K$23))+($G$24+$H$24*'Advanced Outputs'!C$61^$I$24)*$J$24*EXP(-(($L$24*($B112-$M$24))^$K$24))+($G$25+$H$25*'Advanced Outputs'!C$61^$I$25)*$J$25*EXP(-(($L$25*($B112-$M$25))^$K$25))+$G$26))</f>
        <v>0.382840701109984</v>
      </c>
      <c r="D112" s="21">
        <f>10^(-(($G$21+$H$21*'Advanced Outputs'!C$60^$I$21)*(($B112/$M$21)^-$K$21)+($G$22+$H$22*'Advanced Outputs'!C$60^$I$22)*$J$22*EXP(-(($L$22*($B112-$M$22))^$K$22))+($G$23+$H$23*'Advanced Outputs'!C$60^$I$23)*$J$23*EXP(-(($L$23*($B112-$M$23))^$K$23))+($G$24+$H$24*'Advanced Outputs'!C$60^$I$24)*$J$24*EXP(-(($L$24*($B112-$M$24))^$K$24))+($G$25+$H$25*'Advanced Outputs'!C$60^$I$25)*$J$25*EXP(-(($L$25*($B112-$M$25))^$K$25))+$G$26))</f>
        <v>0.615984951931666</v>
      </c>
      <c r="E112" s="21">
        <f t="shared" si="1"/>
        <v>0.62150982732522</v>
      </c>
      <c r="F112" s="12"/>
      <c r="G112" s="9"/>
      <c r="H112" s="9"/>
      <c r="I112" s="9"/>
      <c r="J112" s="9"/>
      <c r="K112" s="9"/>
      <c r="L112" s="9"/>
      <c r="M112" s="9"/>
    </row>
    <row r="113" hidden="1" spans="1:13">
      <c r="A113" s="4"/>
      <c r="B113" s="4">
        <v>472</v>
      </c>
      <c r="C113" s="21">
        <f>10^(-(($G$21+$H$21*'Advanced Outputs'!C$61^$I$21)*(($B113/$M$21)^-$K$21)+($G$22+$H$22*'Advanced Outputs'!C$61^$I$22)*$J$22*EXP(-(($L$22*($B113-$M$22))^$K$22))+($G$23+$H$23*'Advanced Outputs'!C$61^$I$23)*$J$23*EXP(-(($L$23*($B113-$M$23))^$K$23))+($G$24+$H$24*'Advanced Outputs'!C$61^$I$24)*$J$24*EXP(-(($L$24*($B113-$M$24))^$K$24))+($G$25+$H$25*'Advanced Outputs'!C$61^$I$25)*$J$25*EXP(-(($L$25*($B113-$M$25))^$K$25))+$G$26))</f>
        <v>0.387523860683121</v>
      </c>
      <c r="D113" s="21">
        <f>10^(-(($G$21+$H$21*'Advanced Outputs'!C$60^$I$21)*(($B113/$M$21)^-$K$21)+($G$22+$H$22*'Advanced Outputs'!C$60^$I$22)*$J$22*EXP(-(($L$22*($B113-$M$22))^$K$22))+($G$23+$H$23*'Advanced Outputs'!C$60^$I$23)*$J$23*EXP(-(($L$23*($B113-$M$23))^$K$23))+($G$24+$H$24*'Advanced Outputs'!C$60^$I$24)*$J$24*EXP(-(($L$24*($B113-$M$24))^$K$24))+($G$25+$H$25*'Advanced Outputs'!C$60^$I$25)*$J$25*EXP(-(($L$25*($B113-$M$25))^$K$25))+$G$26))</f>
        <v>0.618709713191635</v>
      </c>
      <c r="E113" s="21">
        <f t="shared" si="1"/>
        <v>0.62634197010431</v>
      </c>
      <c r="F113" s="12"/>
      <c r="G113" s="9"/>
      <c r="H113" s="9"/>
      <c r="I113" s="9"/>
      <c r="J113" s="9"/>
      <c r="K113" s="9"/>
      <c r="L113" s="9"/>
      <c r="M113" s="9"/>
    </row>
    <row r="114" hidden="1" spans="1:13">
      <c r="A114" s="4"/>
      <c r="B114" s="4">
        <v>473</v>
      </c>
      <c r="C114" s="21">
        <f>10^(-(($G$21+$H$21*'Advanced Outputs'!C$61^$I$21)*(($B114/$M$21)^-$K$21)+($G$22+$H$22*'Advanced Outputs'!C$61^$I$22)*$J$22*EXP(-(($L$22*($B114-$M$22))^$K$22))+($G$23+$H$23*'Advanced Outputs'!C$61^$I$23)*$J$23*EXP(-(($L$23*($B114-$M$23))^$K$23))+($G$24+$H$24*'Advanced Outputs'!C$61^$I$24)*$J$24*EXP(-(($L$24*($B114-$M$24))^$K$24))+($G$25+$H$25*'Advanced Outputs'!C$61^$I$25)*$J$25*EXP(-(($L$25*($B114-$M$25))^$K$25))+$G$26))</f>
        <v>0.392193340502238</v>
      </c>
      <c r="D114" s="21">
        <f>10^(-(($G$21+$H$21*'Advanced Outputs'!C$60^$I$21)*(($B114/$M$21)^-$K$21)+($G$22+$H$22*'Advanced Outputs'!C$60^$I$22)*$J$22*EXP(-(($L$22*($B114-$M$22))^$K$22))+($G$23+$H$23*'Advanced Outputs'!C$60^$I$23)*$J$23*EXP(-(($L$23*($B114-$M$23))^$K$23))+($G$24+$H$24*'Advanced Outputs'!C$60^$I$24)*$J$24*EXP(-(($L$24*($B114-$M$24))^$K$24))+($G$25+$H$25*'Advanced Outputs'!C$60^$I$25)*$J$25*EXP(-(($L$25*($B114-$M$25))^$K$25))+$G$26))</f>
        <v>0.621398771494701</v>
      </c>
      <c r="E114" s="21">
        <f t="shared" si="1"/>
        <v>0.631145986270401</v>
      </c>
      <c r="F114" s="12"/>
      <c r="G114" s="9"/>
      <c r="H114" s="9"/>
      <c r="I114" s="9"/>
      <c r="J114" s="9"/>
      <c r="K114" s="9"/>
      <c r="L114" s="9"/>
      <c r="M114" s="9"/>
    </row>
    <row r="115" hidden="1" spans="1:13">
      <c r="A115" s="4"/>
      <c r="B115" s="4">
        <v>474</v>
      </c>
      <c r="C115" s="21">
        <f>10^(-(($G$21+$H$21*'Advanced Outputs'!C$61^$I$21)*(($B115/$M$21)^-$K$21)+($G$22+$H$22*'Advanced Outputs'!C$61^$I$22)*$J$22*EXP(-(($L$22*($B115-$M$22))^$K$22))+($G$23+$H$23*'Advanced Outputs'!C$61^$I$23)*$J$23*EXP(-(($L$23*($B115-$M$23))^$K$23))+($G$24+$H$24*'Advanced Outputs'!C$61^$I$24)*$J$24*EXP(-(($L$24*($B115-$M$24))^$K$24))+($G$25+$H$25*'Advanced Outputs'!C$61^$I$25)*$J$25*EXP(-(($L$25*($B115-$M$25))^$K$25))+$G$26))</f>
        <v>0.396849443702964</v>
      </c>
      <c r="D115" s="21">
        <f>10^(-(($G$21+$H$21*'Advanced Outputs'!C$60^$I$21)*(($B115/$M$21)^-$K$21)+($G$22+$H$22*'Advanced Outputs'!C$60^$I$22)*$J$22*EXP(-(($L$22*($B115-$M$22))^$K$22))+($G$23+$H$23*'Advanced Outputs'!C$60^$I$23)*$J$23*EXP(-(($L$23*($B115-$M$23))^$K$23))+($G$24+$H$24*'Advanced Outputs'!C$60^$I$24)*$J$24*EXP(-(($L$24*($B115-$M$24))^$K$24))+($G$25+$H$25*'Advanced Outputs'!C$60^$I$25)*$J$25*EXP(-(($L$25*($B115-$M$25))^$K$25))+$G$26))</f>
        <v>0.624054082925849</v>
      </c>
      <c r="E115" s="21">
        <f t="shared" si="1"/>
        <v>0.635921556417601</v>
      </c>
      <c r="F115" s="12"/>
      <c r="G115" s="9"/>
      <c r="H115" s="9"/>
      <c r="I115" s="9"/>
      <c r="J115" s="9"/>
      <c r="K115" s="9"/>
      <c r="L115" s="9"/>
      <c r="M115" s="9"/>
    </row>
    <row r="116" hidden="1" spans="1:13">
      <c r="A116" s="4"/>
      <c r="B116" s="4">
        <v>475</v>
      </c>
      <c r="C116" s="21">
        <f>10^(-(($G$21+$H$21*'Advanced Outputs'!C$61^$I$21)*(($B116/$M$21)^-$K$21)+($G$22+$H$22*'Advanced Outputs'!C$61^$I$22)*$J$22*EXP(-(($L$22*($B116-$M$22))^$K$22))+($G$23+$H$23*'Advanced Outputs'!C$61^$I$23)*$J$23*EXP(-(($L$23*($B116-$M$23))^$K$23))+($G$24+$H$24*'Advanced Outputs'!C$61^$I$24)*$J$24*EXP(-(($L$24*($B116-$M$24))^$K$24))+($G$25+$H$25*'Advanced Outputs'!C$61^$I$25)*$J$25*EXP(-(($L$25*($B116-$M$25))^$K$25))+$G$26))</f>
        <v>0.401492331086505</v>
      </c>
      <c r="D116" s="21">
        <f>10^(-(($G$21+$H$21*'Advanced Outputs'!C$60^$I$21)*(($B116/$M$21)^-$K$21)+($G$22+$H$22*'Advanced Outputs'!C$60^$I$22)*$J$22*EXP(-(($L$22*($B116-$M$22))^$K$22))+($G$23+$H$23*'Advanced Outputs'!C$60^$I$23)*$J$23*EXP(-(($L$23*($B116-$M$23))^$K$23))+($G$24+$H$24*'Advanced Outputs'!C$60^$I$24)*$J$24*EXP(-(($L$24*($B116-$M$24))^$K$24))+($G$25+$H$25*'Advanced Outputs'!C$60^$I$25)*$J$25*EXP(-(($L$25*($B116-$M$25))^$K$25))+$G$26))</f>
        <v>0.626677355915097</v>
      </c>
      <c r="E116" s="21">
        <f t="shared" si="1"/>
        <v>0.640668323654732</v>
      </c>
      <c r="F116" s="12"/>
      <c r="G116" s="9"/>
      <c r="H116" s="9"/>
      <c r="I116" s="9"/>
      <c r="J116" s="9"/>
      <c r="K116" s="9"/>
      <c r="L116" s="9"/>
      <c r="M116" s="9"/>
    </row>
    <row r="117" hidden="1" spans="1:13">
      <c r="A117" s="4"/>
      <c r="B117" s="4">
        <v>476</v>
      </c>
      <c r="C117" s="21">
        <f>10^(-(($G$21+$H$21*'Advanced Outputs'!C$61^$I$21)*(($B117/$M$21)^-$K$21)+($G$22+$H$22*'Advanced Outputs'!C$61^$I$22)*$J$22*EXP(-(($L$22*($B117-$M$22))^$K$22))+($G$23+$H$23*'Advanced Outputs'!C$61^$I$23)*$J$23*EXP(-(($L$23*($B117-$M$23))^$K$23))+($G$24+$H$24*'Advanced Outputs'!C$61^$I$24)*$J$24*EXP(-(($L$24*($B117-$M$24))^$K$24))+($G$25+$H$25*'Advanced Outputs'!C$61^$I$25)*$J$25*EXP(-(($L$25*($B117-$M$25))^$K$25))+$G$26))</f>
        <v>0.406122034397171</v>
      </c>
      <c r="D117" s="21">
        <f>10^(-(($G$21+$H$21*'Advanced Outputs'!C$60^$I$21)*(($B117/$M$21)^-$K$21)+($G$22+$H$22*'Advanced Outputs'!C$60^$I$22)*$J$22*EXP(-(($L$22*($B117-$M$22))^$K$22))+($G$23+$H$23*'Advanced Outputs'!C$60^$I$23)*$J$23*EXP(-(($L$23*($B117-$M$23))^$K$23))+($G$24+$H$24*'Advanced Outputs'!C$60^$I$24)*$J$24*EXP(-(($L$24*($B117-$M$24))^$K$24))+($G$25+$H$25*'Advanced Outputs'!C$60^$I$25)*$J$25*EXP(-(($L$25*($B117-$M$25))^$K$25))+$G$26))</f>
        <v>0.62927007837177</v>
      </c>
      <c r="E117" s="21">
        <f t="shared" si="1"/>
        <v>0.645385897654641</v>
      </c>
      <c r="F117" s="12"/>
      <c r="G117" s="9"/>
      <c r="H117" s="9"/>
      <c r="I117" s="9"/>
      <c r="J117" s="9"/>
      <c r="K117" s="9"/>
      <c r="L117" s="9"/>
      <c r="M117" s="9"/>
    </row>
    <row r="118" hidden="1" spans="1:13">
      <c r="A118" s="4"/>
      <c r="B118" s="4">
        <v>477</v>
      </c>
      <c r="C118" s="21">
        <f>10^(-(($G$21+$H$21*'Advanced Outputs'!C$61^$I$21)*(($B118/$M$21)^-$K$21)+($G$22+$H$22*'Advanced Outputs'!C$61^$I$22)*$J$22*EXP(-(($L$22*($B118-$M$22))^$K$22))+($G$23+$H$23*'Advanced Outputs'!C$61^$I$23)*$J$23*EXP(-(($L$23*($B118-$M$23))^$K$23))+($G$24+$H$24*'Advanced Outputs'!C$61^$I$24)*$J$24*EXP(-(($L$24*($B118-$M$24))^$K$24))+($G$25+$H$25*'Advanced Outputs'!C$61^$I$25)*$J$25*EXP(-(($L$25*($B118-$M$25))^$K$25))+$G$26))</f>
        <v>0.410738468911442</v>
      </c>
      <c r="D118" s="21">
        <f>10^(-(($G$21+$H$21*'Advanced Outputs'!C$60^$I$21)*(($B118/$M$21)^-$K$21)+($G$22+$H$22*'Advanced Outputs'!C$60^$I$22)*$J$22*EXP(-(($L$22*($B118-$M$22))^$K$22))+($G$23+$H$23*'Advanced Outputs'!C$60^$I$23)*$J$23*EXP(-(($L$23*($B118-$M$23))^$K$23))+($G$24+$H$24*'Advanced Outputs'!C$60^$I$24)*$J$24*EXP(-(($L$24*($B118-$M$24))^$K$24))+($G$25+$H$25*'Advanced Outputs'!C$60^$I$25)*$J$25*EXP(-(($L$25*($B118-$M$25))^$K$25))+$G$26))</f>
        <v>0.63183354245062</v>
      </c>
      <c r="E118" s="21">
        <f t="shared" si="1"/>
        <v>0.650073858564644</v>
      </c>
      <c r="F118" s="12"/>
      <c r="G118" s="9"/>
      <c r="H118" s="9"/>
      <c r="I118" s="9"/>
      <c r="J118" s="9"/>
      <c r="K118" s="9"/>
      <c r="L118" s="9"/>
      <c r="M118" s="9"/>
    </row>
    <row r="119" hidden="1" spans="1:13">
      <c r="A119" s="4"/>
      <c r="B119" s="4">
        <v>478</v>
      </c>
      <c r="C119" s="21">
        <f>10^(-(($G$21+$H$21*'Advanced Outputs'!C$61^$I$21)*(($B119/$M$21)^-$K$21)+($G$22+$H$22*'Advanced Outputs'!C$61^$I$22)*$J$22*EXP(-(($L$22*($B119-$M$22))^$K$22))+($G$23+$H$23*'Advanced Outputs'!C$61^$I$23)*$J$23*EXP(-(($L$23*($B119-$M$23))^$K$23))+($G$24+$H$24*'Advanced Outputs'!C$61^$I$24)*$J$24*EXP(-(($L$24*($B119-$M$24))^$K$24))+($G$25+$H$25*'Advanced Outputs'!C$61^$I$25)*$J$25*EXP(-(($L$25*($B119-$M$25))^$K$25))+$G$26))</f>
        <v>0.415341445319881</v>
      </c>
      <c r="D119" s="21">
        <f>10^(-(($G$21+$H$21*'Advanced Outputs'!C$60^$I$21)*(($B119/$M$21)^-$K$21)+($G$22+$H$22*'Advanced Outputs'!C$60^$I$22)*$J$22*EXP(-(($L$22*($B119-$M$22))^$K$22))+($G$23+$H$23*'Advanced Outputs'!C$60^$I$23)*$J$23*EXP(-(($L$23*($B119-$M$23))^$K$23))+($G$24+$H$24*'Advanced Outputs'!C$60^$I$24)*$J$24*EXP(-(($L$24*($B119-$M$24))^$K$24))+($G$25+$H$25*'Advanced Outputs'!C$60^$I$25)*$J$25*EXP(-(($L$25*($B119-$M$25))^$K$25))+$G$26))</f>
        <v>0.634368867074178</v>
      </c>
      <c r="E119" s="21">
        <f t="shared" si="1"/>
        <v>0.654731760774309</v>
      </c>
      <c r="F119" s="12"/>
      <c r="G119" s="9"/>
      <c r="H119" s="9"/>
      <c r="I119" s="9"/>
      <c r="J119" s="9"/>
      <c r="K119" s="9"/>
      <c r="L119" s="9"/>
      <c r="M119" s="9"/>
    </row>
    <row r="120" hidden="1" spans="1:13">
      <c r="A120" s="4"/>
      <c r="B120" s="4">
        <v>479</v>
      </c>
      <c r="C120" s="21">
        <f>10^(-(($G$21+$H$21*'Advanced Outputs'!C$61^$I$21)*(($B120/$M$21)^-$K$21)+($G$22+$H$22*'Advanced Outputs'!C$61^$I$22)*$J$22*EXP(-(($L$22*($B120-$M$22))^$K$22))+($G$23+$H$23*'Advanced Outputs'!C$61^$I$23)*$J$23*EXP(-(($L$23*($B120-$M$23))^$K$23))+($G$24+$H$24*'Advanced Outputs'!C$61^$I$24)*$J$24*EXP(-(($L$24*($B120-$M$24))^$K$24))+($G$25+$H$25*'Advanced Outputs'!C$61^$I$25)*$J$25*EXP(-(($L$25*($B120-$M$25))^$K$25))+$G$26))</f>
        <v>0.419930680895521</v>
      </c>
      <c r="D120" s="21">
        <f>10^(-(($G$21+$H$21*'Advanced Outputs'!C$60^$I$21)*(($B120/$M$21)^-$K$21)+($G$22+$H$22*'Advanced Outputs'!C$60^$I$22)*$J$22*EXP(-(($L$22*($B120-$M$22))^$K$22))+($G$23+$H$23*'Advanced Outputs'!C$60^$I$23)*$J$23*EXP(-(($L$23*($B120-$M$23))^$K$23))+($G$24+$H$24*'Advanced Outputs'!C$60^$I$24)*$J$24*EXP(-(($L$24*($B120-$M$24))^$K$24))+($G$25+$H$25*'Advanced Outputs'!C$60^$I$25)*$J$25*EXP(-(($L$25*($B120-$M$25))^$K$25))+$G$26))</f>
        <v>0.63687701834387</v>
      </c>
      <c r="E120" s="21">
        <f t="shared" si="1"/>
        <v>0.659359136537074</v>
      </c>
      <c r="F120" s="12"/>
      <c r="G120" s="9"/>
      <c r="H120" s="9"/>
      <c r="I120" s="9"/>
      <c r="J120" s="9"/>
      <c r="K120" s="9"/>
      <c r="L120" s="9"/>
      <c r="M120" s="9"/>
    </row>
    <row r="121" hidden="1" spans="1:13">
      <c r="A121" s="4"/>
      <c r="B121" s="4">
        <v>480</v>
      </c>
      <c r="C121" s="21">
        <f>10^(-(($G$21+$H$21*'Advanced Outputs'!C$61^$I$21)*(($B121/$M$21)^-$K$21)+($G$22+$H$22*'Advanced Outputs'!C$61^$I$22)*$J$22*EXP(-(($L$22*($B121-$M$22))^$K$22))+($G$23+$H$23*'Advanced Outputs'!C$61^$I$23)*$J$23*EXP(-(($L$23*($B121-$M$23))^$K$23))+($G$24+$H$24*'Advanced Outputs'!C$61^$I$24)*$J$24*EXP(-(($L$24*($B121-$M$24))^$K$24))+($G$25+$H$25*'Advanced Outputs'!C$61^$I$25)*$J$25*EXP(-(($L$25*($B121-$M$25))^$K$25))+$G$26))</f>
        <v>0.424505809952395</v>
      </c>
      <c r="D121" s="21">
        <f>10^(-(($G$21+$H$21*'Advanced Outputs'!C$60^$I$21)*(($B121/$M$21)^-$K$21)+($G$22+$H$22*'Advanced Outputs'!C$60^$I$22)*$J$22*EXP(-(($L$22*($B121-$M$22))^$K$22))+($G$23+$H$23*'Advanced Outputs'!C$60^$I$23)*$J$23*EXP(-(($L$23*($B121-$M$23))^$K$23))+($G$24+$H$24*'Advanced Outputs'!C$60^$I$24)*$J$24*EXP(-(($L$24*($B121-$M$24))^$K$24))+($G$25+$H$25*'Advanced Outputs'!C$60^$I$25)*$J$25*EXP(-(($L$25*($B121-$M$25))^$K$25))+$G$26))</f>
        <v>0.639358827976801</v>
      </c>
      <c r="E121" s="21">
        <f t="shared" si="1"/>
        <v>0.663955499442636</v>
      </c>
      <c r="F121" s="12"/>
      <c r="G121" s="9"/>
      <c r="H121" s="9"/>
      <c r="I121" s="9"/>
      <c r="J121" s="9"/>
      <c r="K121" s="9"/>
      <c r="L121" s="9"/>
      <c r="M121" s="9"/>
    </row>
    <row r="122" hidden="1" spans="1:13">
      <c r="A122" s="4"/>
      <c r="B122" s="4">
        <v>481</v>
      </c>
      <c r="C122" s="21">
        <f>10^(-(($G$21+$H$21*'Advanced Outputs'!C$61^$I$21)*(($B122/$M$21)^-$K$21)+($G$22+$H$22*'Advanced Outputs'!C$61^$I$22)*$J$22*EXP(-(($L$22*($B122-$M$22))^$K$22))+($G$23+$H$23*'Advanced Outputs'!C$61^$I$23)*$J$23*EXP(-(($L$23*($B122-$M$23))^$K$23))+($G$24+$H$24*'Advanced Outputs'!C$61^$I$24)*$J$24*EXP(-(($L$24*($B122-$M$24))^$K$24))+($G$25+$H$25*'Advanced Outputs'!C$61^$I$25)*$J$25*EXP(-(($L$25*($B122-$M$25))^$K$25))+$G$26))</f>
        <v>0.429066393605941</v>
      </c>
      <c r="D122" s="21">
        <f>10^(-(($G$21+$H$21*'Advanced Outputs'!C$60^$I$21)*(($B122/$M$21)^-$K$21)+($G$22+$H$22*'Advanced Outputs'!C$60^$I$22)*$J$22*EXP(-(($L$22*($B122-$M$22))^$K$22))+($G$23+$H$23*'Advanced Outputs'!C$60^$I$23)*$J$23*EXP(-(($L$23*($B122-$M$23))^$K$23))+($G$24+$H$24*'Advanced Outputs'!C$60^$I$24)*$J$24*EXP(-(($L$24*($B122-$M$24))^$K$24))+($G$25+$H$25*'Advanced Outputs'!C$60^$I$25)*$J$25*EXP(-(($L$25*($B122-$M$25))^$K$25))+$G$26))</f>
        <v>0.641815009906604</v>
      </c>
      <c r="E122" s="21">
        <f t="shared" si="1"/>
        <v>0.668520347737548</v>
      </c>
      <c r="F122" s="12"/>
      <c r="G122" s="9"/>
      <c r="H122" s="9"/>
      <c r="I122" s="9"/>
      <c r="J122" s="9"/>
      <c r="K122" s="9"/>
      <c r="L122" s="9"/>
      <c r="M122" s="9"/>
    </row>
    <row r="123" hidden="1" spans="1:13">
      <c r="A123" s="4"/>
      <c r="B123" s="4">
        <v>482</v>
      </c>
      <c r="C123" s="21">
        <f>10^(-(($G$21+$H$21*'Advanced Outputs'!C$61^$I$21)*(($B123/$M$21)^-$K$21)+($G$22+$H$22*'Advanced Outputs'!C$61^$I$22)*$J$22*EXP(-(($L$22*($B123-$M$22))^$K$22))+($G$23+$H$23*'Advanced Outputs'!C$61^$I$23)*$J$23*EXP(-(($L$23*($B123-$M$23))^$K$23))+($G$24+$H$24*'Advanced Outputs'!C$61^$I$24)*$J$24*EXP(-(($L$24*($B123-$M$24))^$K$24))+($G$25+$H$25*'Advanced Outputs'!C$61^$I$25)*$J$25*EXP(-(($L$25*($B123-$M$25))^$K$25))+$G$26))</f>
        <v>0.433611928853405</v>
      </c>
      <c r="D123" s="21">
        <f>10^(-(($G$21+$H$21*'Advanced Outputs'!C$60^$I$21)*(($B123/$M$21)^-$K$21)+($G$22+$H$22*'Advanced Outputs'!C$60^$I$22)*$J$22*EXP(-(($L$22*($B123-$M$22))^$K$22))+($G$23+$H$23*'Advanced Outputs'!C$60^$I$23)*$J$23*EXP(-(($L$23*($B123-$M$23))^$K$23))+($G$24+$H$24*'Advanced Outputs'!C$60^$I$24)*$J$24*EXP(-(($L$24*($B123-$M$24))^$K$24))+($G$25+$H$25*'Advanced Outputs'!C$60^$I$25)*$J$25*EXP(-(($L$25*($B123-$M$25))^$K$25))+$G$26))</f>
        <v>0.644246175185752</v>
      </c>
      <c r="E123" s="21">
        <f t="shared" si="1"/>
        <v>0.673053167492045</v>
      </c>
      <c r="F123" s="12"/>
      <c r="G123" s="9"/>
      <c r="H123" s="9"/>
      <c r="I123" s="9"/>
      <c r="J123" s="9"/>
      <c r="K123" s="9"/>
      <c r="L123" s="9"/>
      <c r="M123" s="9"/>
    </row>
    <row r="124" hidden="1" spans="1:13">
      <c r="A124" s="4"/>
      <c r="B124" s="4">
        <v>483</v>
      </c>
      <c r="C124" s="21">
        <f>10^(-(($G$21+$H$21*'Advanced Outputs'!C$61^$I$21)*(($B124/$M$21)^-$K$21)+($G$22+$H$22*'Advanced Outputs'!C$61^$I$22)*$J$22*EXP(-(($L$22*($B124-$M$22))^$K$22))+($G$23+$H$23*'Advanced Outputs'!C$61^$I$23)*$J$23*EXP(-(($L$23*($B124-$M$23))^$K$23))+($G$24+$H$24*'Advanced Outputs'!C$61^$I$24)*$J$24*EXP(-(($L$24*($B124-$M$24))^$K$24))+($G$25+$H$25*'Advanced Outputs'!C$61^$I$25)*$J$25*EXP(-(($L$25*($B124-$M$25))^$K$25))+$G$26))</f>
        <v>0.438141856997254</v>
      </c>
      <c r="D124" s="21">
        <f>10^(-(($G$21+$H$21*'Advanced Outputs'!C$60^$I$21)*(($B124/$M$21)^-$K$21)+($G$22+$H$22*'Advanced Outputs'!C$60^$I$22)*$J$22*EXP(-(($L$22*($B124-$M$22))^$K$22))+($G$23+$H$23*'Advanced Outputs'!C$60^$I$23)*$J$23*EXP(-(($L$23*($B124-$M$23))^$K$23))+($G$24+$H$24*'Advanced Outputs'!C$60^$I$24)*$J$24*EXP(-(($L$24*($B124-$M$24))^$K$24))+($G$25+$H$25*'Advanced Outputs'!C$60^$I$25)*$J$25*EXP(-(($L$25*($B124-$M$25))^$K$25))+$G$26))</f>
        <v>0.646652845323815</v>
      </c>
      <c r="E124" s="21">
        <f t="shared" si="1"/>
        <v>0.677553435611734</v>
      </c>
      <c r="F124" s="12"/>
      <c r="G124" s="9"/>
      <c r="H124" s="9"/>
      <c r="I124" s="9"/>
      <c r="J124" s="9"/>
      <c r="K124" s="9"/>
      <c r="L124" s="9"/>
      <c r="M124" s="9"/>
    </row>
    <row r="125" hidden="1" spans="1:13">
      <c r="A125" s="4"/>
      <c r="B125" s="4">
        <v>484</v>
      </c>
      <c r="C125" s="21">
        <f>10^(-(($G$21+$H$21*'Advanced Outputs'!C$61^$I$21)*(($B125/$M$21)^-$K$21)+($G$22+$H$22*'Advanced Outputs'!C$61^$I$22)*$J$22*EXP(-(($L$22*($B125-$M$22))^$K$22))+($G$23+$H$23*'Advanced Outputs'!C$61^$I$23)*$J$23*EXP(-(($L$23*($B125-$M$23))^$K$23))+($G$24+$H$24*'Advanced Outputs'!C$61^$I$24)*$J$24*EXP(-(($L$24*($B125-$M$24))^$K$24))+($G$25+$H$25*'Advanced Outputs'!C$61^$I$25)*$J$25*EXP(-(($L$25*($B125-$M$25))^$K$25))+$G$26))</f>
        <v>0.442655571438251</v>
      </c>
      <c r="D125" s="21">
        <f>10^(-(($G$21+$H$21*'Advanced Outputs'!C$60^$I$21)*(($B125/$M$21)^-$K$21)+($G$22+$H$22*'Advanced Outputs'!C$60^$I$22)*$J$22*EXP(-(($L$22*($B125-$M$22))^$K$22))+($G$23+$H$23*'Advanced Outputs'!C$60^$I$23)*$J$23*EXP(-(($L$23*($B125-$M$23))^$K$23))+($G$24+$H$24*'Advanced Outputs'!C$60^$I$24)*$J$24*EXP(-(($L$24*($B125-$M$24))^$K$24))+($G$25+$H$25*'Advanced Outputs'!C$60^$I$25)*$J$25*EXP(-(($L$25*($B125-$M$25))^$K$25))+$G$26))</f>
        <v>0.649035464191833</v>
      </c>
      <c r="E125" s="21">
        <f t="shared" si="1"/>
        <v>0.682020622693456</v>
      </c>
      <c r="F125" s="12"/>
      <c r="G125" s="9"/>
      <c r="H125" s="9"/>
      <c r="I125" s="9"/>
      <c r="J125" s="9"/>
      <c r="K125" s="9"/>
      <c r="L125" s="9"/>
      <c r="M125" s="9"/>
    </row>
    <row r="126" hidden="1" spans="1:13">
      <c r="A126" s="4"/>
      <c r="B126" s="4">
        <v>485</v>
      </c>
      <c r="C126" s="21">
        <f>10^(-(($G$21+$H$21*'Advanced Outputs'!C$61^$I$21)*(($B126/$M$21)^-$K$21)+($G$22+$H$22*'Advanced Outputs'!C$61^$I$22)*$J$22*EXP(-(($L$22*($B126-$M$22))^$K$22))+($G$23+$H$23*'Advanced Outputs'!C$61^$I$23)*$J$23*EXP(-(($L$23*($B126-$M$23))^$K$23))+($G$24+$H$24*'Advanced Outputs'!C$61^$I$24)*$J$24*EXP(-(($L$24*($B126-$M$24))^$K$24))+($G$25+$H$25*'Advanced Outputs'!C$61^$I$25)*$J$25*EXP(-(($L$25*($B126-$M$25))^$K$25))+$G$26))</f>
        <v>0.447152424867435</v>
      </c>
      <c r="D126" s="21">
        <f>10^(-(($G$21+$H$21*'Advanced Outputs'!C$60^$I$21)*(($B126/$M$21)^-$K$21)+($G$22+$H$22*'Advanced Outputs'!C$60^$I$22)*$J$22*EXP(-(($L$22*($B126-$M$22))^$K$22))+($G$23+$H$23*'Advanced Outputs'!C$60^$I$23)*$J$23*EXP(-(($L$23*($B126-$M$23))^$K$23))+($G$24+$H$24*'Advanced Outputs'!C$60^$I$24)*$J$24*EXP(-(($L$24*($B126-$M$24))^$K$24))+($G$25+$H$25*'Advanced Outputs'!C$60^$I$25)*$J$25*EXP(-(($L$25*($B126-$M$25))^$K$25))+$G$26))</f>
        <v>0.651394408617456</v>
      </c>
      <c r="E126" s="21">
        <f t="shared" si="1"/>
        <v>0.686454195725272</v>
      </c>
      <c r="F126" s="12"/>
      <c r="G126" s="9"/>
      <c r="H126" s="9"/>
      <c r="I126" s="9"/>
      <c r="J126" s="9"/>
      <c r="K126" s="9"/>
      <c r="L126" s="9"/>
      <c r="M126" s="9"/>
    </row>
    <row r="127" hidden="1" spans="1:13">
      <c r="A127" s="4"/>
      <c r="B127" s="4">
        <v>486</v>
      </c>
      <c r="C127" s="21">
        <f>10^(-(($G$21+$H$21*'Advanced Outputs'!C$61^$I$21)*(($B127/$M$21)^-$K$21)+($G$22+$H$22*'Advanced Outputs'!C$61^$I$22)*$J$22*EXP(-(($L$22*($B127-$M$22))^$K$22))+($G$23+$H$23*'Advanced Outputs'!C$61^$I$23)*$J$23*EXP(-(($L$23*($B127-$M$23))^$K$23))+($G$24+$H$24*'Advanced Outputs'!C$61^$I$24)*$J$24*EXP(-(($L$24*($B127-$M$24))^$K$24))+($G$25+$H$25*'Advanced Outputs'!C$61^$I$25)*$J$25*EXP(-(($L$25*($B127-$M$25))^$K$25))+$G$26))</f>
        <v>0.45163173588791</v>
      </c>
      <c r="D127" s="21">
        <f>10^(-(($G$21+$H$21*'Advanced Outputs'!C$60^$I$21)*(($B127/$M$21)^-$K$21)+($G$22+$H$22*'Advanced Outputs'!C$60^$I$22)*$J$22*EXP(-(($L$22*($B127-$M$22))^$K$22))+($G$23+$H$23*'Advanced Outputs'!C$60^$I$23)*$J$23*EXP(-(($L$23*($B127-$M$23))^$K$23))+($G$24+$H$24*'Advanced Outputs'!C$60^$I$24)*$J$24*EXP(-(($L$24*($B127-$M$24))^$K$24))+($G$25+$H$25*'Advanced Outputs'!C$60^$I$25)*$J$25*EXP(-(($L$25*($B127-$M$25))^$K$25))+$G$26))</f>
        <v>0.653729997789244</v>
      </c>
      <c r="E127" s="21">
        <f t="shared" si="1"/>
        <v>0.690853620631176</v>
      </c>
      <c r="F127" s="12"/>
      <c r="G127" s="9"/>
      <c r="H127" s="9"/>
      <c r="I127" s="9"/>
      <c r="J127" s="9"/>
      <c r="K127" s="9"/>
      <c r="L127" s="9"/>
      <c r="M127" s="9"/>
    </row>
    <row r="128" hidden="1" spans="1:13">
      <c r="A128" s="4"/>
      <c r="B128" s="4">
        <v>487</v>
      </c>
      <c r="C128" s="21">
        <f>10^(-(($G$21+$H$21*'Advanced Outputs'!C$61^$I$21)*(($B128/$M$21)^-$K$21)+($G$22+$H$22*'Advanced Outputs'!C$61^$I$22)*$J$22*EXP(-(($L$22*($B128-$M$22))^$K$22))+($G$23+$H$23*'Advanced Outputs'!C$61^$I$23)*$J$23*EXP(-(($L$23*($B128-$M$23))^$K$23))+($G$24+$H$24*'Advanced Outputs'!C$61^$I$24)*$J$24*EXP(-(($L$24*($B128-$M$24))^$K$24))+($G$25+$H$25*'Advanced Outputs'!C$61^$I$25)*$J$25*EXP(-(($L$25*($B128-$M$25))^$K$25))+$G$26))</f>
        <v>0.456092795098275</v>
      </c>
      <c r="D128" s="21">
        <f>10^(-(($G$21+$H$21*'Advanced Outputs'!C$60^$I$21)*(($B128/$M$21)^-$K$21)+($G$22+$H$22*'Advanced Outputs'!C$60^$I$22)*$J$22*EXP(-(($L$22*($B128-$M$22))^$K$22))+($G$23+$H$23*'Advanced Outputs'!C$60^$I$23)*$J$23*EXP(-(($L$23*($B128-$M$23))^$K$23))+($G$24+$H$24*'Advanced Outputs'!C$60^$I$24)*$J$24*EXP(-(($L$24*($B128-$M$24))^$K$24))+($G$25+$H$25*'Advanced Outputs'!C$60^$I$25)*$J$25*EXP(-(($L$25*($B128-$M$25))^$K$25))+$G$26))</f>
        <v>0.65604250158173</v>
      </c>
      <c r="E128" s="21">
        <f t="shared" si="1"/>
        <v>0.695218364661783</v>
      </c>
      <c r="F128" s="12"/>
      <c r="G128" s="9"/>
      <c r="H128" s="9"/>
      <c r="I128" s="9"/>
      <c r="J128" s="9"/>
      <c r="K128" s="9"/>
      <c r="L128" s="9"/>
      <c r="M128" s="9"/>
    </row>
    <row r="129" hidden="1" spans="1:13">
      <c r="A129" s="4"/>
      <c r="B129" s="4">
        <v>488</v>
      </c>
      <c r="C129" s="21">
        <f>10^(-(($G$21+$H$21*'Advanced Outputs'!C$61^$I$21)*(($B129/$M$21)^-$K$21)+($G$22+$H$22*'Advanced Outputs'!C$61^$I$22)*$J$22*EXP(-(($L$22*($B129-$M$22))^$K$22))+($G$23+$H$23*'Advanced Outputs'!C$61^$I$23)*$J$23*EXP(-(($L$23*($B129-$M$23))^$K$23))+($G$24+$H$24*'Advanced Outputs'!C$61^$I$24)*$J$24*EXP(-(($L$24*($B129-$M$24))^$K$24))+($G$25+$H$25*'Advanced Outputs'!C$61^$I$25)*$J$25*EXP(-(($L$25*($B129-$M$25))^$K$25))+$G$26))</f>
        <v>0.460534870669877</v>
      </c>
      <c r="D129" s="21">
        <f>10^(-(($G$21+$H$21*'Advanced Outputs'!C$60^$I$21)*(($B129/$M$21)^-$K$21)+($G$22+$H$22*'Advanced Outputs'!C$60^$I$22)*$J$22*EXP(-(($L$22*($B129-$M$22))^$K$22))+($G$23+$H$23*'Advanced Outputs'!C$60^$I$23)*$J$23*EXP(-(($L$23*($B129-$M$23))^$K$23))+($G$24+$H$24*'Advanced Outputs'!C$60^$I$24)*$J$24*EXP(-(($L$24*($B129-$M$24))^$K$24))+($G$25+$H$25*'Advanced Outputs'!C$60^$I$25)*$J$25*EXP(-(($L$25*($B129-$M$25))^$K$25))+$G$26))</f>
        <v>0.658332147905708</v>
      </c>
      <c r="E129" s="21">
        <f t="shared" si="1"/>
        <v>0.699547898632832</v>
      </c>
      <c r="F129" s="12"/>
      <c r="G129" s="9"/>
      <c r="H129" s="9"/>
      <c r="I129" s="9"/>
      <c r="J129" s="9"/>
      <c r="K129" s="9"/>
      <c r="L129" s="9"/>
      <c r="M129" s="9"/>
    </row>
    <row r="130" hidden="1" spans="1:13">
      <c r="A130" s="4"/>
      <c r="B130" s="4">
        <v>489</v>
      </c>
      <c r="C130" s="21">
        <f>10^(-(($G$21+$H$21*'Advanced Outputs'!C$61^$I$21)*(($B130/$M$21)^-$K$21)+($G$22+$H$22*'Advanced Outputs'!C$61^$I$22)*$J$22*EXP(-(($L$22*($B130-$M$22))^$K$22))+($G$23+$H$23*'Advanced Outputs'!C$61^$I$23)*$J$23*EXP(-(($L$23*($B130-$M$23))^$K$23))+($G$24+$H$24*'Advanced Outputs'!C$61^$I$24)*$J$24*EXP(-(($L$24*($B130-$M$24))^$K$24))+($G$25+$H$25*'Advanced Outputs'!C$61^$I$25)*$J$25*EXP(-(($L$25*($B130-$M$25))^$K$25))+$G$26))</f>
        <v>0.464957213449823</v>
      </c>
      <c r="D130" s="21">
        <f>10^(-(($G$21+$H$21*'Advanced Outputs'!C$60^$I$21)*(($B130/$M$21)^-$K$21)+($G$22+$H$22*'Advanced Outputs'!C$60^$I$22)*$J$22*EXP(-(($L$22*($B130-$M$22))^$K$22))+($G$23+$H$23*'Advanced Outputs'!C$60^$I$23)*$J$23*EXP(-(($L$23*($B130-$M$23))^$K$23))+($G$24+$H$24*'Advanced Outputs'!C$60^$I$24)*$J$24*EXP(-(($L$24*($B130-$M$24))^$K$24))+($G$25+$H$25*'Advanced Outputs'!C$60^$I$25)*$J$25*EXP(-(($L$25*($B130-$M$25))^$K$25))+$G$26))</f>
        <v>0.660599129180946</v>
      </c>
      <c r="E130" s="21">
        <f t="shared" si="1"/>
        <v>0.703841699013906</v>
      </c>
      <c r="F130" s="12"/>
      <c r="G130" s="9"/>
      <c r="H130" s="9"/>
      <c r="I130" s="9"/>
      <c r="J130" s="9"/>
      <c r="K130" s="9"/>
      <c r="L130" s="9"/>
      <c r="M130" s="9"/>
    </row>
    <row r="131" hidden="1" spans="1:13">
      <c r="A131" s="4"/>
      <c r="B131" s="4">
        <v>490</v>
      </c>
      <c r="C131" s="21">
        <f>10^(-(($G$21+$H$21*'Advanced Outputs'!C$61^$I$21)*(($B131/$M$21)^-$K$21)+($G$22+$H$22*'Advanced Outputs'!C$61^$I$22)*$J$22*EXP(-(($L$22*($B131-$M$22))^$K$22))+($G$23+$H$23*'Advanced Outputs'!C$61^$I$23)*$J$23*EXP(-(($L$23*($B131-$M$23))^$K$23))+($G$24+$H$24*'Advanced Outputs'!C$61^$I$24)*$J$24*EXP(-(($L$24*($B131-$M$24))^$K$24))+($G$25+$H$25*'Advanced Outputs'!C$61^$I$25)*$J$25*EXP(-(($L$25*($B131-$M$25))^$K$25))+$G$26))</f>
        <v>0.469359061621173</v>
      </c>
      <c r="D131" s="21">
        <f>10^(-(($G$21+$H$21*'Advanced Outputs'!C$60^$I$21)*(($B131/$M$21)^-$K$21)+($G$22+$H$22*'Advanced Outputs'!C$60^$I$22)*$J$22*EXP(-(($L$22*($B131-$M$22))^$K$22))+($G$23+$H$23*'Advanced Outputs'!C$60^$I$23)*$J$23*EXP(-(($L$23*($B131-$M$23))^$K$23))+($G$24+$H$24*'Advanced Outputs'!C$60^$I$24)*$J$24*EXP(-(($L$24*($B131-$M$24))^$K$24))+($G$25+$H$25*'Advanced Outputs'!C$60^$I$25)*$J$25*EXP(-(($L$25*($B131-$M$25))^$K$25))+$G$26))</f>
        <v>0.662843608021274</v>
      </c>
      <c r="E131" s="21">
        <f t="shared" si="1"/>
        <v>0.708099249870278</v>
      </c>
      <c r="F131" s="12"/>
      <c r="G131" s="9"/>
      <c r="H131" s="9"/>
      <c r="I131" s="9"/>
      <c r="J131" s="9"/>
      <c r="K131" s="9"/>
      <c r="L131" s="9"/>
      <c r="M131" s="9"/>
    </row>
    <row r="132" hidden="1" spans="1:13">
      <c r="A132" s="4"/>
      <c r="B132" s="4">
        <v>491</v>
      </c>
      <c r="C132" s="21">
        <f>10^(-(($G$21+$H$21*'Advanced Outputs'!C$61^$I$21)*(($B132/$M$21)^-$K$21)+($G$22+$H$22*'Advanced Outputs'!C$61^$I$22)*$J$22*EXP(-(($L$22*($B132-$M$22))^$K$22))+($G$23+$H$23*'Advanced Outputs'!C$61^$I$23)*$J$23*EXP(-(($L$23*($B132-$M$23))^$K$23))+($G$24+$H$24*'Advanced Outputs'!C$61^$I$24)*$J$24*EXP(-(($L$24*($B132-$M$24))^$K$24))+($G$25+$H$25*'Advanced Outputs'!C$61^$I$25)*$J$25*EXP(-(($L$25*($B132-$M$25))^$K$25))+$G$26))</f>
        <v>0.473739644950778</v>
      </c>
      <c r="D132" s="21">
        <f>10^(-(($G$21+$H$21*'Advanced Outputs'!C$60^$I$21)*(($B132/$M$21)^-$K$21)+($G$22+$H$22*'Advanced Outputs'!C$60^$I$22)*$J$22*EXP(-(($L$22*($B132-$M$22))^$K$22))+($G$23+$H$23*'Advanced Outputs'!C$60^$I$23)*$J$23*EXP(-(($L$23*($B132-$M$23))^$K$23))+($G$24+$H$24*'Advanced Outputs'!C$60^$I$24)*$J$24*EXP(-(($L$24*($B132-$M$24))^$K$24))+($G$25+$H$25*'Advanced Outputs'!C$60^$I$25)*$J$25*EXP(-(($L$25*($B132-$M$25))^$K$25))+$G$26))</f>
        <v>0.665065722214857</v>
      </c>
      <c r="E132" s="21">
        <f t="shared" si="1"/>
        <v>0.712320044661287</v>
      </c>
      <c r="F132" s="12"/>
      <c r="G132" s="9"/>
      <c r="H132" s="9"/>
      <c r="I132" s="9"/>
      <c r="J132" s="9"/>
      <c r="K132" s="9"/>
      <c r="L132" s="9"/>
      <c r="M132" s="9"/>
    </row>
    <row r="133" hidden="1" spans="1:13">
      <c r="A133" s="4"/>
      <c r="B133" s="4">
        <v>492</v>
      </c>
      <c r="C133" s="21">
        <f>10^(-(($G$21+$H$21*'Advanced Outputs'!C$61^$I$21)*(($B133/$M$21)^-$K$21)+($G$22+$H$22*'Advanced Outputs'!C$61^$I$22)*$J$22*EXP(-(($L$22*($B133-$M$22))^$K$22))+($G$23+$H$23*'Advanced Outputs'!C$61^$I$23)*$J$23*EXP(-(($L$23*($B133-$M$23))^$K$23))+($G$24+$H$24*'Advanced Outputs'!C$61^$I$24)*$J$24*EXP(-(($L$24*($B133-$M$24))^$K$24))+($G$25+$H$25*'Advanced Outputs'!C$61^$I$25)*$J$25*EXP(-(($L$25*($B133-$M$25))^$K$25))+$G$26))</f>
        <v>0.478098188654137</v>
      </c>
      <c r="D133" s="21">
        <f>10^(-(($G$21+$H$21*'Advanced Outputs'!C$60^$I$21)*(($B133/$M$21)^-$K$21)+($G$22+$H$22*'Advanced Outputs'!C$60^$I$22)*$J$22*EXP(-(($L$22*($B133-$M$22))^$K$22))+($G$23+$H$23*'Advanced Outputs'!C$60^$I$23)*$J$23*EXP(-(($L$23*($B133-$M$23))^$K$23))+($G$24+$H$24*'Advanced Outputs'!C$60^$I$24)*$J$24*EXP(-(($L$24*($B133-$M$24))^$K$24))+($G$25+$H$25*'Advanced Outputs'!C$60^$I$25)*$J$25*EXP(-(($L$25*($B133-$M$25))^$K$25))+$G$26))</f>
        <v>0.667265589075502</v>
      </c>
      <c r="E133" s="21">
        <f t="shared" si="1"/>
        <v>0.716503587899</v>
      </c>
      <c r="F133" s="12"/>
      <c r="G133" s="9"/>
      <c r="H133" s="9"/>
      <c r="I133" s="9"/>
      <c r="J133" s="9"/>
      <c r="K133" s="9"/>
      <c r="L133" s="9"/>
      <c r="M133" s="9"/>
    </row>
    <row r="134" hidden="1" spans="1:13">
      <c r="A134" s="4"/>
      <c r="B134" s="4">
        <v>493</v>
      </c>
      <c r="C134" s="21">
        <f>10^(-(($G$21+$H$21*'Advanced Outputs'!C$61^$I$21)*(($B134/$M$21)^-$K$21)+($G$22+$H$22*'Advanced Outputs'!C$61^$I$22)*$J$22*EXP(-(($L$22*($B134-$M$22))^$K$22))+($G$23+$H$23*'Advanced Outputs'!C$61^$I$23)*$J$23*EXP(-(($L$23*($B134-$M$23))^$K$23))+($G$24+$H$24*'Advanced Outputs'!C$61^$I$24)*$J$24*EXP(-(($L$24*($B134-$M$24))^$K$24))+($G$25+$H$25*'Advanced Outputs'!C$61^$I$25)*$J$25*EXP(-(($L$25*($B134-$M$25))^$K$25))+$G$26))</f>
        <v>0.482433916905328</v>
      </c>
      <c r="D134" s="21">
        <f>10^(-(($G$21+$H$21*'Advanced Outputs'!C$60^$I$21)*(($B134/$M$21)^-$K$21)+($G$22+$H$22*'Advanced Outputs'!C$60^$I$22)*$J$22*EXP(-(($L$22*($B134-$M$22))^$K$22))+($G$23+$H$23*'Advanced Outputs'!C$60^$I$23)*$J$23*EXP(-(($L$23*($B134-$M$23))^$K$23))+($G$24+$H$24*'Advanced Outputs'!C$60^$I$24)*$J$24*EXP(-(($L$24*($B134-$M$24))^$K$24))+($G$25+$H$25*'Advanced Outputs'!C$60^$I$25)*$J$25*EXP(-(($L$25*($B134-$M$25))^$K$25))+$G$26))</f>
        <v>0.669443309234247</v>
      </c>
      <c r="E134" s="21">
        <f t="shared" si="1"/>
        <v>0.720649396671343</v>
      </c>
      <c r="F134" s="12"/>
      <c r="G134" s="9"/>
      <c r="H134" s="9"/>
      <c r="I134" s="9"/>
      <c r="J134" s="9"/>
      <c r="K134" s="9"/>
      <c r="L134" s="9"/>
      <c r="M134" s="9"/>
    </row>
    <row r="135" hidden="1" spans="1:13">
      <c r="A135" s="4"/>
      <c r="B135" s="4">
        <v>494</v>
      </c>
      <c r="C135" s="21">
        <f>10^(-(($G$21+$H$21*'Advanced Outputs'!C$61^$I$21)*(($B135/$M$21)^-$K$21)+($G$22+$H$22*'Advanced Outputs'!C$61^$I$22)*$J$22*EXP(-(($L$22*($B135-$M$22))^$K$22))+($G$23+$H$23*'Advanced Outputs'!C$61^$I$23)*$J$23*EXP(-(($L$23*($B135-$M$23))^$K$23))+($G$24+$H$24*'Advanced Outputs'!C$61^$I$24)*$J$24*EXP(-(($L$24*($B135-$M$24))^$K$24))+($G$25+$H$25*'Advanced Outputs'!C$61^$I$25)*$J$25*EXP(-(($L$25*($B135-$M$25))^$K$25))+$G$26))</f>
        <v>0.48674605601862</v>
      </c>
      <c r="D135" s="21">
        <f>10^(-(($G$21+$H$21*'Advanced Outputs'!C$60^$I$21)*(($B135/$M$21)^-$K$21)+($G$22+$H$22*'Advanced Outputs'!C$60^$I$22)*$J$22*EXP(-(($L$22*($B135-$M$22))^$K$22))+($G$23+$H$23*'Advanced Outputs'!C$60^$I$23)*$J$23*EXP(-(($L$23*($B135-$M$23))^$K$23))+($G$24+$H$24*'Advanced Outputs'!C$60^$I$24)*$J$24*EXP(-(($L$24*($B135-$M$24))^$K$24))+($G$25+$H$25*'Advanced Outputs'!C$60^$I$25)*$J$25*EXP(-(($L$25*($B135-$M$25))^$K$25))+$G$26))</f>
        <v>0.671598969934082</v>
      </c>
      <c r="E135" s="21">
        <f t="shared" si="1"/>
        <v>0.724757002034107</v>
      </c>
      <c r="F135" s="12"/>
      <c r="G135" s="9"/>
      <c r="H135" s="9"/>
      <c r="I135" s="9"/>
      <c r="J135" s="9"/>
      <c r="K135" s="9"/>
      <c r="L135" s="9"/>
      <c r="M135" s="9"/>
    </row>
    <row r="136" hidden="1" spans="1:13">
      <c r="A136" s="4"/>
      <c r="B136" s="4">
        <v>495</v>
      </c>
      <c r="C136" s="21">
        <f>10^(-(($G$21+$H$21*'Advanced Outputs'!C$61^$I$21)*(($B136/$M$21)^-$K$21)+($G$22+$H$22*'Advanced Outputs'!C$61^$I$22)*$J$22*EXP(-(($L$22*($B136-$M$22))^$K$22))+($G$23+$H$23*'Advanced Outputs'!C$61^$I$23)*$J$23*EXP(-(($L$23*($B136-$M$23))^$K$23))+($G$24+$H$24*'Advanced Outputs'!C$61^$I$24)*$J$24*EXP(-(($L$24*($B136-$M$24))^$K$24))+($G$25+$H$25*'Advanced Outputs'!C$61^$I$25)*$J$25*EXP(-(($L$25*($B136-$M$25))^$K$25))+$G$26))</f>
        <v>0.491033837326922</v>
      </c>
      <c r="D136" s="21">
        <f>10^(-(($G$21+$H$21*'Advanced Outputs'!C$60^$I$21)*(($B136/$M$21)^-$K$21)+($G$22+$H$22*'Advanced Outputs'!C$60^$I$22)*$J$22*EXP(-(($L$22*($B136-$M$22))^$K$22))+($G$23+$H$23*'Advanced Outputs'!C$60^$I$23)*$J$23*EXP(-(($L$23*($B136-$M$23))^$K$23))+($G$24+$H$24*'Advanced Outputs'!C$60^$I$24)*$J$24*EXP(-(($L$24*($B136-$M$24))^$K$24))+($G$25+$H$25*'Advanced Outputs'!C$60^$I$25)*$J$25*EXP(-(($L$25*($B136-$M$25))^$K$25))+$G$26))</f>
        <v>0.673732647884737</v>
      </c>
      <c r="E136" s="21">
        <f t="shared" si="1"/>
        <v>0.728825950276539</v>
      </c>
      <c r="F136" s="12"/>
      <c r="G136" s="9"/>
      <c r="H136" s="9"/>
      <c r="I136" s="9"/>
      <c r="J136" s="9"/>
      <c r="K136" s="9"/>
      <c r="L136" s="9"/>
      <c r="M136" s="9"/>
    </row>
    <row r="137" hidden="1" spans="1:13">
      <c r="A137" s="4"/>
      <c r="B137" s="4">
        <v>496</v>
      </c>
      <c r="C137" s="21">
        <f>10^(-(($G$21+$H$21*'Advanced Outputs'!C$61^$I$21)*(($B137/$M$21)^-$K$21)+($G$22+$H$22*'Advanced Outputs'!C$61^$I$22)*$J$22*EXP(-(($L$22*($B137-$M$22))^$K$22))+($G$23+$H$23*'Advanced Outputs'!C$61^$I$23)*$J$23*EXP(-(($L$23*($B137-$M$23))^$K$23))+($G$24+$H$24*'Advanced Outputs'!C$61^$I$24)*$J$24*EXP(-(($L$24*($B137-$M$24))^$K$24))+($G$25+$H$25*'Advanced Outputs'!C$61^$I$25)*$J$25*EXP(-(($L$25*($B137-$M$25))^$K$25))+$G$26))</f>
        <v>0.495296499780636</v>
      </c>
      <c r="D137" s="21">
        <f>10^(-(($G$21+$H$21*'Advanced Outputs'!C$60^$I$21)*(($B137/$M$21)^-$K$21)+($G$22+$H$22*'Advanced Outputs'!C$60^$I$22)*$J$22*EXP(-(($L$22*($B137-$M$22))^$K$22))+($G$23+$H$23*'Advanced Outputs'!C$60^$I$23)*$J$23*EXP(-(($L$23*($B137-$M$23))^$K$23))+($G$24+$H$24*'Advanced Outputs'!C$60^$I$24)*$J$24*EXP(-(($L$24*($B137-$M$24))^$K$24))+($G$25+$H$25*'Advanced Outputs'!C$60^$I$25)*$J$25*EXP(-(($L$25*($B137-$M$25))^$K$25))+$G$26))</f>
        <v>0.675844411728837</v>
      </c>
      <c r="E137" s="21">
        <f t="shared" si="1"/>
        <v>0.732855804065389</v>
      </c>
      <c r="F137" s="12"/>
      <c r="G137" s="9"/>
      <c r="H137" s="9"/>
      <c r="I137" s="9"/>
      <c r="J137" s="9"/>
      <c r="K137" s="9"/>
      <c r="L137" s="9"/>
      <c r="M137" s="9"/>
    </row>
    <row r="138" hidden="1" spans="1:13">
      <c r="A138" s="4"/>
      <c r="B138" s="4">
        <v>497</v>
      </c>
      <c r="C138" s="21">
        <f>10^(-(($G$21+$H$21*'Advanced Outputs'!C$61^$I$21)*(($B138/$M$21)^-$K$21)+($G$22+$H$22*'Advanced Outputs'!C$61^$I$22)*$J$22*EXP(-(($L$22*($B138-$M$22))^$K$22))+($G$23+$H$23*'Advanced Outputs'!C$61^$I$23)*$J$23*EXP(-(($L$23*($B138-$M$23))^$K$23))+($G$24+$H$24*'Advanced Outputs'!C$61^$I$24)*$J$24*EXP(-(($L$24*($B138-$M$24))^$K$24))+($G$25+$H$25*'Advanced Outputs'!C$61^$I$25)*$J$25*EXP(-(($L$25*($B138-$M$25))^$K$25))+$G$26))</f>
        <v>0.499533292288968</v>
      </c>
      <c r="D138" s="21">
        <f>10^(-(($G$21+$H$21*'Advanced Outputs'!C$60^$I$21)*(($B138/$M$21)^-$K$21)+($G$22+$H$22*'Advanced Outputs'!C$60^$I$22)*$J$22*EXP(-(($L$22*($B138-$M$22))^$K$22))+($G$23+$H$23*'Advanced Outputs'!C$60^$I$23)*$J$23*EXP(-(($L$23*($B138-$M$23))^$K$23))+($G$24+$H$24*'Advanced Outputs'!C$60^$I$24)*$J$24*EXP(-(($L$24*($B138-$M$24))^$K$24))+($G$25+$H$25*'Advanced Outputs'!C$60^$I$25)*$J$25*EXP(-(($L$25*($B138-$M$25))^$K$25))+$G$26))</f>
        <v>0.677934324165548</v>
      </c>
      <c r="E138" s="21">
        <f t="shared" si="1"/>
        <v>0.736846143472424</v>
      </c>
      <c r="F138" s="12"/>
      <c r="G138" s="9"/>
      <c r="H138" s="9"/>
      <c r="I138" s="9"/>
      <c r="J138" s="9"/>
      <c r="K138" s="9"/>
      <c r="L138" s="9"/>
      <c r="M138" s="9"/>
    </row>
    <row r="139" hidden="1" spans="1:13">
      <c r="A139" s="4"/>
      <c r="B139" s="4">
        <v>498</v>
      </c>
      <c r="C139" s="21">
        <f>10^(-(($G$21+$H$21*'Advanced Outputs'!C$61^$I$21)*(($B139/$M$21)^-$K$21)+($G$22+$H$22*'Advanced Outputs'!C$61^$I$22)*$J$22*EXP(-(($L$22*($B139-$M$22))^$K$22))+($G$23+$H$23*'Advanced Outputs'!C$61^$I$23)*$J$23*EXP(-(($L$23*($B139-$M$23))^$K$23))+($G$24+$H$24*'Advanced Outputs'!C$61^$I$24)*$J$24*EXP(-(($L$24*($B139-$M$24))^$K$24))+($G$25+$H$25*'Advanced Outputs'!C$61^$I$25)*$J$25*EXP(-(($L$25*($B139-$M$25))^$K$25))+$G$26))</f>
        <v>0.503743475824225</v>
      </c>
      <c r="D139" s="21">
        <f>10^(-(($G$21+$H$21*'Advanced Outputs'!C$60^$I$21)*(($B139/$M$21)^-$K$21)+($G$22+$H$22*'Advanced Outputs'!C$60^$I$22)*$J$22*EXP(-(($L$22*($B139-$M$22))^$K$22))+($G$23+$H$23*'Advanced Outputs'!C$60^$I$23)*$J$23*EXP(-(($L$23*($B139-$M$23))^$K$23))+($G$24+$H$24*'Advanced Outputs'!C$60^$I$24)*$J$24*EXP(-(($L$24*($B139-$M$24))^$K$24))+($G$25+$H$25*'Advanced Outputs'!C$60^$I$25)*$J$25*EXP(-(($L$25*($B139-$M$25))^$K$25))+$G$26))</f>
        <v>0.680002443773017</v>
      </c>
      <c r="E139" s="21">
        <f t="shared" si="1"/>
        <v>0.740796566890536</v>
      </c>
      <c r="F139" s="12"/>
      <c r="G139" s="9"/>
      <c r="H139" s="9"/>
      <c r="I139" s="9"/>
      <c r="J139" s="9"/>
      <c r="K139" s="9"/>
      <c r="L139" s="9"/>
      <c r="M139" s="9"/>
    </row>
    <row r="140" hidden="1" spans="1:13">
      <c r="A140" s="4"/>
      <c r="B140" s="4">
        <v>499</v>
      </c>
      <c r="C140" s="21">
        <f>10^(-(($G$21+$H$21*'Advanced Outputs'!C$61^$I$21)*(($B140/$M$21)^-$K$21)+($G$22+$H$22*'Advanced Outputs'!C$61^$I$22)*$J$22*EXP(-(($L$22*($B140-$M$22))^$K$22))+($G$23+$H$23*'Advanced Outputs'!C$61^$I$23)*$J$23*EXP(-(($L$23*($B140-$M$23))^$K$23))+($G$24+$H$24*'Advanced Outputs'!C$61^$I$24)*$J$24*EXP(-(($L$24*($B140-$M$24))^$K$24))+($G$25+$H$25*'Advanced Outputs'!C$61^$I$25)*$J$25*EXP(-(($L$25*($B140-$M$25))^$K$25))+$G$26))</f>
        <v>0.507926325308123</v>
      </c>
      <c r="D140" s="21">
        <f>10^(-(($G$21+$H$21*'Advanced Outputs'!C$60^$I$21)*(($B140/$M$21)^-$K$21)+($G$22+$H$22*'Advanced Outputs'!C$60^$I$22)*$J$22*EXP(-(($L$22*($B140-$M$22))^$K$22))+($G$23+$H$23*'Advanced Outputs'!C$60^$I$23)*$J$23*EXP(-(($L$23*($B140-$M$23))^$K$23))+($G$24+$H$24*'Advanced Outputs'!C$60^$I$24)*$J$24*EXP(-(($L$24*($B140-$M$24))^$K$24))+($G$25+$H$25*'Advanced Outputs'!C$60^$I$25)*$J$25*EXP(-(($L$25*($B140-$M$25))^$K$25))+$G$26))</f>
        <v>0.682048826566474</v>
      </c>
      <c r="E140" s="21">
        <f t="shared" si="1"/>
        <v>0.744706691843593</v>
      </c>
      <c r="F140" s="12"/>
      <c r="G140" s="9"/>
      <c r="H140" s="9"/>
      <c r="I140" s="9"/>
      <c r="J140" s="9"/>
      <c r="K140" s="9"/>
      <c r="L140" s="9"/>
      <c r="M140" s="9"/>
    </row>
    <row r="141" hidden="1" spans="1:13">
      <c r="A141" s="4"/>
      <c r="B141" s="4">
        <v>500</v>
      </c>
      <c r="C141" s="21">
        <f>10^(-(($G$21+$H$21*'Advanced Outputs'!C$61^$I$21)*(($B141/$M$21)^-$K$21)+($G$22+$H$22*'Advanced Outputs'!C$61^$I$22)*$J$22*EXP(-(($L$22*($B141-$M$22))^$K$22))+($G$23+$H$23*'Advanced Outputs'!C$61^$I$23)*$J$23*EXP(-(($L$23*($B141-$M$23))^$K$23))+($G$24+$H$24*'Advanced Outputs'!C$61^$I$24)*$J$24*EXP(-(($L$24*($B141-$M$24))^$K$24))+($G$25+$H$25*'Advanced Outputs'!C$61^$I$25)*$J$25*EXP(-(($L$25*($B141-$M$25))^$K$25))+$G$26))</f>
        <v>0.512081131297705</v>
      </c>
      <c r="D141" s="21">
        <f>10^(-(($G$21+$H$21*'Advanced Outputs'!C$60^$I$21)*(($B141/$M$21)^-$K$21)+($G$22+$H$22*'Advanced Outputs'!C$60^$I$22)*$J$22*EXP(-(($L$22*($B141-$M$22))^$K$22))+($G$23+$H$23*'Advanced Outputs'!C$60^$I$23)*$J$23*EXP(-(($L$23*($B141-$M$23))^$K$23))+($G$24+$H$24*'Advanced Outputs'!C$60^$I$24)*$J$24*EXP(-(($L$24*($B141-$M$24))^$K$24))+($G$25+$H$25*'Advanced Outputs'!C$60^$I$25)*$J$25*EXP(-(($L$25*($B141-$M$25))^$K$25))+$G$26))</f>
        <v>0.684073527324856</v>
      </c>
      <c r="E141" s="21">
        <f t="shared" si="1"/>
        <v>0.748576155695214</v>
      </c>
      <c r="F141" s="12"/>
      <c r="G141" s="9"/>
      <c r="H141" s="9"/>
      <c r="I141" s="9"/>
      <c r="J141" s="9"/>
      <c r="K141" s="9"/>
      <c r="L141" s="9"/>
      <c r="M141" s="9"/>
    </row>
    <row r="142" hidden="1" spans="1:13">
      <c r="A142" s="4"/>
      <c r="B142" s="4">
        <v>501</v>
      </c>
      <c r="C142" s="21">
        <f>10^(-(($G$21+$H$21*'Advanced Outputs'!C$61^$I$21)*(($B142/$M$21)^-$K$21)+($G$22+$H$22*'Advanced Outputs'!C$61^$I$22)*$J$22*EXP(-(($L$22*($B142-$M$22))^$K$22))+($G$23+$H$23*'Advanced Outputs'!C$61^$I$23)*$J$23*EXP(-(($L$23*($B142-$M$23))^$K$23))+($G$24+$H$24*'Advanced Outputs'!C$61^$I$24)*$J$24*EXP(-(($L$24*($B142-$M$24))^$K$24))+($G$25+$H$25*'Advanced Outputs'!C$61^$I$25)*$J$25*EXP(-(($L$25*($B142-$M$25))^$K$25))+$G$26))</f>
        <v>0.516207201487103</v>
      </c>
      <c r="D142" s="21">
        <f>10^(-(($G$21+$H$21*'Advanced Outputs'!C$60^$I$21)*(($B142/$M$21)^-$K$21)+($G$22+$H$22*'Advanced Outputs'!C$60^$I$22)*$J$22*EXP(-(($L$22*($B142-$M$22))^$K$22))+($G$23+$H$23*'Advanced Outputs'!C$60^$I$23)*$J$23*EXP(-(($L$23*($B142-$M$23))^$K$23))+($G$24+$H$24*'Advanced Outputs'!C$60^$I$24)*$J$24*EXP(-(($L$24*($B142-$M$24))^$K$24))+($G$25+$H$25*'Advanced Outputs'!C$60^$I$25)*$J$25*EXP(-(($L$25*($B142-$M$25))^$K$25))+$G$26))</f>
        <v>0.686076600715065</v>
      </c>
      <c r="E142" s="21">
        <f t="shared" si="1"/>
        <v>0.752404616261632</v>
      </c>
      <c r="F142" s="12"/>
      <c r="G142" s="9"/>
      <c r="H142" s="9"/>
      <c r="I142" s="9"/>
      <c r="J142" s="9"/>
      <c r="K142" s="9"/>
      <c r="L142" s="9"/>
      <c r="M142" s="9"/>
    </row>
    <row r="143" hidden="1" spans="1:13">
      <c r="A143" s="4"/>
      <c r="B143" s="4">
        <v>502</v>
      </c>
      <c r="C143" s="21">
        <f>10^(-(($G$21+$H$21*'Advanced Outputs'!C$61^$I$21)*(($B143/$M$21)^-$K$21)+($G$22+$H$22*'Advanced Outputs'!C$61^$I$22)*$J$22*EXP(-(($L$22*($B143-$M$22))^$K$22))+($G$23+$H$23*'Advanced Outputs'!C$61^$I$23)*$J$23*EXP(-(($L$23*($B143-$M$23))^$K$23))+($G$24+$H$24*'Advanced Outputs'!C$61^$I$24)*$J$24*EXP(-(($L$24*($B143-$M$24))^$K$24))+($G$25+$H$25*'Advanced Outputs'!C$61^$I$25)*$J$25*EXP(-(($L$25*($B143-$M$25))^$K$25))+$G$26))</f>
        <v>0.520303862040055</v>
      </c>
      <c r="D143" s="21">
        <f>10^(-(($G$21+$H$21*'Advanced Outputs'!C$60^$I$21)*(($B143/$M$21)^-$K$21)+($G$22+$H$22*'Advanced Outputs'!C$60^$I$22)*$J$22*EXP(-(($L$22*($B143-$M$22))^$K$22))+($G$23+$H$23*'Advanced Outputs'!C$60^$I$23)*$J$23*EXP(-(($L$23*($B143-$M$23))^$K$23))+($G$24+$H$24*'Advanced Outputs'!C$60^$I$24)*$J$24*EXP(-(($L$24*($B143-$M$24))^$K$24))+($G$25+$H$25*'Advanced Outputs'!C$60^$I$25)*$J$25*EXP(-(($L$25*($B143-$M$25))^$K$25))+$G$26))</f>
        <v>0.688058102239705</v>
      </c>
      <c r="E143" s="21">
        <f t="shared" si="1"/>
        <v>0.756191752333718</v>
      </c>
      <c r="F143" s="12"/>
      <c r="G143" s="9"/>
      <c r="H143" s="9"/>
      <c r="I143" s="9"/>
      <c r="J143" s="9"/>
      <c r="K143" s="9"/>
      <c r="L143" s="9"/>
      <c r="M143" s="9"/>
    </row>
    <row r="144" hidden="1" spans="1:13">
      <c r="A144" s="4"/>
      <c r="B144" s="4">
        <v>503</v>
      </c>
      <c r="C144" s="21">
        <f>10^(-(($G$21+$H$21*'Advanced Outputs'!C$61^$I$21)*(($B144/$M$21)^-$K$21)+($G$22+$H$22*'Advanced Outputs'!C$61^$I$22)*$J$22*EXP(-(($L$22*($B144-$M$22))^$K$22))+($G$23+$H$23*'Advanced Outputs'!C$61^$I$23)*$J$23*EXP(-(($L$23*($B144-$M$23))^$K$23))+($G$24+$H$24*'Advanced Outputs'!C$61^$I$24)*$J$24*EXP(-(($L$24*($B144-$M$24))^$K$24))+($G$25+$H$25*'Advanced Outputs'!C$61^$I$25)*$J$25*EXP(-(($L$25*($B144-$M$25))^$K$25))+$G$26))</f>
        <v>0.524370458766893</v>
      </c>
      <c r="D144" s="21">
        <f>10^(-(($G$21+$H$21*'Advanced Outputs'!C$60^$I$21)*(($B144/$M$21)^-$K$21)+($G$22+$H$22*'Advanced Outputs'!C$60^$I$22)*$J$22*EXP(-(($L$22*($B144-$M$22))^$K$22))+($G$23+$H$23*'Advanced Outputs'!C$60^$I$23)*$J$23*EXP(-(($L$23*($B144-$M$23))^$K$23))+($G$24+$H$24*'Advanced Outputs'!C$60^$I$24)*$J$24*EXP(-(($L$24*($B144-$M$24))^$K$24))+($G$25+$H$25*'Advanced Outputs'!C$60^$I$25)*$J$25*EXP(-(($L$25*($B144-$M$25))^$K$25))+$G$26))</f>
        <v>0.690018089031062</v>
      </c>
      <c r="E144" s="21">
        <f t="shared" si="1"/>
        <v>0.759937264113213</v>
      </c>
      <c r="F144" s="12"/>
      <c r="G144" s="9"/>
      <c r="H144" s="9"/>
      <c r="I144" s="9"/>
      <c r="J144" s="9"/>
      <c r="K144" s="9"/>
      <c r="L144" s="9"/>
      <c r="M144" s="9"/>
    </row>
    <row r="145" hidden="1" spans="1:13">
      <c r="A145" s="4"/>
      <c r="B145" s="4">
        <v>504</v>
      </c>
      <c r="C145" s="21">
        <f>10^(-(($G$21+$H$21*'Advanced Outputs'!C$61^$I$21)*(($B145/$M$21)^-$K$21)+($G$22+$H$22*'Advanced Outputs'!C$61^$I$22)*$J$22*EXP(-(($L$22*($B145-$M$22))^$K$22))+($G$23+$H$23*'Advanced Outputs'!C$61^$I$23)*$J$23*EXP(-(($L$23*($B145-$M$23))^$K$23))+($G$24+$H$24*'Advanced Outputs'!C$61^$I$24)*$J$24*EXP(-(($L$24*($B145-$M$24))^$K$24))+($G$25+$H$25*'Advanced Outputs'!C$61^$I$25)*$J$25*EXP(-(($L$25*($B145-$M$25))^$K$25))+$G$26))</f>
        <v>0.528406358158543</v>
      </c>
      <c r="D145" s="21">
        <f>10^(-(($G$21+$H$21*'Advanced Outputs'!C$60^$I$21)*(($B145/$M$21)^-$K$21)+($G$22+$H$22*'Advanced Outputs'!C$60^$I$22)*$J$22*EXP(-(($L$22*($B145-$M$22))^$K$22))+($G$23+$H$23*'Advanced Outputs'!C$60^$I$23)*$J$23*EXP(-(($L$23*($B145-$M$23))^$K$23))+($G$24+$H$24*'Advanced Outputs'!C$60^$I$24)*$J$24*EXP(-(($L$24*($B145-$M$24))^$K$24))+($G$25+$H$25*'Advanced Outputs'!C$60^$I$25)*$J$25*EXP(-(($L$25*($B145-$M$25))^$K$25))+$G$26))</f>
        <v>0.691956620511417</v>
      </c>
      <c r="E145" s="21">
        <f t="shared" si="1"/>
        <v>0.763640873568062</v>
      </c>
      <c r="F145" s="12"/>
      <c r="G145" s="9"/>
      <c r="H145" s="9"/>
      <c r="I145" s="9"/>
      <c r="J145" s="9"/>
      <c r="K145" s="9"/>
      <c r="L145" s="9"/>
      <c r="M145" s="9"/>
    </row>
    <row r="146" hidden="1" spans="1:13">
      <c r="A146" s="4"/>
      <c r="B146" s="4">
        <v>505</v>
      </c>
      <c r="C146" s="21">
        <f>10^(-(($G$21+$H$21*'Advanced Outputs'!C$61^$I$21)*(($B146/$M$21)^-$K$21)+($G$22+$H$22*'Advanced Outputs'!C$61^$I$22)*$J$22*EXP(-(($L$22*($B146-$M$22))^$K$22))+($G$23+$H$23*'Advanced Outputs'!C$61^$I$23)*$J$23*EXP(-(($L$23*($B146-$M$23))^$K$23))+($G$24+$H$24*'Advanced Outputs'!C$61^$I$24)*$J$24*EXP(-(($L$24*($B146-$M$24))^$K$24))+($G$25+$H$25*'Advanced Outputs'!C$61^$I$25)*$J$25*EXP(-(($L$25*($B146-$M$25))^$K$25))+$G$26))</f>
        <v>0.532410948289033</v>
      </c>
      <c r="D146" s="21">
        <f>10^(-(($G$21+$H$21*'Advanced Outputs'!C$60^$I$21)*(($B146/$M$21)^-$K$21)+($G$22+$H$22*'Advanced Outputs'!C$60^$I$22)*$J$22*EXP(-(($L$22*($B146-$M$22))^$K$22))+($G$23+$H$23*'Advanced Outputs'!C$60^$I$23)*$J$23*EXP(-(($L$23*($B146-$M$23))^$K$23))+($G$24+$H$24*'Advanced Outputs'!C$60^$I$24)*$J$24*EXP(-(($L$24*($B146-$M$24))^$K$24))+($G$25+$H$25*'Advanced Outputs'!C$60^$I$25)*$J$25*EXP(-(($L$25*($B146-$M$25))^$K$25))+$G$26))</f>
        <v>0.693873758937352</v>
      </c>
      <c r="E146" s="21">
        <f t="shared" si="1"/>
        <v>0.767302324711639</v>
      </c>
      <c r="F146" s="12"/>
      <c r="G146" s="9"/>
      <c r="H146" s="9"/>
      <c r="I146" s="9"/>
      <c r="J146" s="9"/>
      <c r="K146" s="9"/>
      <c r="L146" s="9"/>
      <c r="M146" s="9"/>
    </row>
    <row r="147" hidden="1" spans="1:13">
      <c r="A147" s="4"/>
      <c r="B147" s="4">
        <v>506</v>
      </c>
      <c r="C147" s="21">
        <f>10^(-(($G$21+$H$21*'Advanced Outputs'!C$61^$I$21)*(($B147/$M$21)^-$K$21)+($G$22+$H$22*'Advanced Outputs'!C$61^$I$22)*$J$22*EXP(-(($L$22*($B147-$M$22))^$K$22))+($G$23+$H$23*'Advanced Outputs'!C$61^$I$23)*$J$23*EXP(-(($L$23*($B147-$M$23))^$K$23))+($G$24+$H$24*'Advanced Outputs'!C$61^$I$24)*$J$24*EXP(-(($L$24*($B147-$M$24))^$K$24))+($G$25+$H$25*'Advanced Outputs'!C$61^$I$25)*$J$25*EXP(-(($L$25*($B147-$M$25))^$K$25))+$G$26))</f>
        <v>0.536383639597016</v>
      </c>
      <c r="D147" s="21">
        <f>10^(-(($G$21+$H$21*'Advanced Outputs'!C$60^$I$21)*(($B147/$M$21)^-$K$21)+($G$22+$H$22*'Advanced Outputs'!C$60^$I$22)*$J$22*EXP(-(($L$22*($B147-$M$22))^$K$22))+($G$23+$H$23*'Advanced Outputs'!C$60^$I$23)*$J$23*EXP(-(($L$23*($B147-$M$23))^$K$23))+($G$24+$H$24*'Advanced Outputs'!C$60^$I$24)*$J$24*EXP(-(($L$24*($B147-$M$24))^$K$24))+($G$25+$H$25*'Advanced Outputs'!C$60^$I$25)*$J$25*EXP(-(($L$25*($B147-$M$25))^$K$25))+$G$26))</f>
        <v>0.695769569843506</v>
      </c>
      <c r="E147" s="21">
        <f t="shared" si="1"/>
        <v>0.770921383810535</v>
      </c>
      <c r="F147" s="12"/>
      <c r="G147" s="9"/>
      <c r="H147" s="9"/>
      <c r="I147" s="9"/>
      <c r="J147" s="9"/>
      <c r="K147" s="9"/>
      <c r="L147" s="9"/>
      <c r="M147" s="9"/>
    </row>
    <row r="148" hidden="1" spans="1:13">
      <c r="A148" s="4"/>
      <c r="B148" s="4">
        <v>507</v>
      </c>
      <c r="C148" s="21">
        <f>10^(-(($G$21+$H$21*'Advanced Outputs'!C$61^$I$21)*(($B148/$M$21)^-$K$21)+($G$22+$H$22*'Advanced Outputs'!C$61^$I$22)*$J$22*EXP(-(($L$22*($B148-$M$22))^$K$22))+($G$23+$H$23*'Advanced Outputs'!C$61^$I$23)*$J$23*EXP(-(($L$23*($B148-$M$23))^$K$23))+($G$24+$H$24*'Advanced Outputs'!C$61^$I$24)*$J$24*EXP(-(($L$24*($B148-$M$24))^$K$24))+($G$25+$H$25*'Advanced Outputs'!C$61^$I$25)*$J$25*EXP(-(($L$25*($B148-$M$25))^$K$25))+$G$26))</f>
        <v>0.540323865555885</v>
      </c>
      <c r="D148" s="21">
        <f>10^(-(($G$21+$H$21*'Advanced Outputs'!C$60^$I$21)*(($B148/$M$21)^-$K$21)+($G$22+$H$22*'Advanced Outputs'!C$60^$I$22)*$J$22*EXP(-(($L$22*($B148-$M$22))^$K$22))+($G$23+$H$23*'Advanced Outputs'!C$60^$I$23)*$J$23*EXP(-(($L$23*($B148-$M$23))^$K$23))+($G$24+$H$24*'Advanced Outputs'!C$60^$I$24)*$J$24*EXP(-(($L$24*($B148-$M$24))^$K$24))+($G$25+$H$25*'Advanced Outputs'!C$60^$I$25)*$J$25*EXP(-(($L$25*($B148-$M$25))^$K$25))+$G$26))</f>
        <v>0.697644122399362</v>
      </c>
      <c r="E148" s="21">
        <f t="shared" si="1"/>
        <v>0.774497839525378</v>
      </c>
      <c r="F148" s="12"/>
      <c r="G148" s="9"/>
      <c r="H148" s="9"/>
      <c r="I148" s="9"/>
      <c r="J148" s="9"/>
      <c r="K148" s="9"/>
      <c r="L148" s="9"/>
      <c r="M148" s="9"/>
    </row>
    <row r="149" hidden="1" spans="1:13">
      <c r="A149" s="4"/>
      <c r="B149" s="4">
        <v>508</v>
      </c>
      <c r="C149" s="21">
        <f>10^(-(($G$21+$H$21*'Advanced Outputs'!C$61^$I$21)*(($B149/$M$21)^-$K$21)+($G$22+$H$22*'Advanced Outputs'!C$61^$I$22)*$J$22*EXP(-(($L$22*($B149-$M$22))^$K$22))+($G$23+$H$23*'Advanced Outputs'!C$61^$I$23)*$J$23*EXP(-(($L$23*($B149-$M$23))^$K$23))+($G$24+$H$24*'Advanced Outputs'!C$61^$I$24)*$J$24*EXP(-(($L$24*($B149-$M$24))^$K$24))+($G$25+$H$25*'Advanced Outputs'!C$61^$I$25)*$J$25*EXP(-(($L$25*($B149-$M$25))^$K$25))+$G$26))</f>
        <v>0.544231083241268</v>
      </c>
      <c r="D149" s="21">
        <f>10^(-(($G$21+$H$21*'Advanced Outputs'!C$60^$I$21)*(($B149/$M$21)^-$K$21)+($G$22+$H$22*'Advanced Outputs'!C$60^$I$22)*$J$22*EXP(-(($L$22*($B149-$M$22))^$K$22))+($G$23+$H$23*'Advanced Outputs'!C$60^$I$23)*$J$23*EXP(-(($L$23*($B149-$M$23))^$K$23))+($G$24+$H$24*'Advanced Outputs'!C$60^$I$24)*$J$24*EXP(-(($L$24*($B149-$M$24))^$K$24))+($G$25+$H$25*'Advanced Outputs'!C$60^$I$25)*$J$25*EXP(-(($L$25*($B149-$M$25))^$K$25))+$G$26))</f>
        <v>0.699497489690879</v>
      </c>
      <c r="E149" s="21">
        <f t="shared" ref="E149:E212" si="2">C149/D149</f>
        <v>0.778031502989058</v>
      </c>
      <c r="F149" s="12"/>
      <c r="G149" s="9"/>
      <c r="H149" s="9"/>
      <c r="I149" s="9"/>
      <c r="J149" s="9"/>
      <c r="K149" s="9"/>
      <c r="L149" s="9"/>
      <c r="M149" s="9"/>
    </row>
    <row r="150" hidden="1" spans="1:13">
      <c r="A150" s="4"/>
      <c r="B150" s="4">
        <v>509</v>
      </c>
      <c r="C150" s="21">
        <f>10^(-(($G$21+$H$21*'Advanced Outputs'!C$61^$I$21)*(($B150/$M$21)^-$K$21)+($G$22+$H$22*'Advanced Outputs'!C$61^$I$22)*$J$22*EXP(-(($L$22*($B150-$M$22))^$K$22))+($G$23+$H$23*'Advanced Outputs'!C$61^$I$23)*$J$23*EXP(-(($L$23*($B150-$M$23))^$K$23))+($G$24+$H$24*'Advanced Outputs'!C$61^$I$24)*$J$24*EXP(-(($L$24*($B150-$M$24))^$K$24))+($G$25+$H$25*'Advanced Outputs'!C$61^$I$25)*$J$25*EXP(-(($L$25*($B150-$M$25))^$K$25))+$G$26))</f>
        <v>0.548104773803879</v>
      </c>
      <c r="D150" s="21">
        <f>10^(-(($G$21+$H$21*'Advanced Outputs'!C$60^$I$21)*(($B150/$M$21)^-$K$21)+($G$22+$H$22*'Advanced Outputs'!C$60^$I$22)*$J$22*EXP(-(($L$22*($B150-$M$22))^$K$22))+($G$23+$H$23*'Advanced Outputs'!C$60^$I$23)*$J$23*EXP(-(($L$23*($B150-$M$23))^$K$23))+($G$24+$H$24*'Advanced Outputs'!C$60^$I$24)*$J$24*EXP(-(($L$24*($B150-$M$24))^$K$24))+($G$25+$H$25*'Advanced Outputs'!C$60^$I$25)*$J$25*EXP(-(($L$25*($B150-$M$25))^$K$25))+$G$26))</f>
        <v>0.701329748937299</v>
      </c>
      <c r="E150" s="21">
        <f t="shared" si="2"/>
        <v>0.781522207826494</v>
      </c>
      <c r="F150" s="12"/>
      <c r="G150" s="9"/>
      <c r="H150" s="9"/>
      <c r="I150" s="9"/>
      <c r="J150" s="9"/>
      <c r="K150" s="9"/>
      <c r="L150" s="9"/>
      <c r="M150" s="9"/>
    </row>
    <row r="151" hidden="1" spans="1:13">
      <c r="A151" s="4"/>
      <c r="B151" s="4">
        <v>510</v>
      </c>
      <c r="C151" s="21">
        <f>10^(-(($G$21+$H$21*'Advanced Outputs'!C$61^$I$21)*(($B151/$M$21)^-$K$21)+($G$22+$H$22*'Advanced Outputs'!C$61^$I$22)*$J$22*EXP(-(($L$22*($B151-$M$22))^$K$22))+($G$23+$H$23*'Advanced Outputs'!C$61^$I$23)*$J$23*EXP(-(($L$23*($B151-$M$23))^$K$23))+($G$24+$H$24*'Advanced Outputs'!C$61^$I$24)*$J$24*EXP(-(($L$24*($B151-$M$24))^$K$24))+($G$25+$H$25*'Advanced Outputs'!C$61^$I$25)*$J$25*EXP(-(($L$25*($B151-$M$25))^$K$25))+$G$26))</f>
        <v>0.551944442855048</v>
      </c>
      <c r="D151" s="21">
        <f>10^(-(($G$21+$H$21*'Advanced Outputs'!C$60^$I$21)*(($B151/$M$21)^-$K$21)+($G$22+$H$22*'Advanced Outputs'!C$60^$I$22)*$J$22*EXP(-(($L$22*($B151-$M$22))^$K$22))+($G$23+$H$23*'Advanced Outputs'!C$60^$I$23)*$J$23*EXP(-(($L$23*($B151-$M$23))^$K$23))+($G$24+$H$24*'Advanced Outputs'!C$60^$I$24)*$J$24*EXP(-(($L$24*($B151-$M$24))^$K$24))+($G$25+$H$25*'Advanced Outputs'!C$60^$I$25)*$J$25*EXP(-(($L$25*($B151-$M$25))^$K$25))+$G$26))</f>
        <v>0.703140981652135</v>
      </c>
      <c r="E151" s="21">
        <f t="shared" si="2"/>
        <v>0.784969810119973</v>
      </c>
      <c r="F151" s="12"/>
      <c r="G151" s="9"/>
      <c r="H151" s="9"/>
      <c r="I151" s="9"/>
      <c r="J151" s="9"/>
      <c r="K151" s="9"/>
      <c r="L151" s="9"/>
      <c r="M151" s="9"/>
    </row>
    <row r="152" hidden="1" spans="1:13">
      <c r="A152" s="4"/>
      <c r="B152" s="4">
        <v>511</v>
      </c>
      <c r="C152" s="21">
        <f>10^(-(($G$21+$H$21*'Advanced Outputs'!C$61^$I$21)*(($B152/$M$21)^-$K$21)+($G$22+$H$22*'Advanced Outputs'!C$61^$I$22)*$J$22*EXP(-(($L$22*($B152-$M$22))^$K$22))+($G$23+$H$23*'Advanced Outputs'!C$61^$I$23)*$J$23*EXP(-(($L$23*($B152-$M$23))^$K$23))+($G$24+$H$24*'Advanced Outputs'!C$61^$I$24)*$J$24*EXP(-(($L$24*($B152-$M$24))^$K$24))+($G$25+$H$25*'Advanced Outputs'!C$61^$I$25)*$J$25*EXP(-(($L$25*($B152-$M$25))^$K$25))+$G$26))</f>
        <v>0.5557496207716</v>
      </c>
      <c r="D152" s="21">
        <f>10^(-(($G$21+$H$21*'Advanced Outputs'!C$60^$I$21)*(($B152/$M$21)^-$K$21)+($G$22+$H$22*'Advanced Outputs'!C$60^$I$22)*$J$22*EXP(-(($L$22*($B152-$M$22))^$K$22))+($G$23+$H$23*'Advanced Outputs'!C$60^$I$23)*$J$23*EXP(-(($L$23*($B152-$M$23))^$K$23))+($G$24+$H$24*'Advanced Outputs'!C$60^$I$24)*$J$24*EXP(-(($L$24*($B152-$M$24))^$K$24))+($G$25+$H$25*'Advanced Outputs'!C$60^$I$25)*$J$25*EXP(-(($L$25*($B152-$M$25))^$K$25))+$G$26))</f>
        <v>0.704931273756129</v>
      </c>
      <c r="E152" s="21">
        <f t="shared" si="2"/>
        <v>0.788374188323871</v>
      </c>
      <c r="F152" s="12"/>
      <c r="G152" s="9"/>
      <c r="H152" s="9"/>
      <c r="I152" s="9"/>
      <c r="J152" s="9"/>
      <c r="K152" s="9"/>
      <c r="L152" s="9"/>
      <c r="M152" s="9"/>
    </row>
    <row r="153" hidden="1" spans="1:13">
      <c r="A153" s="4"/>
      <c r="B153" s="4">
        <v>512</v>
      </c>
      <c r="C153" s="21">
        <f>10^(-(($G$21+$H$21*'Advanced Outputs'!C$61^$I$21)*(($B153/$M$21)^-$K$21)+($G$22+$H$22*'Advanced Outputs'!C$61^$I$22)*$J$22*EXP(-(($L$22*($B153-$M$22))^$K$22))+($G$23+$H$23*'Advanced Outputs'!C$61^$I$23)*$J$23*EXP(-(($L$23*($B153-$M$23))^$K$23))+($G$24+$H$24*'Advanced Outputs'!C$61^$I$24)*$J$24*EXP(-(($L$24*($B153-$M$24))^$K$24))+($G$25+$H$25*'Advanced Outputs'!C$61^$I$25)*$J$25*EXP(-(($L$25*($B153-$M$25))^$K$25))+$G$26))</f>
        <v>0.559519862926192</v>
      </c>
      <c r="D153" s="21">
        <f>10^(-(($G$21+$H$21*'Advanced Outputs'!C$60^$I$21)*(($B153/$M$21)^-$K$21)+($G$22+$H$22*'Advanced Outputs'!C$60^$I$22)*$J$22*EXP(-(($L$22*($B153-$M$22))^$K$22))+($G$23+$H$23*'Advanced Outputs'!C$60^$I$23)*$J$23*EXP(-(($L$23*($B153-$M$23))^$K$23))+($G$24+$H$24*'Advanced Outputs'!C$60^$I$24)*$J$24*EXP(-(($L$24*($B153-$M$24))^$K$24))+($G$25+$H$25*'Advanced Outputs'!C$60^$I$25)*$J$25*EXP(-(($L$25*($B153-$M$25))^$K$25))+$G$26))</f>
        <v>0.70670071564898</v>
      </c>
      <c r="E153" s="21">
        <f t="shared" si="2"/>
        <v>0.791735243132409</v>
      </c>
      <c r="F153" s="12"/>
      <c r="G153" s="9"/>
      <c r="H153" s="9"/>
      <c r="I153" s="9"/>
      <c r="J153" s="9"/>
      <c r="K153" s="9"/>
      <c r="L153" s="9"/>
      <c r="M153" s="9"/>
    </row>
    <row r="154" hidden="1" spans="1:13">
      <c r="A154" s="4"/>
      <c r="B154" s="4">
        <v>513</v>
      </c>
      <c r="C154" s="21">
        <f>10^(-(($G$21+$H$21*'Advanced Outputs'!C$61^$I$21)*(($B154/$M$21)^-$K$21)+($G$22+$H$22*'Advanced Outputs'!C$61^$I$22)*$J$22*EXP(-(($L$22*($B154-$M$22))^$K$22))+($G$23+$H$23*'Advanced Outputs'!C$61^$I$23)*$J$23*EXP(-(($L$23*($B154-$M$23))^$K$23))+($G$24+$H$24*'Advanced Outputs'!C$61^$I$24)*$J$24*EXP(-(($L$24*($B154-$M$24))^$K$24))+($G$25+$H$25*'Advanced Outputs'!C$61^$I$25)*$J$25*EXP(-(($L$25*($B154-$M$25))^$K$25))+$G$26))</f>
        <v>0.563254749848708</v>
      </c>
      <c r="D154" s="21">
        <f>10^(-(($G$21+$H$21*'Advanced Outputs'!C$60^$I$21)*(($B154/$M$21)^-$K$21)+($G$22+$H$22*'Advanced Outputs'!C$60^$I$22)*$J$22*EXP(-(($L$22*($B154-$M$22))^$K$22))+($G$23+$H$23*'Advanced Outputs'!C$60^$I$23)*$J$23*EXP(-(($L$23*($B154-$M$23))^$K$23))+($G$24+$H$24*'Advanced Outputs'!C$60^$I$24)*$J$24*EXP(-(($L$24*($B154-$M$24))^$K$24))+($G$25+$H$25*'Advanced Outputs'!C$60^$I$25)*$J$25*EXP(-(($L$25*($B154-$M$25))^$K$25))+$G$26))</f>
        <v>0.708449402245733</v>
      </c>
      <c r="E154" s="21">
        <f t="shared" si="2"/>
        <v>0.795052897303931</v>
      </c>
      <c r="F154" s="12"/>
      <c r="G154" s="9"/>
      <c r="H154" s="9"/>
      <c r="I154" s="9"/>
      <c r="J154" s="9"/>
      <c r="K154" s="9"/>
      <c r="L154" s="9"/>
      <c r="M154" s="9"/>
    </row>
    <row r="155" hidden="1" spans="1:13">
      <c r="A155" s="4"/>
      <c r="B155" s="4">
        <v>514</v>
      </c>
      <c r="C155" s="21">
        <f>10^(-(($G$21+$H$21*'Advanced Outputs'!C$61^$I$21)*(($B155/$M$21)^-$K$21)+($G$22+$H$22*'Advanced Outputs'!C$61^$I$22)*$J$22*EXP(-(($L$22*($B155-$M$22))^$K$22))+($G$23+$H$23*'Advanced Outputs'!C$61^$I$23)*$J$23*EXP(-(($L$23*($B155-$M$23))^$K$23))+($G$24+$H$24*'Advanced Outputs'!C$61^$I$24)*$J$24*EXP(-(($L$24*($B155-$M$24))^$K$24))+($G$25+$H$25*'Advanced Outputs'!C$61^$I$25)*$J$25*EXP(-(($L$25*($B155-$M$25))^$K$25))+$G$26))</f>
        <v>0.566953887323833</v>
      </c>
      <c r="D155" s="21">
        <f>10^(-(($G$21+$H$21*'Advanced Outputs'!C$60^$I$21)*(($B155/$M$21)^-$K$21)+($G$22+$H$22*'Advanced Outputs'!C$60^$I$22)*$J$22*EXP(-(($L$22*($B155-$M$22))^$K$22))+($G$23+$H$23*'Advanced Outputs'!C$60^$I$23)*$J$23*EXP(-(($L$23*($B155-$M$23))^$K$23))+($G$24+$H$24*'Advanced Outputs'!C$60^$I$24)*$J$24*EXP(-(($L$24*($B155-$M$24))^$K$24))+($G$25+$H$25*'Advanced Outputs'!C$60^$I$25)*$J$25*EXP(-(($L$25*($B155-$M$25))^$K$25))+$G$26))</f>
        <v>0.710177432982903</v>
      </c>
      <c r="E155" s="21">
        <f t="shared" si="2"/>
        <v>0.798327095445009</v>
      </c>
      <c r="F155" s="12"/>
      <c r="G155" s="9"/>
      <c r="H155" s="9"/>
      <c r="I155" s="9"/>
      <c r="J155" s="9"/>
      <c r="K155" s="9"/>
      <c r="L155" s="9"/>
      <c r="M155" s="9"/>
    </row>
    <row r="156" hidden="1" spans="1:13">
      <c r="A156" s="4"/>
      <c r="B156" s="4">
        <v>515</v>
      </c>
      <c r="C156" s="21">
        <f>10^(-(($G$21+$H$21*'Advanced Outputs'!C$61^$I$21)*(($B156/$M$21)^-$K$21)+($G$22+$H$22*'Advanced Outputs'!C$61^$I$22)*$J$22*EXP(-(($L$22*($B156-$M$22))^$K$22))+($G$23+$H$23*'Advanced Outputs'!C$61^$I$23)*$J$23*EXP(-(($L$23*($B156-$M$23))^$K$23))+($G$24+$H$24*'Advanced Outputs'!C$61^$I$24)*$J$24*EXP(-(($L$24*($B156-$M$24))^$K$24))+($G$25+$H$25*'Advanced Outputs'!C$61^$I$25)*$J$25*EXP(-(($L$25*($B156-$M$25))^$K$25))+$G$26))</f>
        <v>0.570616906429532</v>
      </c>
      <c r="D156" s="21">
        <f>10^(-(($G$21+$H$21*'Advanced Outputs'!C$60^$I$21)*(($B156/$M$21)^-$K$21)+($G$22+$H$22*'Advanced Outputs'!C$60^$I$22)*$J$22*EXP(-(($L$22*($B156-$M$22))^$K$22))+($G$23+$H$23*'Advanced Outputs'!C$60^$I$23)*$J$23*EXP(-(($L$23*($B156-$M$23))^$K$23))+($G$24+$H$24*'Advanced Outputs'!C$60^$I$24)*$J$24*EXP(-(($L$24*($B156-$M$24))^$K$24))+($G$25+$H$25*'Advanced Outputs'!C$60^$I$25)*$J$25*EXP(-(($L$25*($B156-$M$25))^$K$25))+$G$26))</f>
        <v>0.711884911798767</v>
      </c>
      <c r="E156" s="21">
        <f t="shared" si="2"/>
        <v>0.801557803757515</v>
      </c>
      <c r="F156" s="12"/>
      <c r="G156" s="9"/>
      <c r="H156" s="9"/>
      <c r="I156" s="9"/>
      <c r="J156" s="9"/>
      <c r="K156" s="9"/>
      <c r="L156" s="9"/>
      <c r="M156" s="9"/>
    </row>
    <row r="157" hidden="1" spans="1:13">
      <c r="A157" s="4"/>
      <c r="B157" s="4">
        <v>516</v>
      </c>
      <c r="C157" s="21">
        <f>10^(-(($G$21+$H$21*'Advanced Outputs'!C$61^$I$21)*(($B157/$M$21)^-$K$21)+($G$22+$H$22*'Advanced Outputs'!C$61^$I$22)*$J$22*EXP(-(($L$22*($B157-$M$22))^$K$22))+($G$23+$H$23*'Advanced Outputs'!C$61^$I$23)*$J$23*EXP(-(($L$23*($B157-$M$23))^$K$23))+($G$24+$H$24*'Advanced Outputs'!C$61^$I$24)*$J$24*EXP(-(($L$24*($B157-$M$24))^$K$24))+($G$25+$H$25*'Advanced Outputs'!C$61^$I$25)*$J$25*EXP(-(($L$25*($B157-$M$25))^$K$25))+$G$26))</f>
        <v>0.574243463520758</v>
      </c>
      <c r="D157" s="21">
        <f>10^(-(($G$21+$H$21*'Advanced Outputs'!C$60^$I$21)*(($B157/$M$21)^-$K$21)+($G$22+$H$22*'Advanced Outputs'!C$60^$I$22)*$J$22*EXP(-(($L$22*($B157-$M$22))^$K$22))+($G$23+$H$23*'Advanced Outputs'!C$60^$I$23)*$J$23*EXP(-(($L$23*($B157-$M$23))^$K$23))+($G$24+$H$24*'Advanced Outputs'!C$60^$I$24)*$J$24*EXP(-(($L$24*($B157-$M$24))^$K$24))+($G$25+$H$25*'Advanced Outputs'!C$60^$I$25)*$J$25*EXP(-(($L$25*($B157-$M$25))^$K$25))+$G$26))</f>
        <v>0.71357194709163</v>
      </c>
      <c r="E157" s="21">
        <f t="shared" si="2"/>
        <v>0.804745009751651</v>
      </c>
      <c r="F157" s="12"/>
      <c r="G157" s="9"/>
      <c r="H157" s="9"/>
      <c r="I157" s="9"/>
      <c r="J157" s="9"/>
      <c r="K157" s="9"/>
      <c r="L157" s="9"/>
      <c r="M157" s="9"/>
    </row>
    <row r="158" hidden="1" spans="1:13">
      <c r="A158" s="4"/>
      <c r="B158" s="4">
        <v>517</v>
      </c>
      <c r="C158" s="21">
        <f>10^(-(($G$21+$H$21*'Advanced Outputs'!C$61^$I$21)*(($B158/$M$21)^-$K$21)+($G$22+$H$22*'Advanced Outputs'!C$61^$I$22)*$J$22*EXP(-(($L$22*($B158-$M$22))^$K$22))+($G$23+$H$23*'Advanced Outputs'!C$61^$I$23)*$J$23*EXP(-(($L$23*($B158-$M$23))^$K$23))+($G$24+$H$24*'Advanced Outputs'!C$61^$I$24)*$J$24*EXP(-(($L$24*($B158-$M$24))^$K$24))+($G$25+$H$25*'Advanced Outputs'!C$61^$I$25)*$J$25*EXP(-(($L$25*($B158-$M$25))^$K$25))+$G$26))</f>
        <v>0.577833240162411</v>
      </c>
      <c r="D158" s="21">
        <f>10^(-(($G$21+$H$21*'Advanced Outputs'!C$60^$I$21)*(($B158/$M$21)^-$K$21)+($G$22+$H$22*'Advanced Outputs'!C$60^$I$22)*$J$22*EXP(-(($L$22*($B158-$M$22))^$K$22))+($G$23+$H$23*'Advanced Outputs'!C$60^$I$23)*$J$23*EXP(-(($L$23*($B158-$M$23))^$K$23))+($G$24+$H$24*'Advanced Outputs'!C$60^$I$24)*$J$24*EXP(-(($L$24*($B158-$M$24))^$K$24))+($G$25+$H$25*'Advanced Outputs'!C$60^$I$25)*$J$25*EXP(-(($L$25*($B158-$M$25))^$K$25))+$G$26))</f>
        <v>0.71523865165936</v>
      </c>
      <c r="E158" s="21">
        <f t="shared" si="2"/>
        <v>0.807888721927755</v>
      </c>
      <c r="F158" s="12"/>
      <c r="G158" s="9"/>
      <c r="H158" s="9"/>
      <c r="I158" s="9"/>
      <c r="J158" s="9"/>
      <c r="K158" s="9"/>
      <c r="L158" s="9"/>
      <c r="M158" s="9"/>
    </row>
    <row r="159" hidden="1" spans="1:13">
      <c r="A159" s="4"/>
      <c r="B159" s="4">
        <v>518</v>
      </c>
      <c r="C159" s="21">
        <f>10^(-(($G$21+$H$21*'Advanced Outputs'!C$61^$I$21)*(($B159/$M$21)^-$K$21)+($G$22+$H$22*'Advanced Outputs'!C$61^$I$22)*$J$22*EXP(-(($L$22*($B159-$M$22))^$K$22))+($G$23+$H$23*'Advanced Outputs'!C$61^$I$23)*$J$23*EXP(-(($L$23*($B159-$M$23))^$K$23))+($G$24+$H$24*'Advanced Outputs'!C$61^$I$24)*$J$24*EXP(-(($L$24*($B159-$M$24))^$K$24))+($G$25+$H$25*'Advanced Outputs'!C$61^$I$25)*$J$25*EXP(-(($L$25*($B159-$M$25))^$K$25))+$G$26))</f>
        <v>0.581385943015236</v>
      </c>
      <c r="D159" s="21">
        <f>10^(-(($G$21+$H$21*'Advanced Outputs'!C$60^$I$21)*(($B159/$M$21)^-$K$21)+($G$22+$H$22*'Advanced Outputs'!C$60^$I$22)*$J$22*EXP(-(($L$22*($B159-$M$22))^$K$22))+($G$23+$H$23*'Advanced Outputs'!C$60^$I$23)*$J$23*EXP(-(($L$23*($B159-$M$23))^$K$23))+($G$24+$H$24*'Advanced Outputs'!C$60^$I$24)*$J$24*EXP(-(($L$24*($B159-$M$24))^$K$24))+($G$25+$H$25*'Advanced Outputs'!C$60^$I$25)*$J$25*EXP(-(($L$25*($B159-$M$25))^$K$25))+$G$26))</f>
        <v>0.716885142623055</v>
      </c>
      <c r="E159" s="21">
        <f t="shared" si="2"/>
        <v>0.810988969429562</v>
      </c>
      <c r="F159" s="12"/>
      <c r="G159" s="9"/>
      <c r="H159" s="9"/>
      <c r="I159" s="9"/>
      <c r="J159" s="9"/>
      <c r="K159" s="9"/>
      <c r="L159" s="9"/>
      <c r="M159" s="9"/>
    </row>
    <row r="160" hidden="1" spans="1:13">
      <c r="A160" s="4"/>
      <c r="B160" s="4">
        <v>519</v>
      </c>
      <c r="C160" s="21">
        <f>10^(-(($G$21+$H$21*'Advanced Outputs'!C$61^$I$21)*(($B160/$M$21)^-$K$21)+($G$22+$H$22*'Advanced Outputs'!C$61^$I$22)*$J$22*EXP(-(($L$22*($B160-$M$22))^$K$22))+($G$23+$H$23*'Advanced Outputs'!C$61^$I$23)*$J$23*EXP(-(($L$23*($B160-$M$23))^$K$23))+($G$24+$H$24*'Advanced Outputs'!C$61^$I$24)*$J$24*EXP(-(($L$24*($B160-$M$24))^$K$24))+($G$25+$H$25*'Advanced Outputs'!C$61^$I$25)*$J$25*EXP(-(($L$25*($B160-$M$25))^$K$25))+$G$26))</f>
        <v>0.5849013036781</v>
      </c>
      <c r="D160" s="21">
        <f>10^(-(($G$21+$H$21*'Advanced Outputs'!C$60^$I$21)*(($B160/$M$21)^-$K$21)+($G$22+$H$22*'Advanced Outputs'!C$60^$I$22)*$J$22*EXP(-(($L$22*($B160-$M$22))^$K$22))+($G$23+$H$23*'Advanced Outputs'!C$60^$I$23)*$J$23*EXP(-(($L$23*($B160-$M$23))^$K$23))+($G$24+$H$24*'Advanced Outputs'!C$60^$I$24)*$J$24*EXP(-(($L$24*($B160-$M$24))^$K$24))+($G$25+$H$25*'Advanced Outputs'!C$60^$I$25)*$J$25*EXP(-(($L$25*($B160-$M$25))^$K$25))+$G$26))</f>
        <v>0.718511541337292</v>
      </c>
      <c r="E160" s="21">
        <f t="shared" si="2"/>
        <v>0.814045801671443</v>
      </c>
      <c r="F160" s="12"/>
      <c r="G160" s="9"/>
      <c r="H160" s="9"/>
      <c r="I160" s="9"/>
      <c r="J160" s="9"/>
      <c r="K160" s="9"/>
      <c r="L160" s="9"/>
      <c r="M160" s="9"/>
    </row>
    <row r="161" hidden="1" spans="1:13">
      <c r="A161" s="4"/>
      <c r="B161" s="4">
        <v>520</v>
      </c>
      <c r="C161" s="21">
        <f>10^(-(($G$21+$H$21*'Advanced Outputs'!C$61^$I$21)*(($B161/$M$21)^-$K$21)+($G$22+$H$22*'Advanced Outputs'!C$61^$I$22)*$J$22*EXP(-(($L$22*($B161-$M$22))^$K$22))+($G$23+$H$23*'Advanced Outputs'!C$61^$I$23)*$J$23*EXP(-(($L$23*($B161-$M$23))^$K$23))+($G$24+$H$24*'Advanced Outputs'!C$61^$I$24)*$J$24*EXP(-(($L$24*($B161-$M$24))^$K$24))+($G$25+$H$25*'Advanced Outputs'!C$61^$I$25)*$J$25*EXP(-(($L$25*($B161-$M$25))^$K$25))+$G$26))</f>
        <v>0.588379078489847</v>
      </c>
      <c r="D161" s="21">
        <f>10^(-(($G$21+$H$21*'Advanced Outputs'!C$60^$I$21)*(($B161/$M$21)^-$K$21)+($G$22+$H$22*'Advanced Outputs'!C$60^$I$22)*$J$22*EXP(-(($L$22*($B161-$M$22))^$K$22))+($G$23+$H$23*'Advanced Outputs'!C$60^$I$23)*$J$23*EXP(-(($L$23*($B161-$M$23))^$K$23))+($G$24+$H$24*'Advanced Outputs'!C$60^$I$24)*$J$24*EXP(-(($L$24*($B161-$M$24))^$K$24))+($G$25+$H$25*'Advanced Outputs'!C$60^$I$25)*$J$25*EXP(-(($L$25*($B161-$M$25))^$K$25))+$G$26))</f>
        <v>0.720117973289095</v>
      </c>
      <c r="E161" s="21">
        <f t="shared" si="2"/>
        <v>0.817059287942032</v>
      </c>
      <c r="F161" s="12"/>
      <c r="G161" s="9"/>
      <c r="H161" s="9"/>
      <c r="I161" s="9"/>
      <c r="J161" s="9"/>
      <c r="K161" s="9"/>
      <c r="L161" s="9"/>
      <c r="M161" s="9"/>
    </row>
    <row r="162" hidden="1" spans="1:13">
      <c r="A162" s="4"/>
      <c r="B162" s="4">
        <v>521</v>
      </c>
      <c r="C162" s="21">
        <f>10^(-(($G$21+$H$21*'Advanced Outputs'!C$61^$I$21)*(($B162/$M$21)^-$K$21)+($G$22+$H$22*'Advanced Outputs'!C$61^$I$22)*$J$22*EXP(-(($L$22*($B162-$M$22))^$K$22))+($G$23+$H$23*'Advanced Outputs'!C$61^$I$23)*$J$23*EXP(-(($L$23*($B162-$M$23))^$K$23))+($G$24+$H$24*'Advanced Outputs'!C$61^$I$24)*$J$24*EXP(-(($L$24*($B162-$M$24))^$K$24))+($G$25+$H$25*'Advanced Outputs'!C$61^$I$25)*$J$25*EXP(-(($L$25*($B162-$M$25))^$K$25))+$G$26))</f>
        <v>0.591819048293689</v>
      </c>
      <c r="D162" s="21">
        <f>10^(-(($G$21+$H$21*'Advanced Outputs'!C$60^$I$21)*(($B162/$M$21)^-$K$21)+($G$22+$H$22*'Advanced Outputs'!C$60^$I$22)*$J$22*EXP(-(($L$22*($B162-$M$22))^$K$22))+($G$23+$H$23*'Advanced Outputs'!C$60^$I$23)*$J$23*EXP(-(($L$23*($B162-$M$23))^$K$23))+($G$24+$H$24*'Advanced Outputs'!C$60^$I$24)*$J$24*EXP(-(($L$24*($B162-$M$24))^$K$24))+($G$25+$H$25*'Advanced Outputs'!C$60^$I$25)*$J$25*EXP(-(($L$25*($B162-$M$25))^$K$25))+$G$26))</f>
        <v>0.721704567987457</v>
      </c>
      <c r="E162" s="21">
        <f t="shared" si="2"/>
        <v>0.820029516986477</v>
      </c>
      <c r="F162" s="12"/>
      <c r="G162" s="9"/>
      <c r="H162" s="9"/>
      <c r="I162" s="9"/>
      <c r="J162" s="9"/>
      <c r="K162" s="9"/>
      <c r="L162" s="9"/>
      <c r="M162" s="9"/>
    </row>
    <row r="163" hidden="1" spans="1:13">
      <c r="A163" s="4"/>
      <c r="B163" s="4">
        <v>522</v>
      </c>
      <c r="C163" s="21">
        <f>10^(-(($G$21+$H$21*'Advanced Outputs'!C$61^$I$21)*(($B163/$M$21)^-$K$21)+($G$22+$H$22*'Advanced Outputs'!C$61^$I$22)*$J$22*EXP(-(($L$22*($B163-$M$22))^$K$22))+($G$23+$H$23*'Advanced Outputs'!C$61^$I$23)*$J$23*EXP(-(($L$23*($B163-$M$23))^$K$23))+($G$24+$H$24*'Advanced Outputs'!C$61^$I$24)*$J$24*EXP(-(($L$24*($B163-$M$24))^$K$24))+($G$25+$H$25*'Advanced Outputs'!C$61^$I$25)*$J$25*EXP(-(($L$25*($B163-$M$25))^$K$25))+$G$26))</f>
        <v>0.595221018166939</v>
      </c>
      <c r="D163" s="21">
        <f>10^(-(($G$21+$H$21*'Advanced Outputs'!C$60^$I$21)*(($B163/$M$21)^-$K$21)+($G$22+$H$22*'Advanced Outputs'!C$60^$I$22)*$J$22*EXP(-(($L$22*($B163-$M$22))^$K$22))+($G$23+$H$23*'Advanced Outputs'!C$60^$I$23)*$J$23*EXP(-(($L$23*($B163-$M$23))^$K$23))+($G$24+$H$24*'Advanced Outputs'!C$60^$I$24)*$J$24*EXP(-(($L$24*($B163-$M$24))^$K$24))+($G$25+$H$25*'Advanced Outputs'!C$60^$I$25)*$J$25*EXP(-(($L$25*($B163-$M$25))^$K$25))+$G$26))</f>
        <v>0.723271458845021</v>
      </c>
      <c r="E163" s="21">
        <f t="shared" si="2"/>
        <v>0.822956596569478</v>
      </c>
      <c r="F163" s="12"/>
      <c r="G163" s="9"/>
      <c r="H163" s="9"/>
      <c r="I163" s="9"/>
      <c r="J163" s="9"/>
      <c r="K163" s="9"/>
      <c r="L163" s="9"/>
      <c r="M163" s="9"/>
    </row>
    <row r="164" hidden="1" spans="1:13">
      <c r="A164" s="4"/>
      <c r="B164" s="4">
        <v>523</v>
      </c>
      <c r="C164" s="21">
        <f>10^(-(($G$21+$H$21*'Advanced Outputs'!C$61^$I$21)*(($B164/$M$21)^-$K$21)+($G$22+$H$22*'Advanced Outputs'!C$61^$I$22)*$J$22*EXP(-(($L$22*($B164-$M$22))^$K$22))+($G$23+$H$23*'Advanced Outputs'!C$61^$I$23)*$J$23*EXP(-(($L$23*($B164-$M$23))^$K$23))+($G$24+$H$24*'Advanced Outputs'!C$61^$I$24)*$J$24*EXP(-(($L$24*($B164-$M$24))^$K$24))+($G$25+$H$25*'Advanced Outputs'!C$61^$I$25)*$J$25*EXP(-(($L$25*($B164-$M$25))^$K$25))+$G$26))</f>
        <v>0.598584817118673</v>
      </c>
      <c r="D164" s="21">
        <f>10^(-(($G$21+$H$21*'Advanced Outputs'!C$60^$I$21)*(($B164/$M$21)^-$K$21)+($G$22+$H$22*'Advanced Outputs'!C$60^$I$22)*$J$22*EXP(-(($L$22*($B164-$M$22))^$K$22))+($G$23+$H$23*'Advanced Outputs'!C$60^$I$23)*$J$23*EXP(-(($L$23*($B164-$M$23))^$K$23))+($G$24+$H$24*'Advanced Outputs'!C$60^$I$24)*$J$24*EXP(-(($L$24*($B164-$M$24))^$K$24))+($G$25+$H$25*'Advanced Outputs'!C$60^$I$25)*$J$25*EXP(-(($L$25*($B164-$M$25))^$K$25))+$G$26))</f>
        <v>0.724818783053269</v>
      </c>
      <c r="E164" s="21">
        <f t="shared" si="2"/>
        <v>0.825840653021103</v>
      </c>
      <c r="F164" s="12"/>
      <c r="G164" s="9"/>
      <c r="H164" s="9"/>
      <c r="I164" s="9"/>
      <c r="J164" s="9"/>
      <c r="K164" s="9"/>
      <c r="L164" s="9"/>
      <c r="M164" s="9"/>
    </row>
    <row r="165" hidden="1" spans="1:13">
      <c r="A165" s="4"/>
      <c r="B165" s="4">
        <v>524</v>
      </c>
      <c r="C165" s="21">
        <f>10^(-(($G$21+$H$21*'Advanced Outputs'!C$61^$I$21)*(($B165/$M$21)^-$K$21)+($G$22+$H$22*'Advanced Outputs'!C$61^$I$22)*$J$22*EXP(-(($L$22*($B165-$M$22))^$K$22))+($G$23+$H$23*'Advanced Outputs'!C$61^$I$23)*$J$23*EXP(-(($L$23*($B165-$M$23))^$K$23))+($G$24+$H$24*'Advanced Outputs'!C$61^$I$24)*$J$24*EXP(-(($L$24*($B165-$M$24))^$K$24))+($G$25+$H$25*'Advanced Outputs'!C$61^$I$25)*$J$25*EXP(-(($L$25*($B165-$M$25))^$K$25))+$G$26))</f>
        <v>0.60191029775778</v>
      </c>
      <c r="D165" s="21">
        <f>10^(-(($G$21+$H$21*'Advanced Outputs'!C$60^$I$21)*(($B165/$M$21)^-$K$21)+($G$22+$H$22*'Advanced Outputs'!C$60^$I$22)*$J$22*EXP(-(($L$22*($B165-$M$22))^$K$22))+($G$23+$H$23*'Advanced Outputs'!C$60^$I$23)*$J$23*EXP(-(($L$23*($B165-$M$23))^$K$23))+($G$24+$H$24*'Advanced Outputs'!C$60^$I$24)*$J$24*EXP(-(($L$24*($B165-$M$24))^$K$24))+($G$25+$H$25*'Advanced Outputs'!C$60^$I$25)*$J$25*EXP(-(($L$25*($B165-$M$25))^$K$25))+$G$26))</f>
        <v>0.726346681452455</v>
      </c>
      <c r="E165" s="21">
        <f t="shared" si="2"/>
        <v>0.828681830767309</v>
      </c>
      <c r="F165" s="12"/>
      <c r="G165" s="9"/>
      <c r="H165" s="9"/>
      <c r="I165" s="9"/>
      <c r="J165" s="9"/>
      <c r="K165" s="9"/>
      <c r="L165" s="9"/>
      <c r="M165" s="9"/>
    </row>
    <row r="166" hidden="1" spans="1:13">
      <c r="A166" s="4"/>
      <c r="B166" s="4">
        <v>525</v>
      </c>
      <c r="C166" s="21">
        <f>10^(-(($G$21+$H$21*'Advanced Outputs'!C$61^$I$21)*(($B166/$M$21)^-$K$21)+($G$22+$H$22*'Advanced Outputs'!C$61^$I$22)*$J$22*EXP(-(($L$22*($B166-$M$22))^$K$22))+($G$23+$H$23*'Advanced Outputs'!C$61^$I$23)*$J$23*EXP(-(($L$23*($B166-$M$23))^$K$23))+($G$24+$H$24*'Advanced Outputs'!C$61^$I$24)*$J$24*EXP(-(($L$24*($B166-$M$24))^$K$24))+($G$25+$H$25*'Advanced Outputs'!C$61^$I$25)*$J$25*EXP(-(($L$25*($B166-$M$25))^$K$25))+$G$26))</f>
        <v>0.605197335933714</v>
      </c>
      <c r="D166" s="21">
        <f>10^(-(($G$21+$H$21*'Advanced Outputs'!C$60^$I$21)*(($B166/$M$21)^-$K$21)+($G$22+$H$22*'Advanced Outputs'!C$60^$I$22)*$J$22*EXP(-(($L$22*($B166-$M$22))^$K$22))+($G$23+$H$23*'Advanced Outputs'!C$60^$I$23)*$J$23*EXP(-(($L$23*($B166-$M$23))^$K$23))+($G$24+$H$24*'Advanced Outputs'!C$60^$I$24)*$J$24*EXP(-(($L$24*($B166-$M$24))^$K$24))+($G$25+$H$25*'Advanced Outputs'!C$60^$I$25)*$J$25*EXP(-(($L$25*($B166-$M$25))^$K$25))+$G$26))</f>
        <v>0.727855298397273</v>
      </c>
      <c r="E166" s="21">
        <f t="shared" si="2"/>
        <v>0.831480291846951</v>
      </c>
      <c r="F166" s="12"/>
      <c r="G166" s="9"/>
      <c r="H166" s="9"/>
      <c r="I166" s="9"/>
      <c r="J166" s="9"/>
      <c r="K166" s="9"/>
      <c r="L166" s="9"/>
      <c r="M166" s="9"/>
    </row>
    <row r="167" hidden="1" spans="1:13">
      <c r="A167" s="4"/>
      <c r="B167" s="4">
        <v>526</v>
      </c>
      <c r="C167" s="21">
        <f>10^(-(($G$21+$H$21*'Advanced Outputs'!C$61^$I$21)*(($B167/$M$21)^-$K$21)+($G$22+$H$22*'Advanced Outputs'!C$61^$I$22)*$J$22*EXP(-(($L$22*($B167-$M$22))^$K$22))+($G$23+$H$23*'Advanced Outputs'!C$61^$I$23)*$J$23*EXP(-(($L$23*($B167-$M$23))^$K$23))+($G$24+$H$24*'Advanced Outputs'!C$61^$I$24)*$J$24*EXP(-(($L$24*($B167-$M$24))^$K$24))+($G$25+$H$25*'Advanced Outputs'!C$61^$I$25)*$J$25*EXP(-(($L$25*($B167-$M$25))^$K$25))+$G$26))</f>
        <v>0.608445830352122</v>
      </c>
      <c r="D167" s="21">
        <f>10^(-(($G$21+$H$21*'Advanced Outputs'!C$60^$I$21)*(($B167/$M$21)^-$K$21)+($G$22+$H$22*'Advanced Outputs'!C$60^$I$22)*$J$22*EXP(-(($L$22*($B167-$M$22))^$K$22))+($G$23+$H$23*'Advanced Outputs'!C$60^$I$23)*$J$23*EXP(-(($L$23*($B167-$M$23))^$K$23))+($G$24+$H$24*'Advanced Outputs'!C$60^$I$24)*$J$24*EXP(-(($L$24*($B167-$M$24))^$K$24))+($G$25+$H$25*'Advanced Outputs'!C$60^$I$25)*$J$25*EXP(-(($L$25*($B167-$M$25))^$K$25))+$G$26))</f>
        <v>0.729344781619198</v>
      </c>
      <c r="E167" s="21">
        <f t="shared" si="2"/>
        <v>0.834236215416978</v>
      </c>
      <c r="F167" s="12"/>
      <c r="G167" s="9"/>
      <c r="H167" s="9"/>
      <c r="I167" s="9"/>
      <c r="J167" s="9"/>
      <c r="K167" s="9"/>
      <c r="L167" s="9"/>
      <c r="M167" s="9"/>
    </row>
    <row r="168" hidden="1" spans="1:13">
      <c r="A168" s="4"/>
      <c r="B168" s="4">
        <v>527</v>
      </c>
      <c r="C168" s="21">
        <f>10^(-(($G$21+$H$21*'Advanced Outputs'!C$61^$I$21)*(($B168/$M$21)^-$K$21)+($G$22+$H$22*'Advanced Outputs'!C$61^$I$22)*$J$22*EXP(-(($L$22*($B168-$M$22))^$K$22))+($G$23+$H$23*'Advanced Outputs'!C$61^$I$23)*$J$23*EXP(-(($L$23*($B168-$M$23))^$K$23))+($G$24+$H$24*'Advanced Outputs'!C$61^$I$24)*$J$24*EXP(-(($L$24*($B168-$M$24))^$K$24))+($G$25+$H$25*'Advanced Outputs'!C$61^$I$25)*$J$25*EXP(-(($L$25*($B168-$M$25))^$K$25))+$G$26))</f>
        <v>0.611655702167413</v>
      </c>
      <c r="D168" s="21">
        <f>10^(-(($G$21+$H$21*'Advanced Outputs'!C$60^$I$21)*(($B168/$M$21)^-$K$21)+($G$22+$H$22*'Advanced Outputs'!C$60^$I$22)*$J$22*EXP(-(($L$22*($B168-$M$22))^$K$22))+($G$23+$H$23*'Advanced Outputs'!C$60^$I$23)*$J$23*EXP(-(($L$23*($B168-$M$23))^$K$23))+($G$24+$H$24*'Advanced Outputs'!C$60^$I$24)*$J$24*EXP(-(($L$24*($B168-$M$24))^$K$24))+($G$25+$H$25*'Advanced Outputs'!C$60^$I$25)*$J$25*EXP(-(($L$25*($B168-$M$25))^$K$25))+$G$26))</f>
        <v>0.730815282086252</v>
      </c>
      <c r="E168" s="21">
        <f t="shared" si="2"/>
        <v>0.836949797247431</v>
      </c>
      <c r="F168" s="12"/>
      <c r="G168" s="9"/>
      <c r="H168" s="9"/>
      <c r="I168" s="9"/>
      <c r="J168" s="9"/>
      <c r="K168" s="9"/>
      <c r="L168" s="9"/>
      <c r="M168" s="9"/>
    </row>
    <row r="169" hidden="1" spans="1:13">
      <c r="A169" s="4"/>
      <c r="B169" s="4">
        <v>528</v>
      </c>
      <c r="C169" s="21">
        <f>10^(-(($G$21+$H$21*'Advanced Outputs'!C$61^$I$21)*(($B169/$M$21)^-$K$21)+($G$22+$H$22*'Advanced Outputs'!C$61^$I$22)*$J$22*EXP(-(($L$22*($B169-$M$22))^$K$22))+($G$23+$H$23*'Advanced Outputs'!C$61^$I$23)*$J$23*EXP(-(($L$23*($B169-$M$23))^$K$23))+($G$24+$H$24*'Advanced Outputs'!C$61^$I$24)*$J$24*EXP(-(($L$24*($B169-$M$24))^$K$24))+($G$25+$H$25*'Advanced Outputs'!C$61^$I$25)*$J$25*EXP(-(($L$25*($B169-$M$25))^$K$25))+$G$26))</f>
        <v>0.614826894554237</v>
      </c>
      <c r="D169" s="21">
        <f>10^(-(($G$21+$H$21*'Advanced Outputs'!C$60^$I$21)*(($B169/$M$21)^-$K$21)+($G$22+$H$22*'Advanced Outputs'!C$60^$I$22)*$J$22*EXP(-(($L$22*($B169-$M$22))^$K$22))+($G$23+$H$23*'Advanced Outputs'!C$60^$I$23)*$J$23*EXP(-(($L$23*($B169-$M$23))^$K$23))+($G$24+$H$24*'Advanced Outputs'!C$60^$I$24)*$J$24*EXP(-(($L$24*($B169-$M$24))^$K$24))+($G$25+$H$25*'Advanced Outputs'!C$60^$I$25)*$J$25*EXP(-(($L$25*($B169-$M$25))^$K$25))+$G$26))</f>
        <v>0.732266953860902</v>
      </c>
      <c r="E169" s="21">
        <f t="shared" si="2"/>
        <v>0.83962124920774</v>
      </c>
      <c r="F169" s="12"/>
      <c r="G169" s="9"/>
      <c r="H169" s="9"/>
      <c r="I169" s="9"/>
      <c r="J169" s="9"/>
      <c r="K169" s="9"/>
      <c r="L169" s="9"/>
      <c r="M169" s="9"/>
    </row>
    <row r="170" hidden="1" spans="1:13">
      <c r="A170" s="4"/>
      <c r="B170" s="4">
        <v>529</v>
      </c>
      <c r="C170" s="21">
        <f>10^(-(($G$21+$H$21*'Advanced Outputs'!C$61^$I$21)*(($B170/$M$21)^-$K$21)+($G$22+$H$22*'Advanced Outputs'!C$61^$I$22)*$J$22*EXP(-(($L$22*($B170-$M$22))^$K$22))+($G$23+$H$23*'Advanced Outputs'!C$61^$I$23)*$J$23*EXP(-(($L$23*($B170-$M$23))^$K$23))+($G$24+$H$24*'Advanced Outputs'!C$61^$I$24)*$J$24*EXP(-(($L$24*($B170-$M$24))^$K$24))+($G$25+$H$25*'Advanced Outputs'!C$61^$I$25)*$J$25*EXP(-(($L$25*($B170-$M$25))^$K$25))+$G$26))</f>
        <v>0.617959372259721</v>
      </c>
      <c r="D170" s="21">
        <f>10^(-(($G$21+$H$21*'Advanced Outputs'!C$60^$I$21)*(($B170/$M$21)^-$K$21)+($G$22+$H$22*'Advanced Outputs'!C$60^$I$22)*$J$22*EXP(-(($L$22*($B170-$M$22))^$K$22))+($G$23+$H$23*'Advanced Outputs'!C$60^$I$23)*$J$23*EXP(-(($L$23*($B170-$M$23))^$K$23))+($G$24+$H$24*'Advanced Outputs'!C$60^$I$24)*$J$24*EXP(-(($L$24*($B170-$M$24))^$K$24))+($G$25+$H$25*'Advanced Outputs'!C$60^$I$25)*$J$25*EXP(-(($L$25*($B170-$M$25))^$K$25))+$G$26))</f>
        <v>0.733699953956668</v>
      </c>
      <c r="E170" s="21">
        <f t="shared" si="2"/>
        <v>0.842250798745746</v>
      </c>
      <c r="F170" s="12"/>
      <c r="G170" s="9"/>
      <c r="H170" s="9"/>
      <c r="I170" s="9"/>
      <c r="J170" s="9"/>
      <c r="K170" s="9"/>
      <c r="L170" s="9"/>
      <c r="M170" s="9"/>
    </row>
    <row r="171" hidden="1" spans="1:13">
      <c r="A171" s="4"/>
      <c r="B171" s="4">
        <v>530</v>
      </c>
      <c r="C171" s="21">
        <f>10^(-(($G$21+$H$21*'Advanced Outputs'!C$61^$I$21)*(($B171/$M$21)^-$K$21)+($G$22+$H$22*'Advanced Outputs'!C$61^$I$22)*$J$22*EXP(-(($L$22*($B171-$M$22))^$K$22))+($G$23+$H$23*'Advanced Outputs'!C$61^$I$23)*$J$23*EXP(-(($L$23*($B171-$M$23))^$K$23))+($G$24+$H$24*'Advanced Outputs'!C$61^$I$24)*$J$24*EXP(-(($L$24*($B171-$M$24))^$K$24))+($G$25+$H$25*'Advanced Outputs'!C$61^$I$25)*$J$25*EXP(-(($L$25*($B171-$M$25))^$K$25))+$G$26))</f>
        <v>0.621053121138245</v>
      </c>
      <c r="D171" s="21">
        <f>10^(-(($G$21+$H$21*'Advanced Outputs'!C$60^$I$21)*(($B171/$M$21)^-$K$21)+($G$22+$H$22*'Advanced Outputs'!C$60^$I$22)*$J$22*EXP(-(($L$22*($B171-$M$22))^$K$22))+($G$23+$H$23*'Advanced Outputs'!C$60^$I$23)*$J$23*EXP(-(($L$23*($B171-$M$23))^$K$23))+($G$24+$H$24*'Advanced Outputs'!C$60^$I$24)*$J$24*EXP(-(($L$24*($B171-$M$24))^$K$24))+($G$25+$H$25*'Advanced Outputs'!C$60^$I$25)*$J$25*EXP(-(($L$25*($B171-$M$25))^$K$25))+$G$26))</f>
        <v>0.73511444219397</v>
      </c>
      <c r="E171" s="21">
        <f t="shared" si="2"/>
        <v>0.844838688360814</v>
      </c>
      <c r="F171" s="12"/>
      <c r="G171" s="9"/>
      <c r="H171" s="9"/>
      <c r="I171" s="9"/>
      <c r="J171" s="9"/>
      <c r="K171" s="9"/>
      <c r="L171" s="9"/>
      <c r="M171" s="9"/>
    </row>
    <row r="172" hidden="1" spans="1:13">
      <c r="A172" s="4"/>
      <c r="B172" s="4">
        <v>531</v>
      </c>
      <c r="C172" s="21">
        <f>10^(-(($G$21+$H$21*'Advanced Outputs'!C$61^$I$21)*(($B172/$M$21)^-$K$21)+($G$22+$H$22*'Advanced Outputs'!C$61^$I$22)*$J$22*EXP(-(($L$22*($B172-$M$22))^$K$22))+($G$23+$H$23*'Advanced Outputs'!C$61^$I$23)*$J$23*EXP(-(($L$23*($B172-$M$23))^$K$23))+($G$24+$H$24*'Advanced Outputs'!C$61^$I$24)*$J$24*EXP(-(($L$24*($B172-$M$24))^$K$24))+($G$25+$H$25*'Advanced Outputs'!C$61^$I$25)*$J$25*EXP(-(($L$25*($B172-$M$25))^$K$25))+$G$26))</f>
        <v>0.62410814767045</v>
      </c>
      <c r="D172" s="21">
        <f>10^(-(($G$21+$H$21*'Advanced Outputs'!C$60^$I$21)*(($B172/$M$21)^-$K$21)+($G$22+$H$22*'Advanced Outputs'!C$60^$I$22)*$J$22*EXP(-(($L$22*($B172-$M$22))^$K$22))+($G$23+$H$23*'Advanced Outputs'!C$60^$I$23)*$J$23*EXP(-(($L$23*($B172-$M$23))^$K$23))+($G$24+$H$24*'Advanced Outputs'!C$60^$I$24)*$J$24*EXP(-(($L$24*($B172-$M$24))^$K$24))+($G$25+$H$25*'Advanced Outputs'!C$60^$I$25)*$J$25*EXP(-(($L$25*($B172-$M$25))^$K$25))+$G$26))</f>
        <v>0.73651058105567</v>
      </c>
      <c r="E172" s="21">
        <f t="shared" si="2"/>
        <v>0.847385175072285</v>
      </c>
      <c r="F172" s="12"/>
      <c r="G172" s="9"/>
      <c r="H172" s="9"/>
      <c r="I172" s="9"/>
      <c r="J172" s="9"/>
      <c r="K172" s="9"/>
      <c r="L172" s="9"/>
      <c r="M172" s="9"/>
    </row>
    <row r="173" hidden="1" spans="1:13">
      <c r="A173" s="4"/>
      <c r="B173" s="4">
        <v>532</v>
      </c>
      <c r="C173" s="21">
        <f>10^(-(($G$21+$H$21*'Advanced Outputs'!C$61^$I$21)*(($B173/$M$21)^-$K$21)+($G$22+$H$22*'Advanced Outputs'!C$61^$I$22)*$J$22*EXP(-(($L$22*($B173-$M$22))^$K$22))+($G$23+$H$23*'Advanced Outputs'!C$61^$I$23)*$J$23*EXP(-(($L$23*($B173-$M$23))^$K$23))+($G$24+$H$24*'Advanced Outputs'!C$61^$I$24)*$J$24*EXP(-(($L$24*($B173-$M$24))^$K$24))+($G$25+$H$25*'Advanced Outputs'!C$61^$I$25)*$J$25*EXP(-(($L$25*($B173-$M$25))^$K$25))+$G$26))</f>
        <v>0.627124478468077</v>
      </c>
      <c r="D173" s="21">
        <f>10^(-(($G$21+$H$21*'Advanced Outputs'!C$60^$I$21)*(($B173/$M$21)^-$K$21)+($G$22+$H$22*'Advanced Outputs'!C$60^$I$22)*$J$22*EXP(-(($L$22*($B173-$M$22))^$K$22))+($G$23+$H$23*'Advanced Outputs'!C$60^$I$23)*$J$23*EXP(-(($L$23*($B173-$M$23))^$K$23))+($G$24+$H$24*'Advanced Outputs'!C$60^$I$24)*$J$24*EXP(-(($L$24*($B173-$M$24))^$K$24))+($G$25+$H$25*'Advanced Outputs'!C$60^$I$25)*$J$25*EXP(-(($L$25*($B173-$M$25))^$K$25))+$G$26))</f>
        <v>0.737888535542712</v>
      </c>
      <c r="E173" s="21">
        <f t="shared" si="2"/>
        <v>0.849890529884479</v>
      </c>
      <c r="F173" s="12"/>
      <c r="G173" s="9"/>
      <c r="H173" s="9"/>
      <c r="I173" s="9"/>
      <c r="J173" s="9"/>
      <c r="K173" s="9"/>
      <c r="L173" s="9"/>
      <c r="M173" s="9"/>
    </row>
    <row r="174" hidden="1" spans="1:13">
      <c r="A174" s="4"/>
      <c r="B174" s="4">
        <v>533</v>
      </c>
      <c r="C174" s="21">
        <f>10^(-(($G$21+$H$21*'Advanced Outputs'!C$61^$I$21)*(($B174/$M$21)^-$K$21)+($G$22+$H$22*'Advanced Outputs'!C$61^$I$22)*$J$22*EXP(-(($L$22*($B174-$M$22))^$K$22))+($G$23+$H$23*'Advanced Outputs'!C$61^$I$23)*$J$23*EXP(-(($L$23*($B174-$M$23))^$K$23))+($G$24+$H$24*'Advanced Outputs'!C$61^$I$24)*$J$24*EXP(-(($L$24*($B174-$M$24))^$K$24))+($G$25+$H$25*'Advanced Outputs'!C$61^$I$25)*$J$25*EXP(-(($L$25*($B174-$M$25))^$K$25))+$G$26))</f>
        <v>0.630102159766203</v>
      </c>
      <c r="D174" s="21">
        <f>10^(-(($G$21+$H$21*'Advanced Outputs'!C$60^$I$21)*(($B174/$M$21)^-$K$21)+($G$22+$H$22*'Advanced Outputs'!C$60^$I$22)*$J$22*EXP(-(($L$22*($B174-$M$22))^$K$22))+($G$23+$H$23*'Advanced Outputs'!C$60^$I$23)*$J$23*EXP(-(($L$23*($B174-$M$23))^$K$23))+($G$24+$H$24*'Advanced Outputs'!C$60^$I$24)*$J$24*EXP(-(($L$24*($B174-$M$24))^$K$24))+($G$25+$H$25*'Advanced Outputs'!C$60^$I$25)*$J$25*EXP(-(($L$25*($B174-$M$25))^$K$25))+$G$26))</f>
        <v>0.739248473030204</v>
      </c>
      <c r="E174" s="21">
        <f t="shared" si="2"/>
        <v>0.852355037249375</v>
      </c>
      <c r="F174" s="12"/>
      <c r="G174" s="9"/>
      <c r="H174" s="9"/>
      <c r="I174" s="9"/>
      <c r="J174" s="9"/>
      <c r="K174" s="9"/>
      <c r="L174" s="9"/>
      <c r="M174" s="9"/>
    </row>
    <row r="175" hidden="1" spans="1:13">
      <c r="A175" s="4"/>
      <c r="B175" s="4">
        <v>534</v>
      </c>
      <c r="C175" s="21">
        <f>10^(-(($G$21+$H$21*'Advanced Outputs'!C$61^$I$21)*(($B175/$M$21)^-$K$21)+($G$22+$H$22*'Advanced Outputs'!C$61^$I$22)*$J$22*EXP(-(($L$22*($B175-$M$22))^$K$22))+($G$23+$H$23*'Advanced Outputs'!C$61^$I$23)*$J$23*EXP(-(($L$23*($B175-$M$23))^$K$23))+($G$24+$H$24*'Advanced Outputs'!C$61^$I$24)*$J$24*EXP(-(($L$24*($B175-$M$24))^$K$24))+($G$25+$H$25*'Advanced Outputs'!C$61^$I$25)*$J$25*EXP(-(($L$25*($B175-$M$25))^$K$25))+$G$26))</f>
        <v>0.633041256904314</v>
      </c>
      <c r="D175" s="21">
        <f>10^(-(($G$21+$H$21*'Advanced Outputs'!C$60^$I$21)*(($B175/$M$21)^-$K$21)+($G$22+$H$22*'Advanced Outputs'!C$60^$I$22)*$J$22*EXP(-(($L$22*($B175-$M$22))^$K$22))+($G$23+$H$23*'Advanced Outputs'!C$60^$I$23)*$J$23*EXP(-(($L$23*($B175-$M$23))^$K$23))+($G$24+$H$24*'Advanced Outputs'!C$60^$I$24)*$J$24*EXP(-(($L$24*($B175-$M$24))^$K$24))+($G$25+$H$25*'Advanced Outputs'!C$60^$I$25)*$J$25*EXP(-(($L$25*($B175-$M$25))^$K$25))+$G$26))</f>
        <v>0.740590563124271</v>
      </c>
      <c r="E175" s="21">
        <f t="shared" si="2"/>
        <v>0.854778994528032</v>
      </c>
      <c r="F175" s="12"/>
      <c r="G175" s="9"/>
      <c r="H175" s="9"/>
      <c r="I175" s="9"/>
      <c r="J175" s="9"/>
      <c r="K175" s="9"/>
      <c r="L175" s="9"/>
      <c r="M175" s="9"/>
    </row>
    <row r="176" hidden="1" spans="1:13">
      <c r="A176" s="4"/>
      <c r="B176" s="4">
        <v>535</v>
      </c>
      <c r="C176" s="21">
        <f>10^(-(($G$21+$H$21*'Advanced Outputs'!C$61^$I$21)*(($B176/$M$21)^-$K$21)+($G$22+$H$22*'Advanced Outputs'!C$61^$I$22)*$J$22*EXP(-(($L$22*($B176-$M$22))^$K$22))+($G$23+$H$23*'Advanced Outputs'!C$61^$I$23)*$J$23*EXP(-(($L$23*($B176-$M$23))^$K$23))+($G$24+$H$24*'Advanced Outputs'!C$61^$I$24)*$J$24*EXP(-(($L$24*($B176-$M$24))^$K$24))+($G$25+$H$25*'Advanced Outputs'!C$61^$I$25)*$J$25*EXP(-(($L$25*($B176-$M$25))^$K$25))+$G$26))</f>
        <v>0.635941853797665</v>
      </c>
      <c r="D176" s="21">
        <f>10^(-(($G$21+$H$21*'Advanced Outputs'!C$60^$I$21)*(($B176/$M$21)^-$K$21)+($G$22+$H$22*'Advanced Outputs'!C$60^$I$22)*$J$22*EXP(-(($L$22*($B176-$M$22))^$K$22))+($G$23+$H$23*'Advanced Outputs'!C$60^$I$23)*$J$23*EXP(-(($L$23*($B176-$M$23))^$K$23))+($G$24+$H$24*'Advanced Outputs'!C$60^$I$24)*$J$24*EXP(-(($L$24*($B176-$M$24))^$K$24))+($G$25+$H$25*'Advanced Outputs'!C$60^$I$25)*$J$25*EXP(-(($L$25*($B176-$M$25))^$K$25))+$G$26))</f>
        <v>0.741914977519938</v>
      </c>
      <c r="E176" s="21">
        <f t="shared" si="2"/>
        <v>0.857162711451764</v>
      </c>
      <c r="F176" s="12"/>
      <c r="G176" s="9"/>
      <c r="H176" s="9"/>
      <c r="I176" s="9"/>
      <c r="J176" s="9"/>
      <c r="K176" s="9"/>
      <c r="L176" s="9"/>
      <c r="M176" s="9"/>
    </row>
    <row r="177" hidden="1" spans="1:13">
      <c r="A177" s="4"/>
      <c r="B177" s="4">
        <v>536</v>
      </c>
      <c r="C177" s="21">
        <f>10^(-(($G$21+$H$21*'Advanced Outputs'!C$61^$I$21)*(($B177/$M$21)^-$K$21)+($G$22+$H$22*'Advanced Outputs'!C$61^$I$22)*$J$22*EXP(-(($L$22*($B177-$M$22))^$K$22))+($G$23+$H$23*'Advanced Outputs'!C$61^$I$23)*$J$23*EXP(-(($L$23*($B177-$M$23))^$K$23))+($G$24+$H$24*'Advanced Outputs'!C$61^$I$24)*$J$24*EXP(-(($L$24*($B177-$M$24))^$K$24))+($G$25+$H$25*'Advanced Outputs'!C$61^$I$25)*$J$25*EXP(-(($L$25*($B177-$M$25))^$K$25))+$G$26))</f>
        <v>0.638804052400243</v>
      </c>
      <c r="D177" s="21">
        <f>10^(-(($G$21+$H$21*'Advanced Outputs'!C$60^$I$21)*(($B177/$M$21)^-$K$21)+($G$22+$H$22*'Advanced Outputs'!C$60^$I$22)*$J$22*EXP(-(($L$22*($B177-$M$22))^$K$22))+($G$23+$H$23*'Advanced Outputs'!C$60^$I$23)*$J$23*EXP(-(($L$23*($B177-$M$23))^$K$23))+($G$24+$H$24*'Advanced Outputs'!C$60^$I$24)*$J$24*EXP(-(($L$24*($B177-$M$24))^$K$24))+($G$25+$H$25*'Advanced Outputs'!C$60^$I$25)*$J$25*EXP(-(($L$25*($B177-$M$25))^$K$25))+$G$26))</f>
        <v>0.743221889860294</v>
      </c>
      <c r="E177" s="21">
        <f t="shared" si="2"/>
        <v>0.859506509583997</v>
      </c>
      <c r="F177" s="12"/>
      <c r="G177" s="9"/>
      <c r="H177" s="9"/>
      <c r="I177" s="9"/>
      <c r="J177" s="9"/>
      <c r="K177" s="9"/>
      <c r="L177" s="9"/>
      <c r="M177" s="9"/>
    </row>
    <row r="178" hidden="1" spans="1:13">
      <c r="A178" s="4"/>
      <c r="B178" s="4">
        <v>537</v>
      </c>
      <c r="C178" s="21">
        <f>10^(-(($G$21+$H$21*'Advanced Outputs'!C$61^$I$21)*(($B178/$M$21)^-$K$21)+($G$22+$H$22*'Advanced Outputs'!C$61^$I$22)*$J$22*EXP(-(($L$22*($B178-$M$22))^$K$22))+($G$23+$H$23*'Advanced Outputs'!C$61^$I$23)*$J$23*EXP(-(($L$23*($B178-$M$23))^$K$23))+($G$24+$H$24*'Advanced Outputs'!C$61^$I$24)*$J$24*EXP(-(($L$24*($B178-$M$24))^$K$24))+($G$25+$H$25*'Advanced Outputs'!C$61^$I$25)*$J$25*EXP(-(($L$25*($B178-$M$25))^$K$25))+$G$26))</f>
        <v>0.641627972160641</v>
      </c>
      <c r="D178" s="21">
        <f>10^(-(($G$21+$H$21*'Advanced Outputs'!C$60^$I$21)*(($B178/$M$21)^-$K$21)+($G$22+$H$22*'Advanced Outputs'!C$60^$I$22)*$J$22*EXP(-(($L$22*($B178-$M$22))^$K$22))+($G$23+$H$23*'Advanced Outputs'!C$60^$I$23)*$J$23*EXP(-(($L$23*($B178-$M$23))^$K$23))+($G$24+$H$24*'Advanced Outputs'!C$60^$I$24)*$J$24*EXP(-(($L$24*($B178-$M$24))^$K$24))+($G$25+$H$25*'Advanced Outputs'!C$60^$I$25)*$J$25*EXP(-(($L$25*($B178-$M$25))^$K$25))+$G$26))</f>
        <v>0.744511475597154</v>
      </c>
      <c r="E178" s="21">
        <f t="shared" si="2"/>
        <v>0.861810721783714</v>
      </c>
      <c r="F178" s="12"/>
      <c r="G178" s="9"/>
      <c r="H178" s="9"/>
      <c r="I178" s="9"/>
      <c r="J178" s="9"/>
      <c r="K178" s="9"/>
      <c r="L178" s="9"/>
      <c r="M178" s="9"/>
    </row>
    <row r="179" hidden="1" spans="1:13">
      <c r="A179" s="4"/>
      <c r="B179" s="4">
        <v>538</v>
      </c>
      <c r="C179" s="21">
        <f>10^(-(($G$21+$H$21*'Advanced Outputs'!C$61^$I$21)*(($B179/$M$21)^-$K$21)+($G$22+$H$22*'Advanced Outputs'!C$61^$I$22)*$J$22*EXP(-(($L$22*($B179-$M$22))^$K$22))+($G$23+$H$23*'Advanced Outputs'!C$61^$I$23)*$J$23*EXP(-(($L$23*($B179-$M$23))^$K$23))+($G$24+$H$24*'Advanced Outputs'!C$61^$I$24)*$J$24*EXP(-(($L$24*($B179-$M$24))^$K$24))+($G$25+$H$25*'Advanced Outputs'!C$61^$I$25)*$J$25*EXP(-(($L$25*($B179-$M$25))^$K$25))+$G$26))</f>
        <v>0.644413749472082</v>
      </c>
      <c r="D179" s="21">
        <f>10^(-(($G$21+$H$21*'Advanced Outputs'!C$60^$I$21)*(($B179/$M$21)^-$K$21)+($G$22+$H$22*'Advanced Outputs'!C$60^$I$22)*$J$22*EXP(-(($L$22*($B179-$M$22))^$K$22))+($G$23+$H$23*'Advanced Outputs'!C$60^$I$23)*$J$23*EXP(-(($L$23*($B179-$M$23))^$K$23))+($G$24+$H$24*'Advanced Outputs'!C$60^$I$24)*$J$24*EXP(-(($L$24*($B179-$M$24))^$K$24))+($G$25+$H$25*'Advanced Outputs'!C$60^$I$25)*$J$25*EXP(-(($L$25*($B179-$M$25))^$K$25))+$G$26))</f>
        <v>0.745783911853412</v>
      </c>
      <c r="E179" s="21">
        <f t="shared" si="2"/>
        <v>0.864075691671324</v>
      </c>
      <c r="F179" s="12"/>
      <c r="G179" s="9"/>
      <c r="H179" s="9"/>
      <c r="I179" s="9"/>
      <c r="J179" s="9"/>
      <c r="K179" s="9"/>
      <c r="L179" s="9"/>
      <c r="M179" s="9"/>
    </row>
    <row r="180" hidden="1" spans="1:13">
      <c r="A180" s="4"/>
      <c r="B180" s="4">
        <v>539</v>
      </c>
      <c r="C180" s="21">
        <f>10^(-(($G$21+$H$21*'Advanced Outputs'!C$61^$I$21)*(($B180/$M$21)^-$K$21)+($G$22+$H$22*'Advanced Outputs'!C$61^$I$22)*$J$22*EXP(-(($L$22*($B180-$M$22))^$K$22))+($G$23+$H$23*'Advanced Outputs'!C$61^$I$23)*$J$23*EXP(-(($L$23*($B180-$M$23))^$K$23))+($G$24+$H$24*'Advanced Outputs'!C$61^$I$24)*$J$24*EXP(-(($L$24*($B180-$M$24))^$K$24))+($G$25+$H$25*'Advanced Outputs'!C$61^$I$25)*$J$25*EXP(-(($L$25*($B180-$M$25))^$K$25))+$G$26))</f>
        <v>0.647161537117763</v>
      </c>
      <c r="D180" s="21">
        <f>10^(-(($G$21+$H$21*'Advanced Outputs'!C$60^$I$21)*(($B180/$M$21)^-$K$21)+($G$22+$H$22*'Advanced Outputs'!C$60^$I$22)*$J$22*EXP(-(($L$22*($B180-$M$22))^$K$22))+($G$23+$H$23*'Advanced Outputs'!C$60^$I$23)*$J$23*EXP(-(($L$23*($B180-$M$23))^$K$23))+($G$24+$H$24*'Advanced Outputs'!C$60^$I$24)*$J$24*EXP(-(($L$24*($B180-$M$24))^$K$24))+($G$25+$H$25*'Advanced Outputs'!C$60^$I$25)*$J$25*EXP(-(($L$25*($B180-$M$25))^$K$25))+$G$26))</f>
        <v>0.747039377287246</v>
      </c>
      <c r="E180" s="21">
        <f t="shared" si="2"/>
        <v>0.866301773097727</v>
      </c>
      <c r="F180" s="12"/>
      <c r="G180" s="9"/>
      <c r="H180" s="9"/>
      <c r="I180" s="9"/>
      <c r="J180" s="9"/>
      <c r="K180" s="9"/>
      <c r="L180" s="9"/>
      <c r="M180" s="9"/>
    </row>
    <row r="181" hidden="1" spans="1:13">
      <c r="A181" s="4"/>
      <c r="B181" s="4">
        <v>540</v>
      </c>
      <c r="C181" s="21">
        <f>10^(-(($G$21+$H$21*'Advanced Outputs'!C$61^$I$21)*(($B181/$M$21)^-$K$21)+($G$22+$H$22*'Advanced Outputs'!C$61^$I$22)*$J$22*EXP(-(($L$22*($B181-$M$22))^$K$22))+($G$23+$H$23*'Advanced Outputs'!C$61^$I$23)*$J$23*EXP(-(($L$23*($B181-$M$23))^$K$23))+($G$24+$H$24*'Advanced Outputs'!C$61^$I$24)*$J$24*EXP(-(($L$24*($B181-$M$24))^$K$24))+($G$25+$H$25*'Advanced Outputs'!C$61^$I$25)*$J$25*EXP(-(($L$25*($B181-$M$25))^$K$25))+$G$26))</f>
        <v>0.649871503712662</v>
      </c>
      <c r="D181" s="21">
        <f>10^(-(($G$21+$H$21*'Advanced Outputs'!C$60^$I$21)*(($B181/$M$21)^-$K$21)+($G$22+$H$22*'Advanced Outputs'!C$60^$I$22)*$J$22*EXP(-(($L$22*($B181-$M$22))^$K$22))+($G$23+$H$23*'Advanced Outputs'!C$60^$I$23)*$J$23*EXP(-(($L$23*($B181-$M$23))^$K$23))+($G$24+$H$24*'Advanced Outputs'!C$60^$I$24)*$J$24*EXP(-(($L$24*($B181-$M$24))^$K$24))+($G$25+$H$25*'Advanced Outputs'!C$60^$I$25)*$J$25*EXP(-(($L$25*($B181-$M$25))^$K$25))+$G$26))</f>
        <v>0.748278051958346</v>
      </c>
      <c r="E181" s="21">
        <f t="shared" si="2"/>
        <v>0.868489329617325</v>
      </c>
      <c r="F181" s="12"/>
      <c r="G181" s="9"/>
      <c r="H181" s="9"/>
      <c r="I181" s="9"/>
      <c r="J181" s="9"/>
      <c r="K181" s="9"/>
      <c r="L181" s="9"/>
      <c r="M181" s="9"/>
    </row>
    <row r="182" hidden="1" spans="1:13">
      <c r="A182" s="4"/>
      <c r="B182" s="4">
        <v>541</v>
      </c>
      <c r="C182" s="21">
        <f>10^(-(($G$21+$H$21*'Advanced Outputs'!C$61^$I$21)*(($B182/$M$21)^-$K$21)+($G$22+$H$22*'Advanced Outputs'!C$61^$I$22)*$J$22*EXP(-(($L$22*($B182-$M$22))^$K$22))+($G$23+$H$23*'Advanced Outputs'!C$61^$I$23)*$J$23*EXP(-(($L$23*($B182-$M$23))^$K$23))+($G$24+$H$24*'Advanced Outputs'!C$61^$I$24)*$J$24*EXP(-(($L$24*($B182-$M$24))^$K$24))+($G$25+$H$25*'Advanced Outputs'!C$61^$I$25)*$J$25*EXP(-(($L$25*($B182-$M$25))^$K$25))+$G$26))</f>
        <v>0.652543833142881</v>
      </c>
      <c r="D182" s="21">
        <f>10^(-(($G$21+$H$21*'Advanced Outputs'!C$60^$I$21)*(($B182/$M$21)^-$K$21)+($G$22+$H$22*'Advanced Outputs'!C$60^$I$22)*$J$22*EXP(-(($L$22*($B182-$M$22))^$K$22))+($G$23+$H$23*'Advanced Outputs'!C$60^$I$23)*$J$23*EXP(-(($L$23*($B182-$M$23))^$K$23))+($G$24+$H$24*'Advanced Outputs'!C$60^$I$24)*$J$24*EXP(-(($L$24*($B182-$M$24))^$K$24))+($G$25+$H$25*'Advanced Outputs'!C$60^$I$25)*$J$25*EXP(-(($L$25*($B182-$M$25))^$K$25))+$G$26))</f>
        <v>0.749500117196276</v>
      </c>
      <c r="E182" s="21">
        <f t="shared" si="2"/>
        <v>0.870638733965662</v>
      </c>
      <c r="F182" s="12"/>
      <c r="G182" s="9"/>
      <c r="H182" s="9"/>
      <c r="I182" s="9"/>
      <c r="J182" s="9"/>
      <c r="K182" s="9"/>
      <c r="L182" s="9"/>
      <c r="M182" s="9"/>
    </row>
    <row r="183" hidden="1" spans="1:13">
      <c r="A183" s="4"/>
      <c r="B183" s="4">
        <v>542</v>
      </c>
      <c r="C183" s="21">
        <f>10^(-(($G$21+$H$21*'Advanced Outputs'!C$61^$I$21)*(($B183/$M$21)^-$K$21)+($G$22+$H$22*'Advanced Outputs'!C$61^$I$22)*$J$22*EXP(-(($L$22*($B183-$M$22))^$K$22))+($G$23+$H$23*'Advanced Outputs'!C$61^$I$23)*$J$23*EXP(-(($L$23*($B183-$M$23))^$K$23))+($G$24+$H$24*'Advanced Outputs'!C$61^$I$24)*$J$24*EXP(-(($L$24*($B183-$M$24))^$K$24))+($G$25+$H$25*'Advanced Outputs'!C$61^$I$25)*$J$25*EXP(-(($L$25*($B183-$M$25))^$K$25))+$G$26))</f>
        <v>0.65517872400357</v>
      </c>
      <c r="D183" s="21">
        <f>10^(-(($G$21+$H$21*'Advanced Outputs'!C$60^$I$21)*(($B183/$M$21)^-$K$21)+($G$22+$H$22*'Advanced Outputs'!C$60^$I$22)*$J$22*EXP(-(($L$22*($B183-$M$22))^$K$22))+($G$23+$H$23*'Advanced Outputs'!C$60^$I$23)*$J$23*EXP(-(($L$23*($B183-$M$23))^$K$23))+($G$24+$H$24*'Advanced Outputs'!C$60^$I$24)*$J$24*EXP(-(($L$24*($B183-$M$24))^$K$24))+($G$25+$H$25*'Advanced Outputs'!C$60^$I$25)*$J$25*EXP(-(($L$25*($B183-$M$25))^$K$25))+$G$26))</f>
        <v>0.75070575547111</v>
      </c>
      <c r="E183" s="21">
        <f t="shared" si="2"/>
        <v>0.872750367542352</v>
      </c>
      <c r="F183" s="12"/>
      <c r="G183" s="9"/>
      <c r="H183" s="9"/>
      <c r="I183" s="9"/>
      <c r="J183" s="9"/>
      <c r="K183" s="9"/>
      <c r="L183" s="9"/>
      <c r="M183" s="9"/>
    </row>
    <row r="184" hidden="1" spans="1:13">
      <c r="A184" s="4"/>
      <c r="B184" s="4">
        <v>543</v>
      </c>
      <c r="C184" s="21">
        <f>10^(-(($G$21+$H$21*'Advanced Outputs'!C$61^$I$21)*(($B184/$M$21)^-$K$21)+($G$22+$H$22*'Advanced Outputs'!C$61^$I$22)*$J$22*EXP(-(($L$22*($B184-$M$22))^$K$22))+($G$23+$H$23*'Advanced Outputs'!C$61^$I$23)*$J$23*EXP(-(($L$23*($B184-$M$23))^$K$23))+($G$24+$H$24*'Advanced Outputs'!C$61^$I$24)*$J$24*EXP(-(($L$24*($B184-$M$24))^$K$24))+($G$25+$H$25*'Advanced Outputs'!C$61^$I$25)*$J$25*EXP(-(($L$25*($B184-$M$25))^$K$25))+$G$26))</f>
        <v>0.657776389036392</v>
      </c>
      <c r="D184" s="21">
        <f>10^(-(($G$21+$H$21*'Advanced Outputs'!C$60^$I$21)*(($B184/$M$21)^-$K$21)+($G$22+$H$22*'Advanced Outputs'!C$60^$I$22)*$J$22*EXP(-(($L$22*($B184-$M$22))^$K$22))+($G$23+$H$23*'Advanced Outputs'!C$60^$I$23)*$J$23*EXP(-(($L$23*($B184-$M$23))^$K$23))+($G$24+$H$24*'Advanced Outputs'!C$60^$I$24)*$J$24*EXP(-(($L$24*($B184-$M$24))^$K$24))+($G$25+$H$25*'Advanced Outputs'!C$60^$I$25)*$J$25*EXP(-(($L$25*($B184-$M$25))^$K$25))+$G$26))</f>
        <v>0.751895150266434</v>
      </c>
      <c r="E184" s="21">
        <f t="shared" si="2"/>
        <v>0.874824619899874</v>
      </c>
      <c r="F184" s="12"/>
      <c r="G184" s="9"/>
      <c r="H184" s="9"/>
      <c r="I184" s="9"/>
      <c r="J184" s="9"/>
      <c r="K184" s="9"/>
      <c r="L184" s="9"/>
      <c r="M184" s="9"/>
    </row>
    <row r="185" hidden="1" spans="1:13">
      <c r="A185" s="4"/>
      <c r="B185" s="4">
        <v>544</v>
      </c>
      <c r="C185" s="21">
        <f>10^(-(($G$21+$H$21*'Advanced Outputs'!C$61^$I$21)*(($B185/$M$21)^-$K$21)+($G$22+$H$22*'Advanced Outputs'!C$61^$I$22)*$J$22*EXP(-(($L$22*($B185-$M$22))^$K$22))+($G$23+$H$23*'Advanced Outputs'!C$61^$I$23)*$J$23*EXP(-(($L$23*($B185-$M$23))^$K$23))+($G$24+$H$24*'Advanced Outputs'!C$61^$I$24)*$J$24*EXP(-(($L$24*($B185-$M$24))^$K$24))+($G$25+$H$25*'Advanced Outputs'!C$61^$I$25)*$J$25*EXP(-(($L$25*($B185-$M$25))^$K$25))+$G$26))</f>
        <v>0.660337054567495</v>
      </c>
      <c r="D185" s="21">
        <f>10^(-(($G$21+$H$21*'Advanced Outputs'!C$60^$I$21)*(($B185/$M$21)^-$K$21)+($G$22+$H$22*'Advanced Outputs'!C$60^$I$22)*$J$22*EXP(-(($L$22*($B185-$M$22))^$K$22))+($G$23+$H$23*'Advanced Outputs'!C$60^$I$23)*$J$23*EXP(-(($L$23*($B185-$M$23))^$K$23))+($G$24+$H$24*'Advanced Outputs'!C$60^$I$24)*$J$24*EXP(-(($L$24*($B185-$M$24))^$K$24))+($G$25+$H$25*'Advanced Outputs'!C$60^$I$25)*$J$25*EXP(-(($L$25*($B185-$M$25))^$K$25))+$G$26))</f>
        <v>0.753068485954822</v>
      </c>
      <c r="E185" s="21">
        <f t="shared" si="2"/>
        <v>0.876861888238821</v>
      </c>
      <c r="F185" s="12"/>
      <c r="G185" s="9"/>
      <c r="H185" s="9"/>
      <c r="I185" s="9"/>
      <c r="J185" s="9"/>
      <c r="K185" s="9"/>
      <c r="L185" s="9"/>
      <c r="M185" s="9"/>
    </row>
    <row r="186" hidden="1" spans="1:13">
      <c r="A186" s="4"/>
      <c r="B186" s="4">
        <v>545</v>
      </c>
      <c r="C186" s="21">
        <f>10^(-(($G$21+$H$21*'Advanced Outputs'!C$61^$I$21)*(($B186/$M$21)^-$K$21)+($G$22+$H$22*'Advanced Outputs'!C$61^$I$22)*$J$22*EXP(-(($L$22*($B186-$M$22))^$K$22))+($G$23+$H$23*'Advanced Outputs'!C$61^$I$23)*$J$23*EXP(-(($L$23*($B186-$M$23))^$K$23))+($G$24+$H$24*'Advanced Outputs'!C$61^$I$24)*$J$24*EXP(-(($L$24*($B186-$M$24))^$K$24))+($G$25+$H$25*'Advanced Outputs'!C$61^$I$25)*$J$25*EXP(-(($L$25*($B186-$M$25))^$K$25))+$G$26))</f>
        <v>0.662860959946869</v>
      </c>
      <c r="D186" s="21">
        <f>10^(-(($G$21+$H$21*'Advanced Outputs'!C$60^$I$21)*(($B186/$M$21)^-$K$21)+($G$22+$H$22*'Advanced Outputs'!C$60^$I$22)*$J$22*EXP(-(($L$22*($B186-$M$22))^$K$22))+($G$23+$H$23*'Advanced Outputs'!C$60^$I$23)*$J$23*EXP(-(($L$23*($B186-$M$23))^$K$23))+($G$24+$H$24*'Advanced Outputs'!C$60^$I$24)*$J$24*EXP(-(($L$24*($B186-$M$24))^$K$24))+($G$25+$H$25*'Advanced Outputs'!C$60^$I$25)*$J$25*EXP(-(($L$25*($B186-$M$25))^$K$25))+$G$26))</f>
        <v>0.754225947675852</v>
      </c>
      <c r="E186" s="21">
        <f t="shared" si="2"/>
        <v>0.87886257691011</v>
      </c>
      <c r="F186" s="12"/>
      <c r="G186" s="9"/>
      <c r="H186" s="9"/>
      <c r="I186" s="9"/>
      <c r="J186" s="9"/>
      <c r="K186" s="9"/>
      <c r="L186" s="9"/>
      <c r="M186" s="9"/>
    </row>
    <row r="187" hidden="1" spans="1:13">
      <c r="A187" s="4"/>
      <c r="B187" s="4">
        <v>546</v>
      </c>
      <c r="C187" s="21">
        <f>10^(-(($G$21+$H$21*'Advanced Outputs'!C$61^$I$21)*(($B187/$M$21)^-$K$21)+($G$22+$H$22*'Advanced Outputs'!C$61^$I$22)*$J$22*EXP(-(($L$22*($B187-$M$22))^$K$22))+($G$23+$H$23*'Advanced Outputs'!C$61^$I$23)*$J$23*EXP(-(($L$23*($B187-$M$23))^$K$23))+($G$24+$H$24*'Advanced Outputs'!C$61^$I$24)*$J$24*EXP(-(($L$24*($B187-$M$24))^$K$24))+($G$25+$H$25*'Advanced Outputs'!C$61^$I$25)*$J$25*EXP(-(($L$25*($B187-$M$25))^$K$25))+$G$26))</f>
        <v>0.665348356989931</v>
      </c>
      <c r="D187" s="21">
        <f>10^(-(($G$21+$H$21*'Advanced Outputs'!C$60^$I$21)*(($B187/$M$21)^-$K$21)+($G$22+$H$22*'Advanced Outputs'!C$60^$I$22)*$J$22*EXP(-(($L$22*($B187-$M$22))^$K$22))+($G$23+$H$23*'Advanced Outputs'!C$60^$I$23)*$J$23*EXP(-(($L$23*($B187-$M$23))^$K$23))+($G$24+$H$24*'Advanced Outputs'!C$60^$I$24)*$J$24*EXP(-(($L$24*($B187-$M$24))^$K$24))+($G$25+$H$25*'Advanced Outputs'!C$60^$I$25)*$J$25*EXP(-(($L$25*($B187-$M$25))^$K$25))+$G$26))</f>
        <v>0.755367721216747</v>
      </c>
      <c r="E187" s="21">
        <f t="shared" si="2"/>
        <v>0.880827096924644</v>
      </c>
      <c r="F187" s="12"/>
      <c r="G187" s="9"/>
      <c r="H187" s="9"/>
      <c r="I187" s="9"/>
      <c r="J187" s="9"/>
      <c r="K187" s="9"/>
      <c r="L187" s="9"/>
      <c r="M187" s="9"/>
    </row>
    <row r="188" hidden="1" spans="1:13">
      <c r="A188" s="4"/>
      <c r="B188" s="4">
        <v>547</v>
      </c>
      <c r="C188" s="21">
        <f>10^(-(($G$21+$H$21*'Advanced Outputs'!C$61^$I$21)*(($B188/$M$21)^-$K$21)+($G$22+$H$22*'Advanced Outputs'!C$61^$I$22)*$J$22*EXP(-(($L$22*($B188-$M$22))^$K$22))+($G$23+$H$23*'Advanced Outputs'!C$61^$I$23)*$J$23*EXP(-(($L$23*($B188-$M$23))^$K$23))+($G$24+$H$24*'Advanced Outputs'!C$61^$I$24)*$J$24*EXP(-(($L$24*($B188-$M$24))^$K$24))+($G$25+$H$25*'Advanced Outputs'!C$61^$I$25)*$J$25*EXP(-(($L$25*($B188-$M$25))^$K$25))+$G$26))</f>
        <v>0.66779950942216</v>
      </c>
      <c r="D188" s="21">
        <f>10^(-(($G$21+$H$21*'Advanced Outputs'!C$60^$I$21)*(($B188/$M$21)^-$K$21)+($G$22+$H$22*'Advanced Outputs'!C$60^$I$22)*$J$22*EXP(-(($L$22*($B188-$M$22))^$K$22))+($G$23+$H$23*'Advanced Outputs'!C$60^$I$23)*$J$23*EXP(-(($L$23*($B188-$M$23))^$K$23))+($G$24+$H$24*'Advanced Outputs'!C$60^$I$24)*$J$24*EXP(-(($L$24*($B188-$M$24))^$K$24))+($G$25+$H$25*'Advanced Outputs'!C$60^$I$25)*$J$25*EXP(-(($L$25*($B188-$M$25))^$K$25))+$G$26))</f>
        <v>0.756493992895706</v>
      </c>
      <c r="E188" s="21">
        <f t="shared" si="2"/>
        <v>0.882755865470865</v>
      </c>
      <c r="F188" s="12"/>
      <c r="G188" s="9"/>
      <c r="H188" s="9"/>
      <c r="I188" s="9"/>
      <c r="J188" s="9"/>
      <c r="K188" s="9"/>
      <c r="L188" s="9"/>
      <c r="M188" s="9"/>
    </row>
    <row r="189" hidden="1" spans="1:13">
      <c r="A189" s="4"/>
      <c r="B189" s="4">
        <v>548</v>
      </c>
      <c r="C189" s="21">
        <f>10^(-(($G$21+$H$21*'Advanced Outputs'!C$61^$I$21)*(($B189/$M$21)^-$K$21)+($G$22+$H$22*'Advanced Outputs'!C$61^$I$22)*$J$22*EXP(-(($L$22*($B189-$M$22))^$K$22))+($G$23+$H$23*'Advanced Outputs'!C$61^$I$23)*$J$23*EXP(-(($L$23*($B189-$M$23))^$K$23))+($G$24+$H$24*'Advanced Outputs'!C$61^$I$24)*$J$24*EXP(-(($L$24*($B189-$M$24))^$K$24))+($G$25+$H$25*'Advanced Outputs'!C$61^$I$25)*$J$25*EXP(-(($L$25*($B189-$M$25))^$K$25))+$G$26))</f>
        <v>0.670214692327523</v>
      </c>
      <c r="D189" s="21">
        <f>10^(-(($G$21+$H$21*'Advanced Outputs'!C$60^$I$21)*(($B189/$M$21)^-$K$21)+($G$22+$H$22*'Advanced Outputs'!C$60^$I$22)*$J$22*EXP(-(($L$22*($B189-$M$22))^$K$22))+($G$23+$H$23*'Advanced Outputs'!C$60^$I$23)*$J$23*EXP(-(($L$23*($B189-$M$23))^$K$23))+($G$24+$H$24*'Advanced Outputs'!C$60^$I$24)*$J$24*EXP(-(($L$24*($B189-$M$24))^$K$24))+($G$25+$H$25*'Advanced Outputs'!C$60^$I$25)*$J$25*EXP(-(($L$25*($B189-$M$25))^$K$25))+$G$26))</f>
        <v>0.757604949447968</v>
      </c>
      <c r="E189" s="21">
        <f t="shared" si="2"/>
        <v>0.884649305440622</v>
      </c>
      <c r="F189" s="12"/>
      <c r="G189" s="9"/>
      <c r="H189" s="9"/>
      <c r="I189" s="9"/>
      <c r="J189" s="9"/>
      <c r="K189" s="9"/>
      <c r="L189" s="9"/>
      <c r="M189" s="9"/>
    </row>
    <row r="190" hidden="1" spans="1:13">
      <c r="A190" s="4"/>
      <c r="B190" s="4">
        <v>549</v>
      </c>
      <c r="C190" s="21">
        <f>10^(-(($G$21+$H$21*'Advanced Outputs'!C$61^$I$21)*(($B190/$M$21)^-$K$21)+($G$22+$H$22*'Advanced Outputs'!C$61^$I$22)*$J$22*EXP(-(($L$22*($B190-$M$22))^$K$22))+($G$23+$H$23*'Advanced Outputs'!C$61^$I$23)*$J$23*EXP(-(($L$23*($B190-$M$23))^$K$23))+($G$24+$H$24*'Advanced Outputs'!C$61^$I$24)*$J$24*EXP(-(($L$24*($B190-$M$24))^$K$24))+($G$25+$H$25*'Advanced Outputs'!C$61^$I$25)*$J$25*EXP(-(($L$25*($B190-$M$25))^$K$25))+$G$26))</f>
        <v>0.672594191601433</v>
      </c>
      <c r="D190" s="21">
        <f>10^(-(($G$21+$H$21*'Advanced Outputs'!C$60^$I$21)*(($B190/$M$21)^-$K$21)+($G$22+$H$22*'Advanced Outputs'!C$60^$I$22)*$J$22*EXP(-(($L$22*($B190-$M$22))^$K$22))+($G$23+$H$23*'Advanced Outputs'!C$60^$I$23)*$J$23*EXP(-(($L$23*($B190-$M$23))^$K$23))+($G$24+$H$24*'Advanced Outputs'!C$60^$I$24)*$J$24*EXP(-(($L$24*($B190-$M$24))^$K$24))+($G$25+$H$25*'Advanced Outputs'!C$60^$I$25)*$J$25*EXP(-(($L$25*($B190-$M$25))^$K$25))+$G$26))</f>
        <v>0.758700777914671</v>
      </c>
      <c r="E190" s="21">
        <f t="shared" si="2"/>
        <v>0.886507844963719</v>
      </c>
      <c r="F190" s="12"/>
      <c r="G190" s="9"/>
      <c r="H190" s="9"/>
      <c r="I190" s="9"/>
      <c r="J190" s="9"/>
      <c r="K190" s="9"/>
      <c r="L190" s="9"/>
      <c r="M190" s="9"/>
    </row>
    <row r="191" hidden="1" spans="1:13">
      <c r="A191" s="4"/>
      <c r="B191" s="4">
        <v>550</v>
      </c>
      <c r="C191" s="21">
        <f>10^(-(($G$21+$H$21*'Advanced Outputs'!C$61^$I$21)*(($B191/$M$21)^-$K$21)+($G$22+$H$22*'Advanced Outputs'!C$61^$I$22)*$J$22*EXP(-(($L$22*($B191-$M$22))^$K$22))+($G$23+$H$23*'Advanced Outputs'!C$61^$I$23)*$J$23*EXP(-(($L$23*($B191-$M$23))^$K$23))+($G$24+$H$24*'Advanced Outputs'!C$61^$I$24)*$J$24*EXP(-(($L$24*($B191-$M$24))^$K$24))+($G$25+$H$25*'Advanced Outputs'!C$61^$I$25)*$J$25*EXP(-(($L$25*($B191-$M$25))^$K$25))+$G$26))</f>
        <v>0.674938303408895</v>
      </c>
      <c r="D191" s="21">
        <f>10^(-(($G$21+$H$21*'Advanced Outputs'!C$60^$I$21)*(($B191/$M$21)^-$K$21)+($G$22+$H$22*'Advanced Outputs'!C$60^$I$22)*$J$22*EXP(-(($L$22*($B191-$M$22))^$K$22))+($G$23+$H$23*'Advanced Outputs'!C$60^$I$23)*$J$23*EXP(-(($L$23*($B191-$M$23))^$K$23))+($G$24+$H$24*'Advanced Outputs'!C$60^$I$24)*$J$24*EXP(-(($L$24*($B191-$M$24))^$K$24))+($G$25+$H$25*'Advanced Outputs'!C$60^$I$25)*$J$25*EXP(-(($L$25*($B191-$M$25))^$K$25))+$G$26))</f>
        <v>0.759781665534534</v>
      </c>
      <c r="E191" s="21">
        <f t="shared" si="2"/>
        <v>0.888331916951499</v>
      </c>
      <c r="F191" s="12"/>
      <c r="G191" s="9"/>
      <c r="H191" s="9"/>
      <c r="I191" s="9"/>
      <c r="J191" s="9"/>
      <c r="K191" s="9"/>
      <c r="L191" s="9"/>
      <c r="M191" s="9"/>
    </row>
    <row r="192" hidden="1" spans="1:13">
      <c r="A192" s="4"/>
      <c r="B192" s="4">
        <v>551</v>
      </c>
      <c r="C192" s="21">
        <f>10^(-(($G$21+$H$21*'Advanced Outputs'!C$61^$I$21)*(($B192/$M$21)^-$K$21)+($G$22+$H$22*'Advanced Outputs'!C$61^$I$22)*$J$22*EXP(-(($L$22*($B192-$M$22))^$K$22))+($G$23+$H$23*'Advanced Outputs'!C$61^$I$23)*$J$23*EXP(-(($L$23*($B192-$M$23))^$K$23))+($G$24+$H$24*'Advanced Outputs'!C$61^$I$24)*$J$24*EXP(-(($L$24*($B192-$M$24))^$K$24))+($G$25+$H$25*'Advanced Outputs'!C$61^$I$25)*$J$25*EXP(-(($L$25*($B192-$M$25))^$K$25))+$G$26))</f>
        <v>0.677247333648499</v>
      </c>
      <c r="D192" s="21">
        <f>10^(-(($G$21+$H$21*'Advanced Outputs'!C$60^$I$21)*(($B192/$M$21)^-$K$21)+($G$22+$H$22*'Advanced Outputs'!C$60^$I$22)*$J$22*EXP(-(($L$22*($B192-$M$22))^$K$22))+($G$23+$H$23*'Advanced Outputs'!C$60^$I$23)*$J$23*EXP(-(($L$23*($B192-$M$23))^$K$23))+($G$24+$H$24*'Advanced Outputs'!C$60^$I$24)*$J$24*EXP(-(($L$24*($B192-$M$24))^$K$24))+($G$25+$H$25*'Advanced Outputs'!C$60^$I$25)*$J$25*EXP(-(($L$25*($B192-$M$25))^$K$25))+$G$26))</f>
        <v>0.7608477996384</v>
      </c>
      <c r="E192" s="21">
        <f t="shared" si="2"/>
        <v>0.890121958649769</v>
      </c>
      <c r="F192" s="12"/>
      <c r="G192" s="9"/>
      <c r="H192" s="9"/>
      <c r="I192" s="9"/>
      <c r="J192" s="9"/>
      <c r="K192" s="9"/>
      <c r="L192" s="9"/>
      <c r="M192" s="9"/>
    </row>
    <row r="193" hidden="1" spans="1:13">
      <c r="A193" s="4"/>
      <c r="B193" s="4">
        <v>552</v>
      </c>
      <c r="C193" s="21">
        <f>10^(-(($G$21+$H$21*'Advanced Outputs'!C$61^$I$21)*(($B193/$M$21)^-$K$21)+($G$22+$H$22*'Advanced Outputs'!C$61^$I$22)*$J$22*EXP(-(($L$22*($B193-$M$22))^$K$22))+($G$23+$H$23*'Advanced Outputs'!C$61^$I$23)*$J$23*EXP(-(($L$23*($B193-$M$23))^$K$23))+($G$24+$H$24*'Advanced Outputs'!C$61^$I$24)*$J$24*EXP(-(($L$24*($B193-$M$24))^$K$24))+($G$25+$H$25*'Advanced Outputs'!C$61^$I$25)*$J$25*EXP(-(($L$25*($B193-$M$25))^$K$25))+$G$26))</f>
        <v>0.679521597422843</v>
      </c>
      <c r="D193" s="21">
        <f>10^(-(($G$21+$H$21*'Advanced Outputs'!C$60^$I$21)*(($B193/$M$21)^-$K$21)+($G$22+$H$22*'Advanced Outputs'!C$60^$I$22)*$J$22*EXP(-(($L$22*($B193-$M$22))^$K$22))+($G$23+$H$23*'Advanced Outputs'!C$60^$I$23)*$J$23*EXP(-(($L$23*($B193-$M$23))^$K$23))+($G$24+$H$24*'Advanced Outputs'!C$60^$I$24)*$J$24*EXP(-(($L$24*($B193-$M$24))^$K$24))+($G$25+$H$25*'Advanced Outputs'!C$60^$I$25)*$J$25*EXP(-(($L$25*($B193-$M$25))^$K$25))+$G$26))</f>
        <v>0.761899367546676</v>
      </c>
      <c r="E193" s="21">
        <f t="shared" si="2"/>
        <v>0.89187841120135</v>
      </c>
      <c r="F193" s="12"/>
      <c r="G193" s="9"/>
      <c r="H193" s="9"/>
      <c r="I193" s="9"/>
      <c r="J193" s="9"/>
      <c r="K193" s="9"/>
      <c r="L193" s="9"/>
      <c r="M193" s="9"/>
    </row>
    <row r="194" hidden="1" spans="1:13">
      <c r="A194" s="4"/>
      <c r="B194" s="4">
        <v>553</v>
      </c>
      <c r="C194" s="21">
        <f>10^(-(($G$21+$H$21*'Advanced Outputs'!C$61^$I$21)*(($B194/$M$21)^-$K$21)+($G$22+$H$22*'Advanced Outputs'!C$61^$I$22)*$J$22*EXP(-(($L$22*($B194-$M$22))^$K$22))+($G$23+$H$23*'Advanced Outputs'!C$61^$I$23)*$J$23*EXP(-(($L$23*($B194-$M$23))^$K$23))+($G$24+$H$24*'Advanced Outputs'!C$61^$I$24)*$J$24*EXP(-(($L$24*($B194-$M$24))^$K$24))+($G$25+$H$25*'Advanced Outputs'!C$61^$I$25)*$J$25*EXP(-(($L$25*($B194-$M$25))^$K$25))+$G$26))</f>
        <v>0.68176141851595</v>
      </c>
      <c r="D194" s="21">
        <f>10^(-(($G$21+$H$21*'Advanced Outputs'!C$60^$I$21)*(($B194/$M$21)^-$K$21)+($G$22+$H$22*'Advanced Outputs'!C$60^$I$22)*$J$22*EXP(-(($L$22*($B194-$M$22))^$K$22))+($G$23+$H$23*'Advanced Outputs'!C$60^$I$23)*$J$23*EXP(-(($L$23*($B194-$M$23))^$K$23))+($G$24+$H$24*'Advanced Outputs'!C$60^$I$24)*$J$24*EXP(-(($L$24*($B194-$M$24))^$K$24))+($G$25+$H$25*'Advanced Outputs'!C$60^$I$25)*$J$25*EXP(-(($L$25*($B194-$M$25))^$K$25))+$G$26))</f>
        <v>0.762936556469672</v>
      </c>
      <c r="E194" s="21">
        <f t="shared" si="2"/>
        <v>0.893601719218511</v>
      </c>
      <c r="F194" s="12"/>
      <c r="G194" s="9"/>
      <c r="H194" s="9"/>
      <c r="I194" s="9"/>
      <c r="J194" s="9"/>
      <c r="K194" s="9"/>
      <c r="L194" s="9"/>
      <c r="M194" s="9"/>
    </row>
    <row r="195" hidden="1" spans="1:13">
      <c r="A195" s="4"/>
      <c r="B195" s="4">
        <v>554</v>
      </c>
      <c r="C195" s="21">
        <f>10^(-(($G$21+$H$21*'Advanced Outputs'!C$61^$I$21)*(($B195/$M$21)^-$K$21)+($G$22+$H$22*'Advanced Outputs'!C$61^$I$22)*$J$22*EXP(-(($L$22*($B195-$M$22))^$K$22))+($G$23+$H$23*'Advanced Outputs'!C$61^$I$23)*$J$23*EXP(-(($L$23*($B195-$M$23))^$K$23))+($G$24+$H$24*'Advanced Outputs'!C$61^$I$24)*$J$24*EXP(-(($L$24*($B195-$M$24))^$K$24))+($G$25+$H$25*'Advanced Outputs'!C$61^$I$25)*$J$25*EXP(-(($L$25*($B195-$M$25))^$K$25))+$G$26))</f>
        <v>0.683967128878209</v>
      </c>
      <c r="D195" s="21">
        <f>10^(-(($G$21+$H$21*'Advanced Outputs'!C$60^$I$21)*(($B195/$M$21)^-$K$21)+($G$22+$H$22*'Advanced Outputs'!C$60^$I$22)*$J$22*EXP(-(($L$22*($B195-$M$22))^$K$22))+($G$23+$H$23*'Advanced Outputs'!C$60^$I$23)*$J$23*EXP(-(($L$23*($B195-$M$23))^$K$23))+($G$24+$H$24*'Advanced Outputs'!C$60^$I$24)*$J$24*EXP(-(($L$24*($B195-$M$24))^$K$24))+($G$25+$H$25*'Advanced Outputs'!C$60^$I$25)*$J$25*EXP(-(($L$25*($B195-$M$25))^$K$25))+$G$26))</f>
        <v>0.763959553410873</v>
      </c>
      <c r="E195" s="21">
        <f t="shared" si="2"/>
        <v>0.895292330365502</v>
      </c>
      <c r="F195" s="12"/>
      <c r="G195" s="9"/>
      <c r="H195" s="9"/>
      <c r="I195" s="9"/>
      <c r="J195" s="9"/>
      <c r="K195" s="9"/>
      <c r="L195" s="9"/>
      <c r="M195" s="9"/>
    </row>
    <row r="196" hidden="1" spans="1:13">
      <c r="A196" s="4"/>
      <c r="B196" s="4">
        <v>555</v>
      </c>
      <c r="C196" s="21">
        <f>10^(-(($G$21+$H$21*'Advanced Outputs'!C$61^$I$21)*(($B196/$M$21)^-$K$21)+($G$22+$H$22*'Advanced Outputs'!C$61^$I$22)*$J$22*EXP(-(($L$22*($B196-$M$22))^$K$22))+($G$23+$H$23*'Advanced Outputs'!C$61^$I$23)*$J$23*EXP(-(($L$23*($B196-$M$23))^$K$23))+($G$24+$H$24*'Advanced Outputs'!C$61^$I$24)*$J$24*EXP(-(($L$24*($B196-$M$24))^$K$24))+($G$25+$H$25*'Advanced Outputs'!C$61^$I$25)*$J$25*EXP(-(($L$25*($B196-$M$25))^$K$25))+$G$26))</f>
        <v>0.686139068119314</v>
      </c>
      <c r="D196" s="21">
        <f>10^(-(($G$21+$H$21*'Advanced Outputs'!C$60^$I$21)*(($B196/$M$21)^-$K$21)+($G$22+$H$22*'Advanced Outputs'!C$60^$I$22)*$J$22*EXP(-(($L$22*($B196-$M$22))^$K$22))+($G$23+$H$23*'Advanced Outputs'!C$60^$I$23)*$J$23*EXP(-(($L$23*($B196-$M$23))^$K$23))+($G$24+$H$24*'Advanced Outputs'!C$60^$I$24)*$J$24*EXP(-(($L$24*($B196-$M$24))^$K$24))+($G$25+$H$25*'Advanced Outputs'!C$60^$I$25)*$J$25*EXP(-(($L$25*($B196-$M$25))^$K$25))+$G$26))</f>
        <v>0.764968545073147</v>
      </c>
      <c r="E196" s="21">
        <f t="shared" si="2"/>
        <v>0.896950694951391</v>
      </c>
      <c r="F196" s="12"/>
      <c r="G196" s="9"/>
      <c r="H196" s="9"/>
      <c r="I196" s="9"/>
      <c r="J196" s="9"/>
      <c r="K196" s="9"/>
      <c r="L196" s="9"/>
      <c r="M196" s="9"/>
    </row>
    <row r="197" hidden="1" spans="1:13">
      <c r="A197" s="4"/>
      <c r="B197" s="4">
        <v>556</v>
      </c>
      <c r="C197" s="21">
        <f>10^(-(($G$21+$H$21*'Advanced Outputs'!C$61^$I$21)*(($B197/$M$21)^-$K$21)+($G$22+$H$22*'Advanced Outputs'!C$61^$I$22)*$J$22*EXP(-(($L$22*($B197-$M$22))^$K$22))+($G$23+$H$23*'Advanced Outputs'!C$61^$I$23)*$J$23*EXP(-(($L$23*($B197-$M$23))^$K$23))+($G$24+$H$24*'Advanced Outputs'!C$61^$I$24)*$J$24*EXP(-(($L$24*($B197-$M$24))^$K$24))+($G$25+$H$25*'Advanced Outputs'!C$61^$I$25)*$J$25*EXP(-(($L$25*($B197-$M$25))^$K$25))+$G$26))</f>
        <v>0.688277583009648</v>
      </c>
      <c r="D197" s="21">
        <f>10^(-(($G$21+$H$21*'Advanced Outputs'!C$60^$I$21)*(($B197/$M$21)^-$K$21)+($G$22+$H$22*'Advanced Outputs'!C$60^$I$22)*$J$22*EXP(-(($L$22*($B197-$M$22))^$K$22))+($G$23+$H$23*'Advanced Outputs'!C$60^$I$23)*$J$23*EXP(-(($L$23*($B197-$M$23))^$K$23))+($G$24+$H$24*'Advanced Outputs'!C$60^$I$24)*$J$24*EXP(-(($L$24*($B197-$M$24))^$K$24))+($G$25+$H$25*'Advanced Outputs'!C$60^$I$25)*$J$25*EXP(-(($L$25*($B197-$M$25))^$K$25))+$G$26))</f>
        <v>0.765963717767893</v>
      </c>
      <c r="E197" s="21">
        <f t="shared" si="2"/>
        <v>0.898577265533371</v>
      </c>
      <c r="F197" s="12"/>
      <c r="G197" s="9"/>
      <c r="H197" s="9"/>
      <c r="I197" s="9"/>
      <c r="J197" s="9"/>
      <c r="K197" s="9"/>
      <c r="L197" s="9"/>
      <c r="M197" s="9"/>
    </row>
    <row r="198" hidden="1" spans="1:13">
      <c r="A198" s="4"/>
      <c r="B198" s="4">
        <v>557</v>
      </c>
      <c r="C198" s="21">
        <f>10^(-(($G$21+$H$21*'Advanced Outputs'!C$61^$I$21)*(($B198/$M$21)^-$K$21)+($G$22+$H$22*'Advanced Outputs'!C$61^$I$22)*$J$22*EXP(-(($L$22*($B198-$M$22))^$K$22))+($G$23+$H$23*'Advanced Outputs'!C$61^$I$23)*$J$23*EXP(-(($L$23*($B198-$M$23))^$K$23))+($G$24+$H$24*'Advanced Outputs'!C$61^$I$24)*$J$24*EXP(-(($L$24*($B198-$M$24))^$K$24))+($G$25+$H$25*'Advanced Outputs'!C$61^$I$25)*$J$25*EXP(-(($L$25*($B198-$M$25))^$K$25))+$G$26))</f>
        <v>0.690383026990539</v>
      </c>
      <c r="D198" s="21">
        <f>10^(-(($G$21+$H$21*'Advanced Outputs'!C$60^$I$21)*(($B198/$M$21)^-$K$21)+($G$22+$H$22*'Advanced Outputs'!C$60^$I$22)*$J$22*EXP(-(($L$22*($B198-$M$22))^$K$22))+($G$23+$H$23*'Advanced Outputs'!C$60^$I$23)*$J$23*EXP(-(($L$23*($B198-$M$23))^$K$23))+($G$24+$H$24*'Advanced Outputs'!C$60^$I$24)*$J$24*EXP(-(($L$24*($B198-$M$24))^$K$24))+($G$25+$H$25*'Advanced Outputs'!C$60^$I$25)*$J$25*EXP(-(($L$25*($B198-$M$25))^$K$25))+$G$26))</f>
        <v>0.766945257327132</v>
      </c>
      <c r="E198" s="21">
        <f t="shared" si="2"/>
        <v>0.900172496530694</v>
      </c>
      <c r="F198" s="12"/>
      <c r="G198" s="9"/>
      <c r="H198" s="9"/>
      <c r="I198" s="9"/>
      <c r="J198" s="9"/>
      <c r="K198" s="9"/>
      <c r="L198" s="9"/>
      <c r="M198" s="9"/>
    </row>
    <row r="199" hidden="1" spans="1:13">
      <c r="A199" s="4"/>
      <c r="B199" s="4">
        <v>558</v>
      </c>
      <c r="C199" s="21">
        <f>10^(-(($G$21+$H$21*'Advanced Outputs'!C$61^$I$21)*(($B199/$M$21)^-$K$21)+($G$22+$H$22*'Advanced Outputs'!C$61^$I$22)*$J$22*EXP(-(($L$22*($B199-$M$22))^$K$22))+($G$23+$H$23*'Advanced Outputs'!C$61^$I$23)*$J$23*EXP(-(($L$23*($B199-$M$23))^$K$23))+($G$24+$H$24*'Advanced Outputs'!C$61^$I$24)*$J$24*EXP(-(($L$24*($B199-$M$24))^$K$24))+($G$25+$H$25*'Advanced Outputs'!C$61^$I$25)*$J$25*EXP(-(($L$25*($B199-$M$25))^$K$25))+$G$26))</f>
        <v>0.692455759693751</v>
      </c>
      <c r="D199" s="21">
        <f>10^(-(($G$21+$H$21*'Advanced Outputs'!C$60^$I$21)*(($B199/$M$21)^-$K$21)+($G$22+$H$22*'Advanced Outputs'!C$60^$I$22)*$J$22*EXP(-(($L$22*($B199-$M$22))^$K$22))+($G$23+$H$23*'Advanced Outputs'!C$60^$I$23)*$J$23*EXP(-(($L$23*($B199-$M$23))^$K$23))+($G$24+$H$24*'Advanced Outputs'!C$60^$I$24)*$J$24*EXP(-(($L$24*($B199-$M$24))^$K$24))+($G$25+$H$25*'Advanced Outputs'!C$60^$I$25)*$J$25*EXP(-(($L$25*($B199-$M$25))^$K$25))+$G$26))</f>
        <v>0.767913349018545</v>
      </c>
      <c r="E199" s="21">
        <f t="shared" si="2"/>
        <v>0.901736843849329</v>
      </c>
      <c r="F199" s="12"/>
      <c r="G199" s="9"/>
      <c r="H199" s="9"/>
      <c r="I199" s="9"/>
      <c r="J199" s="9"/>
      <c r="K199" s="9"/>
      <c r="L199" s="9"/>
      <c r="M199" s="9"/>
    </row>
    <row r="200" hidden="1" spans="1:13">
      <c r="A200" s="4"/>
      <c r="B200" s="4">
        <v>559</v>
      </c>
      <c r="C200" s="21">
        <f>10^(-(($G$21+$H$21*'Advanced Outputs'!C$61^$I$21)*(($B200/$M$21)^-$K$21)+($G$22+$H$22*'Advanced Outputs'!C$61^$I$22)*$J$22*EXP(-(($L$22*($B200-$M$22))^$K$22))+($G$23+$H$23*'Advanced Outputs'!C$61^$I$23)*$J$23*EXP(-(($L$23*($B200-$M$23))^$K$23))+($G$24+$H$24*'Advanced Outputs'!C$61^$I$24)*$J$24*EXP(-(($L$24*($B200-$M$24))^$K$24))+($G$25+$H$25*'Advanced Outputs'!C$61^$I$25)*$J$25*EXP(-(($L$25*($B200-$M$25))^$K$25))+$G$26))</f>
        <v>0.694496146470563</v>
      </c>
      <c r="D200" s="21">
        <f>10^(-(($G$21+$H$21*'Advanced Outputs'!C$60^$I$21)*(($B200/$M$21)^-$K$21)+($G$22+$H$22*'Advanced Outputs'!C$60^$I$22)*$J$22*EXP(-(($L$22*($B200-$M$22))^$K$22))+($G$23+$H$23*'Advanced Outputs'!C$60^$I$23)*$J$23*EXP(-(($L$23*($B200-$M$23))^$K$23))+($G$24+$H$24*'Advanced Outputs'!C$60^$I$24)*$J$24*EXP(-(($L$24*($B200-$M$24))^$K$24))+($G$25+$H$25*'Advanced Outputs'!C$60^$I$25)*$J$25*EXP(-(($L$25*($B200-$M$25))^$K$25))+$G$26))</f>
        <v>0.768868177463442</v>
      </c>
      <c r="E200" s="21">
        <f t="shared" si="2"/>
        <v>0.903270764517477</v>
      </c>
      <c r="F200" s="12"/>
      <c r="G200" s="9"/>
      <c r="H200" s="9"/>
      <c r="I200" s="9"/>
      <c r="J200" s="9"/>
      <c r="K200" s="9"/>
      <c r="L200" s="9"/>
      <c r="M200" s="9"/>
    </row>
    <row r="201" hidden="1" spans="1:13">
      <c r="A201" s="4"/>
      <c r="B201" s="4">
        <v>560</v>
      </c>
      <c r="C201" s="21">
        <f>10^(-(($G$21+$H$21*'Advanced Outputs'!C$61^$I$21)*(($B201/$M$21)^-$K$21)+($G$22+$H$22*'Advanced Outputs'!C$61^$I$22)*$J$22*EXP(-(($L$22*($B201-$M$22))^$K$22))+($G$23+$H$23*'Advanced Outputs'!C$61^$I$23)*$J$23*EXP(-(($L$23*($B201-$M$23))^$K$23))+($G$24+$H$24*'Advanced Outputs'!C$61^$I$24)*$J$24*EXP(-(($L$24*($B201-$M$24))^$K$24))+($G$25+$H$25*'Advanced Outputs'!C$61^$I$25)*$J$25*EXP(-(($L$25*($B201-$M$25))^$K$25))+$G$26))</f>
        <v>0.696504557930747</v>
      </c>
      <c r="D201" s="21">
        <f>10^(-(($G$21+$H$21*'Advanced Outputs'!C$60^$I$21)*(($B201/$M$21)^-$K$21)+($G$22+$H$22*'Advanced Outputs'!C$60^$I$22)*$J$22*EXP(-(($L$22*($B201-$M$22))^$K$22))+($G$23+$H$23*'Advanced Outputs'!C$60^$I$23)*$J$23*EXP(-(($L$23*($B201-$M$23))^$K$23))+($G$24+$H$24*'Advanced Outputs'!C$60^$I$24)*$J$24*EXP(-(($L$24*($B201-$M$24))^$K$24))+($G$25+$H$25*'Advanced Outputs'!C$60^$I$25)*$J$25*EXP(-(($L$25*($B201-$M$25))^$K$25))+$G$26))</f>
        <v>0.769809926557651</v>
      </c>
      <c r="E201" s="21">
        <f t="shared" si="2"/>
        <v>0.904774716331987</v>
      </c>
      <c r="F201" s="12"/>
      <c r="G201" s="9"/>
      <c r="H201" s="9"/>
      <c r="I201" s="9"/>
      <c r="J201" s="9"/>
      <c r="K201" s="9"/>
      <c r="L201" s="9"/>
      <c r="M201" s="9"/>
    </row>
    <row r="202" hidden="1" spans="1:13">
      <c r="A202" s="4"/>
      <c r="B202" s="4">
        <v>561</v>
      </c>
      <c r="C202" s="21">
        <f>10^(-(($G$21+$H$21*'Advanced Outputs'!C$61^$I$21)*(($B202/$M$21)^-$K$21)+($G$22+$H$22*'Advanced Outputs'!C$61^$I$22)*$J$22*EXP(-(($L$22*($B202-$M$22))^$K$22))+($G$23+$H$23*'Advanced Outputs'!C$61^$I$23)*$J$23*EXP(-(($L$23*($B202-$M$23))^$K$23))+($G$24+$H$24*'Advanced Outputs'!C$61^$I$24)*$J$24*EXP(-(($L$24*($B202-$M$24))^$K$24))+($G$25+$H$25*'Advanced Outputs'!C$61^$I$25)*$J$25*EXP(-(($L$25*($B202-$M$25))^$K$25))+$G$26))</f>
        <v>0.698481369491726</v>
      </c>
      <c r="D202" s="21">
        <f>10^(-(($G$21+$H$21*'Advanced Outputs'!C$60^$I$21)*(($B202/$M$21)^-$K$21)+($G$22+$H$22*'Advanced Outputs'!C$60^$I$22)*$J$22*EXP(-(($L$22*($B202-$M$22))^$K$22))+($G$23+$H$23*'Advanced Outputs'!C$60^$I$23)*$J$23*EXP(-(($L$23*($B202-$M$23))^$K$23))+($G$24+$H$24*'Advanced Outputs'!C$60^$I$24)*$J$24*EXP(-(($L$24*($B202-$M$24))^$K$24))+($G$25+$H$25*'Advanced Outputs'!C$60^$I$25)*$J$25*EXP(-(($L$25*($B202-$M$25))^$K$25))+$G$26))</f>
        <v>0.770738779395322</v>
      </c>
      <c r="E202" s="21">
        <f t="shared" si="2"/>
        <v>0.906249157515747</v>
      </c>
      <c r="F202" s="12"/>
      <c r="G202" s="9"/>
      <c r="H202" s="9"/>
      <c r="I202" s="9"/>
      <c r="J202" s="9"/>
      <c r="K202" s="9"/>
      <c r="L202" s="9"/>
      <c r="M202" s="9"/>
    </row>
    <row r="203" hidden="1" spans="1:13">
      <c r="A203" s="4"/>
      <c r="B203" s="4">
        <v>562</v>
      </c>
      <c r="C203" s="21">
        <f>10^(-(($G$21+$H$21*'Advanced Outputs'!C$61^$I$21)*(($B203/$M$21)^-$K$21)+($G$22+$H$22*'Advanced Outputs'!C$61^$I$22)*$J$22*EXP(-(($L$22*($B203-$M$22))^$K$22))+($G$23+$H$23*'Advanced Outputs'!C$61^$I$23)*$J$23*EXP(-(($L$23*($B203-$M$23))^$K$23))+($G$24+$H$24*'Advanced Outputs'!C$61^$I$24)*$J$24*EXP(-(($L$24*($B203-$M$24))^$K$24))+($G$25+$H$25*'Advanced Outputs'!C$61^$I$25)*$J$25*EXP(-(($L$25*($B203-$M$25))^$K$25))+$G$26))</f>
        <v>0.700426960938161</v>
      </c>
      <c r="D203" s="21">
        <f>10^(-(($G$21+$H$21*'Advanced Outputs'!C$60^$I$21)*(($B203/$M$21)^-$K$21)+($G$22+$H$22*'Advanced Outputs'!C$60^$I$22)*$J$22*EXP(-(($L$22*($B203-$M$22))^$K$22))+($G$23+$H$23*'Advanced Outputs'!C$60^$I$23)*$J$23*EXP(-(($L$23*($B203-$M$23))^$K$23))+($G$24+$H$24*'Advanced Outputs'!C$60^$I$24)*$J$24*EXP(-(($L$24*($B203-$M$24))^$K$24))+($G$25+$H$25*'Advanced Outputs'!C$60^$I$25)*$J$25*EXP(-(($L$25*($B203-$M$25))^$K$25))+$G$26))</f>
        <v>0.771654918195619</v>
      </c>
      <c r="E203" s="21">
        <f t="shared" si="2"/>
        <v>0.907694546386082</v>
      </c>
      <c r="F203" s="12"/>
      <c r="G203" s="9"/>
      <c r="H203" s="9"/>
      <c r="I203" s="9"/>
      <c r="J203" s="9"/>
      <c r="K203" s="9"/>
      <c r="L203" s="9"/>
      <c r="M203" s="9"/>
    </row>
    <row r="204" hidden="1" spans="1:13">
      <c r="A204" s="4"/>
      <c r="B204" s="4">
        <v>563</v>
      </c>
      <c r="C204" s="21">
        <f>10^(-(($G$21+$H$21*'Advanced Outputs'!C$61^$I$21)*(($B204/$M$21)^-$K$21)+($G$22+$H$22*'Advanced Outputs'!C$61^$I$22)*$J$22*EXP(-(($L$22*($B204-$M$22))^$K$22))+($G$23+$H$23*'Advanced Outputs'!C$61^$I$23)*$J$23*EXP(-(($L$23*($B204-$M$23))^$K$23))+($G$24+$H$24*'Advanced Outputs'!C$61^$I$24)*$J$24*EXP(-(($L$24*($B204-$M$24))^$K$24))+($G$25+$H$25*'Advanced Outputs'!C$61^$I$25)*$J$25*EXP(-(($L$25*($B204-$M$25))^$K$25))+$G$26))</f>
        <v>0.702341715992187</v>
      </c>
      <c r="D204" s="21">
        <f>10^(-(($G$21+$H$21*'Advanced Outputs'!C$60^$I$21)*(($B204/$M$21)^-$K$21)+($G$22+$H$22*'Advanced Outputs'!C$60^$I$22)*$J$22*EXP(-(($L$22*($B204-$M$22))^$K$22))+($G$23+$H$23*'Advanced Outputs'!C$60^$I$23)*$J$23*EXP(-(($L$23*($B204-$M$23))^$K$23))+($G$24+$H$24*'Advanced Outputs'!C$60^$I$24)*$J$24*EXP(-(($L$24*($B204-$M$24))^$K$24))+($G$25+$H$25*'Advanced Outputs'!C$60^$I$25)*$J$25*EXP(-(($L$25*($B204-$M$25))^$K$25))+$G$26))</f>
        <v>0.772558524232283</v>
      </c>
      <c r="E204" s="21">
        <f t="shared" si="2"/>
        <v>0.909111341034166</v>
      </c>
      <c r="F204" s="12"/>
      <c r="G204" s="9"/>
      <c r="H204" s="9"/>
      <c r="I204" s="9"/>
      <c r="J204" s="9"/>
      <c r="K204" s="9"/>
      <c r="L204" s="9"/>
      <c r="M204" s="9"/>
    </row>
    <row r="205" hidden="1" spans="1:13">
      <c r="A205" s="4"/>
      <c r="B205" s="4">
        <v>564</v>
      </c>
      <c r="C205" s="21">
        <f>10^(-(($G$21+$H$21*'Advanced Outputs'!C$61^$I$21)*(($B205/$M$21)^-$K$21)+($G$22+$H$22*'Advanced Outputs'!C$61^$I$22)*$J$22*EXP(-(($L$22*($B205-$M$22))^$K$22))+($G$23+$H$23*'Advanced Outputs'!C$61^$I$23)*$J$23*EXP(-(($L$23*($B205-$M$23))^$K$23))+($G$24+$H$24*'Advanced Outputs'!C$61^$I$24)*$J$24*EXP(-(($L$24*($B205-$M$24))^$K$24))+($G$25+$H$25*'Advanced Outputs'!C$61^$I$25)*$J$25*EXP(-(($L$25*($B205-$M$25))^$K$25))+$G$26))</f>
        <v>0.70422602189449</v>
      </c>
      <c r="D205" s="21">
        <f>10^(-(($G$21+$H$21*'Advanced Outputs'!C$60^$I$21)*(($B205/$M$21)^-$K$21)+($G$22+$H$22*'Advanced Outputs'!C$60^$I$22)*$J$22*EXP(-(($L$22*($B205-$M$22))^$K$22))+($G$23+$H$23*'Advanced Outputs'!C$60^$I$23)*$J$23*EXP(-(($L$23*($B205-$M$23))^$K$23))+($G$24+$H$24*'Advanced Outputs'!C$60^$I$24)*$J$24*EXP(-(($L$24*($B205-$M$24))^$K$24))+($G$25+$H$25*'Advanced Outputs'!C$60^$I$25)*$J$25*EXP(-(($L$25*($B205-$M$25))^$K$25))+$G$26))</f>
        <v>0.773449777766049</v>
      </c>
      <c r="E205" s="21">
        <f t="shared" si="2"/>
        <v>0.910499999015453</v>
      </c>
      <c r="F205" s="12"/>
      <c r="G205" s="9"/>
      <c r="H205" s="9"/>
      <c r="I205" s="9"/>
      <c r="J205" s="9"/>
      <c r="K205" s="9"/>
      <c r="L205" s="9"/>
      <c r="M205" s="9"/>
    </row>
    <row r="206" hidden="1" spans="1:13">
      <c r="A206" s="4"/>
      <c r="B206" s="4">
        <v>565</v>
      </c>
      <c r="C206" s="21">
        <f>10^(-(($G$21+$H$21*'Advanced Outputs'!C$61^$I$21)*(($B206/$M$21)^-$K$21)+($G$22+$H$22*'Advanced Outputs'!C$61^$I$22)*$J$22*EXP(-(($L$22*($B206-$M$22))^$K$22))+($G$23+$H$23*'Advanced Outputs'!C$61^$I$23)*$J$23*EXP(-(($L$23*($B206-$M$23))^$K$23))+($G$24+$H$24*'Advanced Outputs'!C$61^$I$24)*$J$24*EXP(-(($L$24*($B206-$M$24))^$K$24))+($G$25+$H$25*'Advanced Outputs'!C$61^$I$25)*$J$25*EXP(-(($L$25*($B206-$M$25))^$K$25))+$G$26))</f>
        <v>0.706080268996395</v>
      </c>
      <c r="D206" s="21">
        <f>10^(-(($G$21+$H$21*'Advanced Outputs'!C$60^$I$21)*(($B206/$M$21)^-$K$21)+($G$22+$H$22*'Advanced Outputs'!C$60^$I$22)*$J$22*EXP(-(($L$22*($B206-$M$22))^$K$22))+($G$23+$H$23*'Advanced Outputs'!C$60^$I$23)*$J$23*EXP(-(($L$23*($B206-$M$23))^$K$23))+($G$24+$H$24*'Advanced Outputs'!C$60^$I$24)*$J$24*EXP(-(($L$24*($B206-$M$24))^$K$24))+($G$25+$H$25*'Advanced Outputs'!C$60^$I$25)*$J$25*EXP(-(($L$25*($B206-$M$25))^$K$25))+$G$26))</f>
        <v>0.774328857979872</v>
      </c>
      <c r="E206" s="21">
        <f t="shared" si="2"/>
        <v>0.911860977051108</v>
      </c>
      <c r="F206" s="12"/>
      <c r="G206" s="9"/>
      <c r="H206" s="9"/>
      <c r="I206" s="9"/>
      <c r="J206" s="9"/>
      <c r="K206" s="9"/>
      <c r="L206" s="9"/>
      <c r="M206" s="9"/>
    </row>
    <row r="207" hidden="1" spans="1:13">
      <c r="A207" s="4"/>
      <c r="B207" s="4">
        <v>566</v>
      </c>
      <c r="C207" s="21">
        <f>10^(-(($G$21+$H$21*'Advanced Outputs'!C$61^$I$21)*(($B207/$M$21)^-$K$21)+($G$22+$H$22*'Advanced Outputs'!C$61^$I$22)*$J$22*EXP(-(($L$22*($B207-$M$22))^$K$22))+($G$23+$H$23*'Advanced Outputs'!C$61^$I$23)*$J$23*EXP(-(($L$23*($B207-$M$23))^$K$23))+($G$24+$H$24*'Advanced Outputs'!C$61^$I$24)*$J$24*EXP(-(($L$24*($B207-$M$24))^$K$24))+($G$25+$H$25*'Advanced Outputs'!C$61^$I$25)*$J$25*EXP(-(($L$25*($B207-$M$25))^$K$25))+$G$26))</f>
        <v>0.707904850363086</v>
      </c>
      <c r="D207" s="21">
        <f>10^(-(($G$21+$H$21*'Advanced Outputs'!C$60^$I$21)*(($B207/$M$21)^-$K$21)+($G$22+$H$22*'Advanced Outputs'!C$60^$I$22)*$J$22*EXP(-(($L$22*($B207-$M$22))^$K$22))+($G$23+$H$23*'Advanced Outputs'!C$60^$I$23)*$J$23*EXP(-(($L$23*($B207-$M$23))^$K$23))+($G$24+$H$24*'Advanced Outputs'!C$60^$I$24)*$J$24*EXP(-(($L$24*($B207-$M$24))^$K$24))+($G$25+$H$25*'Advanced Outputs'!C$60^$I$25)*$J$25*EXP(-(($L$25*($B207-$M$25))^$K$25))+$G$26))</f>
        <v>0.775195942916955</v>
      </c>
      <c r="E207" s="21">
        <f t="shared" si="2"/>
        <v>0.913194730740383</v>
      </c>
      <c r="F207" s="12"/>
      <c r="G207" s="9"/>
      <c r="H207" s="9"/>
      <c r="I207" s="9"/>
      <c r="J207" s="9"/>
      <c r="K207" s="9"/>
      <c r="L207" s="9"/>
      <c r="M207" s="9"/>
    </row>
    <row r="208" hidden="1" spans="1:13">
      <c r="A208" s="4"/>
      <c r="B208" s="4">
        <v>567</v>
      </c>
      <c r="C208" s="21">
        <f>10^(-(($G$21+$H$21*'Advanced Outputs'!C$61^$I$21)*(($B208/$M$21)^-$K$21)+($G$22+$H$22*'Advanced Outputs'!C$61^$I$22)*$J$22*EXP(-(($L$22*($B208-$M$22))^$K$22))+($G$23+$H$23*'Advanced Outputs'!C$61^$I$23)*$J$23*EXP(-(($L$23*($B208-$M$23))^$K$23))+($G$24+$H$24*'Advanced Outputs'!C$61^$I$24)*$J$24*EXP(-(($L$24*($B208-$M$24))^$K$24))+($G$25+$H$25*'Advanced Outputs'!C$61^$I$25)*$J$25*EXP(-(($L$25*($B208-$M$25))^$K$25))+$G$26))</f>
        <v>0.709700161388094</v>
      </c>
      <c r="D208" s="21">
        <f>10^(-(($G$21+$H$21*'Advanced Outputs'!C$60^$I$21)*(($B208/$M$21)^-$K$21)+($G$22+$H$22*'Advanced Outputs'!C$60^$I$22)*$J$22*EXP(-(($L$22*($B208-$M$22))^$K$22))+($G$23+$H$23*'Advanced Outputs'!C$60^$I$23)*$J$23*EXP(-(($L$23*($B208-$M$23))^$K$23))+($G$24+$H$24*'Advanced Outputs'!C$60^$I$24)*$J$24*EXP(-(($L$24*($B208-$M$24))^$K$24))+($G$25+$H$25*'Advanced Outputs'!C$60^$I$25)*$J$25*EXP(-(($L$25*($B208-$M$25))^$K$25))+$G$26))</f>
        <v>0.776051209421529</v>
      </c>
      <c r="E208" s="21">
        <f t="shared" si="2"/>
        <v>0.914501714283916</v>
      </c>
      <c r="F208" s="12"/>
      <c r="G208" s="9"/>
      <c r="H208" s="9"/>
      <c r="I208" s="9"/>
      <c r="J208" s="9"/>
      <c r="K208" s="9"/>
      <c r="L208" s="9"/>
      <c r="M208" s="9"/>
    </row>
    <row r="209" hidden="1" spans="1:13">
      <c r="A209" s="4"/>
      <c r="B209" s="4">
        <v>568</v>
      </c>
      <c r="C209" s="21">
        <f>10^(-(($G$21+$H$21*'Advanced Outputs'!C$61^$I$21)*(($B209/$M$21)^-$K$21)+($G$22+$H$22*'Advanced Outputs'!C$61^$I$22)*$J$22*EXP(-(($L$22*($B209-$M$22))^$K$22))+($G$23+$H$23*'Advanced Outputs'!C$61^$I$23)*$J$23*EXP(-(($L$23*($B209-$M$23))^$K$23))+($G$24+$H$24*'Advanced Outputs'!C$61^$I$24)*$J$24*EXP(-(($L$24*($B209-$M$24))^$K$24))+($G$25+$H$25*'Advanced Outputs'!C$61^$I$25)*$J$25*EXP(-(($L$25*($B209-$M$25))^$K$25))+$G$26))</f>
        <v>0.711466599419118</v>
      </c>
      <c r="D209" s="21">
        <f>10^(-(($G$21+$H$21*'Advanced Outputs'!C$60^$I$21)*(($B209/$M$21)^-$K$21)+($G$22+$H$22*'Advanced Outputs'!C$60^$I$22)*$J$22*EXP(-(($L$22*($B209-$M$22))^$K$22))+($G$23+$H$23*'Advanced Outputs'!C$60^$I$23)*$J$23*EXP(-(($L$23*($B209-$M$23))^$K$23))+($G$24+$H$24*'Advanced Outputs'!C$60^$I$24)*$J$24*EXP(-(($L$24*($B209-$M$24))^$K$24))+($G$25+$H$25*'Advanced Outputs'!C$60^$I$25)*$J$25*EXP(-(($L$25*($B209-$M$25))^$K$25))+$G$26))</f>
        <v>0.776894833082368</v>
      </c>
      <c r="E209" s="21">
        <f t="shared" si="2"/>
        <v>0.915782380217848</v>
      </c>
      <c r="F209" s="12"/>
      <c r="G209" s="9"/>
      <c r="H209" s="9"/>
      <c r="I209" s="9"/>
      <c r="J209" s="9"/>
      <c r="K209" s="9"/>
      <c r="L209" s="9"/>
      <c r="M209" s="9"/>
    </row>
    <row r="210" hidden="1" spans="1:13">
      <c r="A210" s="4"/>
      <c r="B210" s="4">
        <v>569</v>
      </c>
      <c r="C210" s="21">
        <f>10^(-(($G$21+$H$21*'Advanced Outputs'!C$61^$I$21)*(($B210/$M$21)^-$K$21)+($G$22+$H$22*'Advanced Outputs'!C$61^$I$22)*$J$22*EXP(-(($L$22*($B210-$M$22))^$K$22))+($G$23+$H$23*'Advanced Outputs'!C$61^$I$23)*$J$23*EXP(-(($L$23*($B210-$M$23))^$K$23))+($G$24+$H$24*'Advanced Outputs'!C$61^$I$24)*$J$24*EXP(-(($L$24*($B210-$M$24))^$K$24))+($G$25+$H$25*'Advanced Outputs'!C$61^$I$25)*$J$25*EXP(-(($L$25*($B210-$M$25))^$K$25))+$G$26))</f>
        <v>0.713204563395255</v>
      </c>
      <c r="D210" s="21">
        <f>10^(-(($G$21+$H$21*'Advanced Outputs'!C$60^$I$21)*(($B210/$M$21)^-$K$21)+($G$22+$H$22*'Advanced Outputs'!C$60^$I$22)*$J$22*EXP(-(($L$22*($B210-$M$22))^$K$22))+($G$23+$H$23*'Advanced Outputs'!C$60^$I$23)*$J$23*EXP(-(($L$23*($B210-$M$23))^$K$23))+($G$24+$H$24*'Advanced Outputs'!C$60^$I$24)*$J$24*EXP(-(($L$24*($B210-$M$24))^$K$24))+($G$25+$H$25*'Advanced Outputs'!C$60^$I$25)*$J$25*EXP(-(($L$25*($B210-$M$25))^$K$25))+$G$26))</f>
        <v>0.777726988178985</v>
      </c>
      <c r="E210" s="21">
        <f t="shared" si="2"/>
        <v>0.917037179158708</v>
      </c>
      <c r="F210" s="12"/>
      <c r="G210" s="9"/>
      <c r="H210" s="9"/>
      <c r="I210" s="9"/>
      <c r="J210" s="9"/>
      <c r="K210" s="9"/>
      <c r="L210" s="9"/>
      <c r="M210" s="9"/>
    </row>
    <row r="211" hidden="1" spans="1:13">
      <c r="A211" s="4"/>
      <c r="B211" s="4">
        <v>570</v>
      </c>
      <c r="C211" s="21">
        <f>10^(-(($G$21+$H$21*'Advanced Outputs'!C$61^$I$21)*(($B211/$M$21)^-$K$21)+($G$22+$H$22*'Advanced Outputs'!C$61^$I$22)*$J$22*EXP(-(($L$22*($B211-$M$22))^$K$22))+($G$23+$H$23*'Advanced Outputs'!C$61^$I$23)*$J$23*EXP(-(($L$23*($B211-$M$23))^$K$23))+($G$24+$H$24*'Advanced Outputs'!C$61^$I$24)*$J$24*EXP(-(($L$24*($B211-$M$24))^$K$24))+($G$25+$H$25*'Advanced Outputs'!C$61^$I$25)*$J$25*EXP(-(($L$25*($B211-$M$25))^$K$25))+$G$26))</f>
        <v>0.714914453495676</v>
      </c>
      <c r="D211" s="21">
        <f>10^(-(($G$21+$H$21*'Advanced Outputs'!C$60^$I$21)*(($B211/$M$21)^-$K$21)+($G$22+$H$22*'Advanced Outputs'!C$60^$I$22)*$J$22*EXP(-(($L$22*($B211-$M$22))^$K$22))+($G$23+$H$23*'Advanced Outputs'!C$60^$I$23)*$J$23*EXP(-(($L$23*($B211-$M$23))^$K$23))+($G$24+$H$24*'Advanced Outputs'!C$60^$I$24)*$J$24*EXP(-(($L$24*($B211-$M$24))^$K$24))+($G$25+$H$25*'Advanced Outputs'!C$60^$I$25)*$J$25*EXP(-(($L$25*($B211-$M$25))^$K$25))+$G$26))</f>
        <v>0.778547847630488</v>
      </c>
      <c r="E211" s="21">
        <f t="shared" si="2"/>
        <v>0.918266559558952</v>
      </c>
      <c r="F211" s="12"/>
      <c r="G211" s="9"/>
      <c r="H211" s="9"/>
      <c r="I211" s="9"/>
      <c r="J211" s="9"/>
      <c r="K211" s="9"/>
      <c r="L211" s="9"/>
      <c r="M211" s="9"/>
    </row>
    <row r="212" hidden="1" spans="1:13">
      <c r="A212" s="4"/>
      <c r="B212" s="4">
        <v>571</v>
      </c>
      <c r="C212" s="21">
        <f>10^(-(($G$21+$H$21*'Advanced Outputs'!C$61^$I$21)*(($B212/$M$21)^-$K$21)+($G$22+$H$22*'Advanced Outputs'!C$61^$I$22)*$J$22*EXP(-(($L$22*($B212-$M$22))^$K$22))+($G$23+$H$23*'Advanced Outputs'!C$61^$I$23)*$J$23*EXP(-(($L$23*($B212-$M$23))^$K$23))+($G$24+$H$24*'Advanced Outputs'!C$61^$I$24)*$J$24*EXP(-(($L$24*($B212-$M$24))^$K$24))+($G$25+$H$25*'Advanced Outputs'!C$61^$I$25)*$J$25*EXP(-(($L$25*($B212-$M$25))^$K$25))+$G$26))</f>
        <v>0.716596670799772</v>
      </c>
      <c r="D212" s="21">
        <f>10^(-(($G$21+$H$21*'Advanced Outputs'!C$60^$I$21)*(($B212/$M$21)^-$K$21)+($G$22+$H$22*'Advanced Outputs'!C$60^$I$22)*$J$22*EXP(-(($L$22*($B212-$M$22))^$K$22))+($G$23+$H$23*'Advanced Outputs'!C$60^$I$23)*$J$23*EXP(-(($L$23*($B212-$M$23))^$K$23))+($G$24+$H$24*'Advanced Outputs'!C$60^$I$24)*$J$24*EXP(-(($L$24*($B212-$M$24))^$K$24))+($G$25+$H$25*'Advanced Outputs'!C$60^$I$25)*$J$25*EXP(-(($L$25*($B212-$M$25))^$K$25))+$G$26))</f>
        <v>0.779357582947041</v>
      </c>
      <c r="E212" s="21">
        <f t="shared" si="2"/>
        <v>0.919470967473048</v>
      </c>
      <c r="F212" s="12"/>
      <c r="G212" s="9"/>
      <c r="H212" s="9"/>
      <c r="I212" s="9"/>
      <c r="J212" s="9"/>
      <c r="K212" s="9"/>
      <c r="L212" s="9"/>
      <c r="M212" s="9"/>
    </row>
    <row r="213" hidden="1" spans="1:13">
      <c r="A213" s="4"/>
      <c r="B213" s="4">
        <v>572</v>
      </c>
      <c r="C213" s="21">
        <f>10^(-(($G$21+$H$21*'Advanced Outputs'!C$61^$I$21)*(($B213/$M$21)^-$K$21)+($G$22+$H$22*'Advanced Outputs'!C$61^$I$22)*$J$22*EXP(-(($L$22*($B213-$M$22))^$K$22))+($G$23+$H$23*'Advanced Outputs'!C$61^$I$23)*$J$23*EXP(-(($L$23*($B213-$M$23))^$K$23))+($G$24+$H$24*'Advanced Outputs'!C$61^$I$24)*$J$24*EXP(-(($L$24*($B213-$M$24))^$K$24))+($G$25+$H$25*'Advanced Outputs'!C$61^$I$25)*$J$25*EXP(-(($L$25*($B213-$M$25))^$K$25))+$G$26))</f>
        <v>0.718251616958765</v>
      </c>
      <c r="D213" s="21">
        <f>10^(-(($G$21+$H$21*'Advanced Outputs'!C$60^$I$21)*(($B213/$M$21)^-$K$21)+($G$22+$H$22*'Advanced Outputs'!C$60^$I$22)*$J$22*EXP(-(($L$22*($B213-$M$22))^$K$22))+($G$23+$H$23*'Advanced Outputs'!C$60^$I$23)*$J$23*EXP(-(($L$23*($B213-$M$23))^$K$23))+($G$24+$H$24*'Advanced Outputs'!C$60^$I$24)*$J$24*EXP(-(($L$24*($B213-$M$24))^$K$24))+($G$25+$H$25*'Advanced Outputs'!C$60^$I$25)*$J$25*EXP(-(($L$25*($B213-$M$25))^$K$25))+$G$26))</f>
        <v>0.780156364183903</v>
      </c>
      <c r="E213" s="21">
        <f t="shared" ref="E213:E276" si="3">C213/D213</f>
        <v>0.920650846333999</v>
      </c>
      <c r="F213" s="12"/>
      <c r="G213" s="9"/>
      <c r="H213" s="9"/>
      <c r="I213" s="9"/>
      <c r="J213" s="9"/>
      <c r="K213" s="9"/>
      <c r="L213" s="9"/>
      <c r="M213" s="9"/>
    </row>
    <row r="214" hidden="1" spans="1:13">
      <c r="A214" s="4"/>
      <c r="B214" s="4">
        <v>573</v>
      </c>
      <c r="C214" s="21">
        <f>10^(-(($G$21+$H$21*'Advanced Outputs'!C$61^$I$21)*(($B214/$M$21)^-$K$21)+($G$22+$H$22*'Advanced Outputs'!C$61^$I$22)*$J$22*EXP(-(($L$22*($B214-$M$22))^$K$22))+($G$23+$H$23*'Advanced Outputs'!C$61^$I$23)*$J$23*EXP(-(($L$23*($B214-$M$23))^$K$23))+($G$24+$H$24*'Advanced Outputs'!C$61^$I$24)*$J$24*EXP(-(($L$24*($B214-$M$24))^$K$24))+($G$25+$H$25*'Advanced Outputs'!C$61^$I$25)*$J$25*EXP(-(($L$25*($B214-$M$25))^$K$25))+$G$26))</f>
        <v>0.719879693878761</v>
      </c>
      <c r="D214" s="21">
        <f>10^(-(($G$21+$H$21*'Advanced Outputs'!C$60^$I$21)*(($B214/$M$21)^-$K$21)+($G$22+$H$22*'Advanced Outputs'!C$60^$I$22)*$J$22*EXP(-(($L$22*($B214-$M$22))^$K$22))+($G$23+$H$23*'Advanced Outputs'!C$60^$I$23)*$J$23*EXP(-(($L$23*($B214-$M$23))^$K$23))+($G$24+$H$24*'Advanced Outputs'!C$60^$I$24)*$J$24*EXP(-(($L$24*($B214-$M$24))^$K$24))+($G$25+$H$25*'Advanced Outputs'!C$60^$I$25)*$J$25*EXP(-(($L$25*($B214-$M$25))^$K$25))+$G$26))</f>
        <v>0.780944359897986</v>
      </c>
      <c r="E214" s="21">
        <f t="shared" si="3"/>
        <v>0.921806636740162</v>
      </c>
      <c r="F214" s="12"/>
      <c r="G214" s="9"/>
      <c r="H214" s="9"/>
      <c r="I214" s="9"/>
      <c r="J214" s="9"/>
      <c r="K214" s="9"/>
      <c r="L214" s="9"/>
      <c r="M214" s="9"/>
    </row>
    <row r="215" hidden="1" spans="1:13">
      <c r="A215" s="4"/>
      <c r="B215" s="4">
        <v>574</v>
      </c>
      <c r="C215" s="21">
        <f>10^(-(($G$21+$H$21*'Advanced Outputs'!C$61^$I$21)*(($B215/$M$21)^-$K$21)+($G$22+$H$22*'Advanced Outputs'!C$61^$I$22)*$J$22*EXP(-(($L$22*($B215-$M$22))^$K$22))+($G$23+$H$23*'Advanced Outputs'!C$61^$I$23)*$J$23*EXP(-(($L$23*($B215-$M$23))^$K$23))+($G$24+$H$24*'Advanced Outputs'!C$61^$I$24)*$J$24*EXP(-(($L$24*($B215-$M$24))^$K$24))+($G$25+$H$25*'Advanced Outputs'!C$61^$I$25)*$J$25*EXP(-(($L$25*($B215-$M$25))^$K$25))+$G$26))</f>
        <v>0.721481303415219</v>
      </c>
      <c r="D215" s="21">
        <f>10^(-(($G$21+$H$21*'Advanced Outputs'!C$60^$I$21)*(($B215/$M$21)^-$K$21)+($G$22+$H$22*'Advanced Outputs'!C$60^$I$22)*$J$22*EXP(-(($L$22*($B215-$M$22))^$K$22))+($G$23+$H$23*'Advanced Outputs'!C$60^$I$23)*$J$23*EXP(-(($L$23*($B215-$M$23))^$K$23))+($G$24+$H$24*'Advanced Outputs'!C$60^$I$24)*$J$24*EXP(-(($L$24*($B215-$M$24))^$K$24))+($G$25+$H$25*'Advanced Outputs'!C$60^$I$25)*$J$25*EXP(-(($L$25*($B215-$M$25))^$K$25))+$G$26))</f>
        <v>0.781721737106906</v>
      </c>
      <c r="E215" s="21">
        <f t="shared" si="3"/>
        <v>0.922938776252234</v>
      </c>
      <c r="F215" s="12"/>
      <c r="G215" s="9"/>
      <c r="H215" s="9"/>
      <c r="I215" s="9"/>
      <c r="J215" s="9"/>
      <c r="K215" s="9"/>
      <c r="L215" s="9"/>
      <c r="M215" s="9"/>
    </row>
    <row r="216" hidden="1" spans="1:13">
      <c r="A216" s="4"/>
      <c r="B216" s="4">
        <v>575</v>
      </c>
      <c r="C216" s="21">
        <f>10^(-(($G$21+$H$21*'Advanced Outputs'!C$61^$I$21)*(($B216/$M$21)^-$K$21)+($G$22+$H$22*'Advanced Outputs'!C$61^$I$22)*$J$22*EXP(-(($L$22*($B216-$M$22))^$K$22))+($G$23+$H$23*'Advanced Outputs'!C$61^$I$23)*$J$23*EXP(-(($L$23*($B216-$M$23))^$K$23))+($G$24+$H$24*'Advanced Outputs'!C$61^$I$24)*$J$24*EXP(-(($L$24*($B216-$M$24))^$K$24))+($G$25+$H$25*'Advanced Outputs'!C$61^$I$25)*$J$25*EXP(-(($L$25*($B216-$M$25))^$K$25))+$G$26))</f>
        <v>0.723056847078765</v>
      </c>
      <c r="D216" s="21">
        <f>10^(-(($G$21+$H$21*'Advanced Outputs'!C$60^$I$21)*(($B216/$M$21)^-$K$21)+($G$22+$H$22*'Advanced Outputs'!C$60^$I$22)*$J$22*EXP(-(($L$22*($B216-$M$22))^$K$22))+($G$23+$H$23*'Advanced Outputs'!C$60^$I$23)*$J$23*EXP(-(($L$23*($B216-$M$23))^$K$23))+($G$24+$H$24*'Advanced Outputs'!C$60^$I$24)*$J$24*EXP(-(($L$24*($B216-$M$24))^$K$24))+($G$25+$H$25*'Advanced Outputs'!C$60^$I$25)*$J$25*EXP(-(($L$25*($B216-$M$25))^$K$25))+$G$26))</f>
        <v>0.782488661250464</v>
      </c>
      <c r="E216" s="21">
        <f t="shared" si="3"/>
        <v>0.924047699200237</v>
      </c>
      <c r="F216" s="12"/>
      <c r="G216" s="9"/>
      <c r="H216" s="9"/>
      <c r="I216" s="9"/>
      <c r="J216" s="9"/>
      <c r="K216" s="9"/>
      <c r="L216" s="9"/>
      <c r="M216" s="9"/>
    </row>
    <row r="217" hidden="1" spans="1:13">
      <c r="A217" s="4"/>
      <c r="B217" s="4">
        <v>576</v>
      </c>
      <c r="C217" s="21">
        <f>10^(-(($G$21+$H$21*'Advanced Outputs'!C$61^$I$21)*(($B217/$M$21)^-$K$21)+($G$22+$H$22*'Advanced Outputs'!C$61^$I$22)*$J$22*EXP(-(($L$22*($B217-$M$22))^$K$22))+($G$23+$H$23*'Advanced Outputs'!C$61^$I$23)*$J$23*EXP(-(($L$23*($B217-$M$23))^$K$23))+($G$24+$H$24*'Advanced Outputs'!C$61^$I$24)*$J$24*EXP(-(($L$24*($B217-$M$24))^$K$24))+($G$25+$H$25*'Advanced Outputs'!C$61^$I$25)*$J$25*EXP(-(($L$25*($B217-$M$25))^$K$25))+$G$26))</f>
        <v>0.724606725752293</v>
      </c>
      <c r="D217" s="21">
        <f>10^(-(($G$21+$H$21*'Advanced Outputs'!C$60^$I$21)*(($B217/$M$21)^-$K$21)+($G$22+$H$22*'Advanced Outputs'!C$60^$I$22)*$J$22*EXP(-(($L$22*($B217-$M$22))^$K$22))+($G$23+$H$23*'Advanced Outputs'!C$60^$I$23)*$J$23*EXP(-(($L$23*($B217-$M$23))^$K$23))+($G$24+$H$24*'Advanced Outputs'!C$60^$I$24)*$J$24*EXP(-(($L$24*($B217-$M$24))^$K$24))+($G$25+$H$25*'Advanced Outputs'!C$60^$I$25)*$J$25*EXP(-(($L$25*($B217-$M$25))^$K$25))+$G$26))</f>
        <v>0.783245296154517</v>
      </c>
      <c r="E217" s="21">
        <f t="shared" si="3"/>
        <v>0.925133836500365</v>
      </c>
      <c r="F217" s="12"/>
      <c r="G217" s="9"/>
      <c r="H217" s="9"/>
      <c r="I217" s="9"/>
      <c r="J217" s="9"/>
      <c r="K217" s="9"/>
      <c r="L217" s="9"/>
      <c r="M217" s="9"/>
    </row>
    <row r="218" hidden="1" spans="1:13">
      <c r="A218" s="4"/>
      <c r="B218" s="4">
        <v>577</v>
      </c>
      <c r="C218" s="21">
        <f>10^(-(($G$21+$H$21*'Advanced Outputs'!C$61^$I$21)*(($B218/$M$21)^-$K$21)+($G$22+$H$22*'Advanced Outputs'!C$61^$I$22)*$J$22*EXP(-(($L$22*($B218-$M$22))^$K$22))+($G$23+$H$23*'Advanced Outputs'!C$61^$I$23)*$J$23*EXP(-(($L$23*($B218-$M$23))^$K$23))+($G$24+$H$24*'Advanced Outputs'!C$61^$I$24)*$J$24*EXP(-(($L$24*($B218-$M$24))^$K$24))+($G$25+$H$25*'Advanced Outputs'!C$61^$I$25)*$J$25*EXP(-(($L$25*($B218-$M$25))^$K$25))+$G$26))</f>
        <v>0.726131339419249</v>
      </c>
      <c r="D218" s="21">
        <f>10^(-(($G$21+$H$21*'Advanced Outputs'!C$60^$I$21)*(($B218/$M$21)^-$K$21)+($G$22+$H$22*'Advanced Outputs'!C$60^$I$22)*$J$22*EXP(-(($L$22*($B218-$M$22))^$K$22))+($G$23+$H$23*'Advanced Outputs'!C$60^$I$23)*$J$23*EXP(-(($L$23*($B218-$M$23))^$K$23))+($G$24+$H$24*'Advanced Outputs'!C$60^$I$24)*$J$24*EXP(-(($L$24*($B218-$M$24))^$K$24))+($G$25+$H$25*'Advanced Outputs'!C$60^$I$25)*$J$25*EXP(-(($L$25*($B218-$M$25))^$K$25))+$G$26))</f>
        <v>0.783991803997195</v>
      </c>
      <c r="E218" s="21">
        <f t="shared" si="3"/>
        <v>0.92619761548151</v>
      </c>
      <c r="F218" s="12"/>
      <c r="G218" s="9"/>
      <c r="H218" s="9"/>
      <c r="I218" s="9"/>
      <c r="J218" s="9"/>
      <c r="K218" s="9"/>
      <c r="L218" s="9"/>
      <c r="M218" s="9"/>
    </row>
    <row r="219" hidden="1" spans="1:13">
      <c r="A219" s="4"/>
      <c r="B219" s="4">
        <v>578</v>
      </c>
      <c r="C219" s="21">
        <f>10^(-(($G$21+$H$21*'Advanced Outputs'!C$61^$I$21)*(($B219/$M$21)^-$K$21)+($G$22+$H$22*'Advanced Outputs'!C$61^$I$22)*$J$22*EXP(-(($L$22*($B219-$M$22))^$K$22))+($G$23+$H$23*'Advanced Outputs'!C$61^$I$23)*$J$23*EXP(-(($L$23*($B219-$M$23))^$K$23))+($G$24+$H$24*'Advanced Outputs'!C$61^$I$24)*$J$24*EXP(-(($L$24*($B219-$M$24))^$K$24))+($G$25+$H$25*'Advanced Outputs'!C$61^$I$25)*$J$25*EXP(-(($L$25*($B219-$M$25))^$K$25))+$G$26))</f>
        <v>0.727631086903018</v>
      </c>
      <c r="D219" s="21">
        <f>10^(-(($G$21+$H$21*'Advanced Outputs'!C$60^$I$21)*(($B219/$M$21)^-$K$21)+($G$22+$H$22*'Advanced Outputs'!C$60^$I$22)*$J$22*EXP(-(($L$22*($B219-$M$22))^$K$22))+($G$23+$H$23*'Advanced Outputs'!C$60^$I$23)*$J$23*EXP(-(($L$23*($B219-$M$23))^$K$23))+($G$24+$H$24*'Advanced Outputs'!C$60^$I$24)*$J$24*EXP(-(($L$24*($B219-$M$24))^$K$24))+($G$25+$H$25*'Advanced Outputs'!C$60^$I$25)*$J$25*EXP(-(($L$25*($B219-$M$25))^$K$25))+$G$26))</f>
        <v>0.784728345277408</v>
      </c>
      <c r="E219" s="21">
        <f t="shared" si="3"/>
        <v>0.927239459721306</v>
      </c>
      <c r="F219" s="12"/>
      <c r="G219" s="9"/>
      <c r="H219" s="9"/>
      <c r="I219" s="9"/>
      <c r="J219" s="9"/>
      <c r="K219" s="9"/>
      <c r="L219" s="9"/>
      <c r="M219" s="9"/>
    </row>
    <row r="220" hidden="1" spans="1:13">
      <c r="A220" s="4"/>
      <c r="B220" s="4">
        <v>579</v>
      </c>
      <c r="C220" s="21">
        <f>10^(-(($G$21+$H$21*'Advanced Outputs'!C$61^$I$21)*(($B220/$M$21)^-$K$21)+($G$22+$H$22*'Advanced Outputs'!C$61^$I$22)*$J$22*EXP(-(($L$22*($B220-$M$22))^$K$22))+($G$23+$H$23*'Advanced Outputs'!C$61^$I$23)*$J$23*EXP(-(($L$23*($B220-$M$23))^$K$23))+($G$24+$H$24*'Advanced Outputs'!C$61^$I$24)*$J$24*EXP(-(($L$24*($B220-$M$24))^$K$24))+($G$25+$H$25*'Advanced Outputs'!C$61^$I$25)*$J$25*EXP(-(($L$25*($B220-$M$25))^$K$25))+$G$26))</f>
        <v>0.729106365617272</v>
      </c>
      <c r="D220" s="21">
        <f>10^(-(($G$21+$H$21*'Advanced Outputs'!C$60^$I$21)*(($B220/$M$21)^-$K$21)+($G$22+$H$22*'Advanced Outputs'!C$60^$I$22)*$J$22*EXP(-(($L$22*($B220-$M$22))^$K$22))+($G$23+$H$23*'Advanced Outputs'!C$60^$I$23)*$J$23*EXP(-(($L$23*($B220-$M$23))^$K$23))+($G$24+$H$24*'Advanced Outputs'!C$60^$I$24)*$J$24*EXP(-(($L$24*($B220-$M$24))^$K$24))+($G$25+$H$25*'Advanced Outputs'!C$60^$I$25)*$J$25*EXP(-(($L$25*($B220-$M$25))^$K$25))+$G$26))</f>
        <v>0.785455078785596</v>
      </c>
      <c r="E220" s="21">
        <f t="shared" si="3"/>
        <v>0.928259788891498</v>
      </c>
      <c r="F220" s="12"/>
      <c r="G220" s="9"/>
      <c r="H220" s="9"/>
      <c r="I220" s="9"/>
      <c r="J220" s="9"/>
      <c r="K220" s="9"/>
      <c r="L220" s="9"/>
      <c r="M220" s="9"/>
    </row>
    <row r="221" hidden="1" spans="1:13">
      <c r="A221" s="4"/>
      <c r="B221" s="4">
        <v>580</v>
      </c>
      <c r="C221" s="21">
        <f>10^(-(($G$21+$H$21*'Advanced Outputs'!C$61^$I$21)*(($B221/$M$21)^-$K$21)+($G$22+$H$22*'Advanced Outputs'!C$61^$I$22)*$J$22*EXP(-(($L$22*($B221-$M$22))^$K$22))+($G$23+$H$23*'Advanced Outputs'!C$61^$I$23)*$J$23*EXP(-(($L$23*($B221-$M$23))^$K$23))+($G$24+$H$24*'Advanced Outputs'!C$61^$I$24)*$J$24*EXP(-(($L$24*($B221-$M$24))^$K$24))+($G$25+$H$25*'Advanced Outputs'!C$61^$I$25)*$J$25*EXP(-(($L$25*($B221-$M$25))^$K$25))+$G$26))</f>
        <v>0.730557571327174</v>
      </c>
      <c r="D221" s="21">
        <f>10^(-(($G$21+$H$21*'Advanced Outputs'!C$60^$I$21)*(($B221/$M$21)^-$K$21)+($G$22+$H$22*'Advanced Outputs'!C$60^$I$22)*$J$22*EXP(-(($L$22*($B221-$M$22))^$K$22))+($G$23+$H$23*'Advanced Outputs'!C$60^$I$23)*$J$23*EXP(-(($L$23*($B221-$M$23))^$K$23))+($G$24+$H$24*'Advanced Outputs'!C$60^$I$24)*$J$24*EXP(-(($L$24*($B221-$M$24))^$K$24))+($G$25+$H$25*'Advanced Outputs'!C$60^$I$25)*$J$25*EXP(-(($L$25*($B221-$M$25))^$K$25))+$G$26))</f>
        <v>0.78617216157667</v>
      </c>
      <c r="E221" s="21">
        <f t="shared" si="3"/>
        <v>0.929259018612461</v>
      </c>
      <c r="F221" s="12"/>
      <c r="G221" s="9"/>
      <c r="H221" s="9"/>
      <c r="I221" s="9"/>
      <c r="J221" s="9"/>
      <c r="K221" s="9"/>
      <c r="L221" s="9"/>
      <c r="M221" s="9"/>
    </row>
    <row r="222" hidden="1" spans="1:13">
      <c r="A222" s="4"/>
      <c r="B222" s="4">
        <v>581</v>
      </c>
      <c r="C222" s="21">
        <f>10^(-(($G$21+$H$21*'Advanced Outputs'!C$61^$I$21)*(($B222/$M$21)^-$K$21)+($G$22+$H$22*'Advanced Outputs'!C$61^$I$22)*$J$22*EXP(-(($L$22*($B222-$M$22))^$K$22))+($G$23+$H$23*'Advanced Outputs'!C$61^$I$23)*$J$23*EXP(-(($L$23*($B222-$M$23))^$K$23))+($G$24+$H$24*'Advanced Outputs'!C$61^$I$24)*$J$24*EXP(-(($L$24*($B222-$M$24))^$K$24))+($G$25+$H$25*'Advanced Outputs'!C$61^$I$25)*$J$25*EXP(-(($L$25*($B222-$M$25))^$K$25))+$G$26))</f>
        <v>0.731985097921282</v>
      </c>
      <c r="D222" s="21">
        <f>10^(-(($G$21+$H$21*'Advanced Outputs'!C$60^$I$21)*(($B222/$M$21)^-$K$21)+($G$22+$H$22*'Advanced Outputs'!C$60^$I$22)*$J$22*EXP(-(($L$22*($B222-$M$22))^$K$22))+($G$23+$H$23*'Advanced Outputs'!C$60^$I$23)*$J$23*EXP(-(($L$23*($B222-$M$23))^$K$23))+($G$24+$H$24*'Advanced Outputs'!C$60^$I$24)*$J$24*EXP(-(($L$24*($B222-$M$24))^$K$24))+($G$25+$H$25*'Advanced Outputs'!C$60^$I$25)*$J$25*EXP(-(($L$25*($B222-$M$25))^$K$25))+$G$26))</f>
        <v>0.786879748945098</v>
      </c>
      <c r="E222" s="21">
        <f t="shared" si="3"/>
        <v>0.930237560316671</v>
      </c>
      <c r="F222" s="12"/>
      <c r="G222" s="9"/>
      <c r="H222" s="9"/>
      <c r="I222" s="9"/>
      <c r="J222" s="9"/>
      <c r="K222" s="9"/>
      <c r="L222" s="9"/>
      <c r="M222" s="9"/>
    </row>
    <row r="223" hidden="1" spans="1:13">
      <c r="A223" s="4"/>
      <c r="B223" s="4">
        <v>582</v>
      </c>
      <c r="C223" s="21">
        <f>10^(-(($G$21+$H$21*'Advanced Outputs'!C$61^$I$21)*(($B223/$M$21)^-$K$21)+($G$22+$H$22*'Advanced Outputs'!C$61^$I$22)*$J$22*EXP(-(($L$22*($B223-$M$22))^$K$22))+($G$23+$H$23*'Advanced Outputs'!C$61^$I$23)*$J$23*EXP(-(($L$23*($B223-$M$23))^$K$23))+($G$24+$H$24*'Advanced Outputs'!C$61^$I$24)*$J$24*EXP(-(($L$24*($B223-$M$24))^$K$24))+($G$25+$H$25*'Advanced Outputs'!C$61^$I$25)*$J$25*EXP(-(($L$25*($B223-$M$25))^$K$25))+$G$26))</f>
        <v>0.733389337194016</v>
      </c>
      <c r="D223" s="21">
        <f>10^(-(($G$21+$H$21*'Advanced Outputs'!C$60^$I$21)*(($B223/$M$21)^-$K$21)+($G$22+$H$22*'Advanced Outputs'!C$60^$I$22)*$J$22*EXP(-(($L$22*($B223-$M$22))^$K$22))+($G$23+$H$23*'Advanced Outputs'!C$60^$I$23)*$J$23*EXP(-(($L$23*($B223-$M$23))^$K$23))+($G$24+$H$24*'Advanced Outputs'!C$60^$I$24)*$J$24*EXP(-(($L$24*($B223-$M$24))^$K$24))+($G$25+$H$25*'Advanced Outputs'!C$60^$I$25)*$J$25*EXP(-(($L$25*($B223-$M$25))^$K$25))+$G$26))</f>
        <v>0.787577994402071</v>
      </c>
      <c r="E223" s="21">
        <f t="shared" si="3"/>
        <v>0.931195821120935</v>
      </c>
      <c r="F223" s="12"/>
      <c r="G223" s="9"/>
      <c r="H223" s="9"/>
      <c r="I223" s="9"/>
      <c r="J223" s="9"/>
      <c r="K223" s="9"/>
      <c r="L223" s="9"/>
      <c r="M223" s="9"/>
    </row>
    <row r="224" hidden="1" spans="1:13">
      <c r="A224" s="4"/>
      <c r="B224" s="4">
        <v>583</v>
      </c>
      <c r="C224" s="21">
        <f>10^(-(($G$21+$H$21*'Advanced Outputs'!C$61^$I$21)*(($B224/$M$21)^-$K$21)+($G$22+$H$22*'Advanced Outputs'!C$61^$I$22)*$J$22*EXP(-(($L$22*($B224-$M$22))^$K$22))+($G$23+$H$23*'Advanced Outputs'!C$61^$I$23)*$J$23*EXP(-(($L$23*($B224-$M$23))^$K$23))+($G$24+$H$24*'Advanced Outputs'!C$61^$I$24)*$J$24*EXP(-(($L$24*($B224-$M$24))^$K$24))+($G$25+$H$25*'Advanced Outputs'!C$61^$I$25)*$J$25*EXP(-(($L$25*($B224-$M$25))^$K$25))+$G$26))</f>
        <v>0.734770678638507</v>
      </c>
      <c r="D224" s="21">
        <f>10^(-(($G$21+$H$21*'Advanced Outputs'!C$60^$I$21)*(($B224/$M$21)^-$K$21)+($G$22+$H$22*'Advanced Outputs'!C$60^$I$22)*$J$22*EXP(-(($L$22*($B224-$M$22))^$K$22))+($G$23+$H$23*'Advanced Outputs'!C$60^$I$23)*$J$23*EXP(-(($L$23*($B224-$M$23))^$K$23))+($G$24+$H$24*'Advanced Outputs'!C$60^$I$24)*$J$24*EXP(-(($L$24*($B224-$M$24))^$K$24))+($G$25+$H$25*'Advanced Outputs'!C$60^$I$25)*$J$25*EXP(-(($L$25*($B224-$M$25))^$K$25))+$G$26))</f>
        <v>0.788267049654716</v>
      </c>
      <c r="E224" s="21">
        <f t="shared" si="3"/>
        <v>0.93213420370718</v>
      </c>
      <c r="F224" s="12"/>
      <c r="G224" s="9"/>
      <c r="H224" s="9"/>
      <c r="I224" s="9"/>
      <c r="J224" s="9"/>
      <c r="K224" s="9"/>
      <c r="L224" s="9"/>
      <c r="M224" s="9"/>
    </row>
    <row r="225" hidden="1" spans="1:13">
      <c r="A225" s="4"/>
      <c r="B225" s="4">
        <v>584</v>
      </c>
      <c r="C225" s="21">
        <f>10^(-(($G$21+$H$21*'Advanced Outputs'!C$61^$I$21)*(($B225/$M$21)^-$K$21)+($G$22+$H$22*'Advanced Outputs'!C$61^$I$22)*$J$22*EXP(-(($L$22*($B225-$M$22))^$K$22))+($G$23+$H$23*'Advanced Outputs'!C$61^$I$23)*$J$23*EXP(-(($L$23*($B225-$M$23))^$K$23))+($G$24+$H$24*'Advanced Outputs'!C$61^$I$24)*$J$24*EXP(-(($L$24*($B225-$M$24))^$K$24))+($G$25+$H$25*'Advanced Outputs'!C$61^$I$25)*$J$25*EXP(-(($L$25*($B225-$M$25))^$K$25))+$G$26))</f>
        <v>0.736129509249682</v>
      </c>
      <c r="D225" s="21">
        <f>10^(-(($G$21+$H$21*'Advanced Outputs'!C$60^$I$21)*(($B225/$M$21)^-$K$21)+($G$22+$H$22*'Advanced Outputs'!C$60^$I$22)*$J$22*EXP(-(($L$22*($B225-$M$22))^$K$22))+($G$23+$H$23*'Advanced Outputs'!C$60^$I$23)*$J$23*EXP(-(($L$23*($B225-$M$23))^$K$23))+($G$24+$H$24*'Advanced Outputs'!C$60^$I$24)*$J$24*EXP(-(($L$24*($B225-$M$24))^$K$24))+($G$25+$H$25*'Advanced Outputs'!C$60^$I$25)*$J$25*EXP(-(($L$25*($B225-$M$25))^$K$25))+$G$26))</f>
        <v>0.788947064587284</v>
      </c>
      <c r="E225" s="21">
        <f t="shared" si="3"/>
        <v>0.933053106211591</v>
      </c>
      <c r="F225" s="12"/>
      <c r="G225" s="9"/>
      <c r="H225" s="9"/>
      <c r="I225" s="9"/>
      <c r="J225" s="9"/>
      <c r="K225" s="9"/>
      <c r="L225" s="9"/>
      <c r="M225" s="9"/>
    </row>
    <row r="226" hidden="1" spans="1:13">
      <c r="A226" s="4"/>
      <c r="B226" s="4">
        <v>585</v>
      </c>
      <c r="C226" s="21">
        <f>10^(-(($G$21+$H$21*'Advanced Outputs'!C$61^$I$21)*(($B226/$M$21)^-$K$21)+($G$22+$H$22*'Advanced Outputs'!C$61^$I$22)*$J$22*EXP(-(($L$22*($B226-$M$22))^$K$22))+($G$23+$H$23*'Advanced Outputs'!C$61^$I$23)*$J$23*EXP(-(($L$23*($B226-$M$23))^$K$23))+($G$24+$H$24*'Advanced Outputs'!C$61^$I$24)*$J$24*EXP(-(($L$24*($B226-$M$24))^$K$24))+($G$25+$H$25*'Advanced Outputs'!C$61^$I$25)*$J$25*EXP(-(($L$25*($B226-$M$25))^$K$25))+$G$26))</f>
        <v>0.737466213337388</v>
      </c>
      <c r="D226" s="21">
        <f>10^(-(($G$21+$H$21*'Advanced Outputs'!C$60^$I$21)*(($B226/$M$21)^-$K$21)+($G$22+$H$22*'Advanced Outputs'!C$60^$I$22)*$J$22*EXP(-(($L$22*($B226-$M$22))^$K$22))+($G$23+$H$23*'Advanced Outputs'!C$60^$I$23)*$J$23*EXP(-(($L$23*($B226-$M$23))^$K$23))+($G$24+$H$24*'Advanced Outputs'!C$60^$I$24)*$J$24*EXP(-(($L$24*($B226-$M$24))^$K$24))+($G$25+$H$25*'Advanced Outputs'!C$60^$I$25)*$J$25*EXP(-(($L$25*($B226-$M$25))^$K$25))+$G$26))</f>
        <v>0.789618187244273</v>
      </c>
      <c r="E226" s="21">
        <f t="shared" si="3"/>
        <v>0.933952922121903</v>
      </c>
      <c r="F226" s="12"/>
      <c r="G226" s="9"/>
      <c r="H226" s="9"/>
      <c r="I226" s="9"/>
      <c r="J226" s="9"/>
      <c r="K226" s="9"/>
      <c r="L226" s="9"/>
      <c r="M226" s="9"/>
    </row>
    <row r="227" hidden="1" spans="1:13">
      <c r="A227" s="4"/>
      <c r="B227" s="4">
        <v>586</v>
      </c>
      <c r="C227" s="21">
        <f>10^(-(($G$21+$H$21*'Advanced Outputs'!C$61^$I$21)*(($B227/$M$21)^-$K$21)+($G$22+$H$22*'Advanced Outputs'!C$61^$I$22)*$J$22*EXP(-(($L$22*($B227-$M$22))^$K$22))+($G$23+$H$23*'Advanced Outputs'!C$61^$I$23)*$J$23*EXP(-(($L$23*($B227-$M$23))^$K$23))+($G$24+$H$24*'Advanced Outputs'!C$61^$I$24)*$J$24*EXP(-(($L$24*($B227-$M$24))^$K$24))+($G$25+$H$25*'Advanced Outputs'!C$61^$I$25)*$J$25*EXP(-(($L$25*($B227-$M$25))^$K$25))+$G$26))</f>
        <v>0.738781172349378</v>
      </c>
      <c r="D227" s="21">
        <f>10^(-(($G$21+$H$21*'Advanced Outputs'!C$60^$I$21)*(($B227/$M$21)^-$K$21)+($G$22+$H$22*'Advanced Outputs'!C$60^$I$22)*$J$22*EXP(-(($L$22*($B227-$M$22))^$K$22))+($G$23+$H$23*'Advanced Outputs'!C$60^$I$23)*$J$23*EXP(-(($L$23*($B227-$M$23))^$K$23))+($G$24+$H$24*'Advanced Outputs'!C$60^$I$24)*$J$24*EXP(-(($L$24*($B227-$M$24))^$K$24))+($G$25+$H$25*'Advanced Outputs'!C$60^$I$25)*$J$25*EXP(-(($L$25*($B227-$M$25))^$K$25))+$G$26))</f>
        <v>0.790280563815428</v>
      </c>
      <c r="E227" s="21">
        <f t="shared" si="3"/>
        <v>0.934834040182623</v>
      </c>
      <c r="F227" s="12"/>
      <c r="G227" s="9"/>
      <c r="H227" s="9"/>
      <c r="I227" s="9"/>
      <c r="J227" s="9"/>
      <c r="K227" s="9"/>
      <c r="L227" s="9"/>
      <c r="M227" s="9"/>
    </row>
    <row r="228" hidden="1" spans="1:13">
      <c r="A228" s="4"/>
      <c r="B228" s="4">
        <v>587</v>
      </c>
      <c r="C228" s="21">
        <f>10^(-(($G$21+$H$21*'Advanced Outputs'!C$61^$I$21)*(($B228/$M$21)^-$K$21)+($G$22+$H$22*'Advanced Outputs'!C$61^$I$22)*$J$22*EXP(-(($L$22*($B228-$M$22))^$K$22))+($G$23+$H$23*'Advanced Outputs'!C$61^$I$23)*$J$23*EXP(-(($L$23*($B228-$M$23))^$K$23))+($G$24+$H$24*'Advanced Outputs'!C$61^$I$24)*$J$24*EXP(-(($L$24*($B228-$M$24))^$K$24))+($G$25+$H$25*'Advanced Outputs'!C$61^$I$25)*$J$25*EXP(-(($L$25*($B228-$M$25))^$K$25))+$G$26))</f>
        <v>0.740074764703955</v>
      </c>
      <c r="D228" s="21">
        <f>10^(-(($G$21+$H$21*'Advanced Outputs'!C$60^$I$21)*(($B228/$M$21)^-$K$21)+($G$22+$H$22*'Advanced Outputs'!C$60^$I$22)*$J$22*EXP(-(($L$22*($B228-$M$22))^$K$22))+($G$23+$H$23*'Advanced Outputs'!C$60^$I$23)*$J$23*EXP(-(($L$23*($B228-$M$23))^$K$23))+($G$24+$H$24*'Advanced Outputs'!C$60^$I$24)*$J$24*EXP(-(($L$24*($B228-$M$24))^$K$24))+($G$25+$H$25*'Advanced Outputs'!C$60^$I$25)*$J$25*EXP(-(($L$25*($B228-$M$25))^$K$25))+$G$26))</f>
        <v>0.790934338622562</v>
      </c>
      <c r="E228" s="21">
        <f t="shared" si="3"/>
        <v>0.935696844307986</v>
      </c>
      <c r="F228" s="12"/>
      <c r="G228" s="9"/>
      <c r="H228" s="9"/>
      <c r="I228" s="9"/>
      <c r="J228" s="9"/>
      <c r="K228" s="9"/>
      <c r="L228" s="9"/>
      <c r="M228" s="9"/>
    </row>
    <row r="229" hidden="1" spans="1:13">
      <c r="A229" s="4"/>
      <c r="B229" s="4">
        <v>588</v>
      </c>
      <c r="C229" s="21">
        <f>10^(-(($G$21+$H$21*'Advanced Outputs'!C$61^$I$21)*(($B229/$M$21)^-$K$21)+($G$22+$H$22*'Advanced Outputs'!C$61^$I$22)*$J$22*EXP(-(($L$22*($B229-$M$22))^$K$22))+($G$23+$H$23*'Advanced Outputs'!C$61^$I$23)*$J$23*EXP(-(($L$23*($B229-$M$23))^$K$23))+($G$24+$H$24*'Advanced Outputs'!C$61^$I$24)*$J$24*EXP(-(($L$24*($B229-$M$24))^$K$24))+($G$25+$H$25*'Advanced Outputs'!C$61^$I$25)*$J$25*EXP(-(($L$25*($B229-$M$25))^$K$25))+$G$26))</f>
        <v>0.741347365632099</v>
      </c>
      <c r="D229" s="21">
        <f>10^(-(($G$21+$H$21*'Advanced Outputs'!C$60^$I$21)*(($B229/$M$21)^-$K$21)+($G$22+$H$22*'Advanced Outputs'!C$60^$I$22)*$J$22*EXP(-(($L$22*($B229-$M$22))^$K$22))+($G$23+$H$23*'Advanced Outputs'!C$60^$I$23)*$J$23*EXP(-(($L$23*($B229-$M$23))^$K$23))+($G$24+$H$24*'Advanced Outputs'!C$60^$I$24)*$J$24*EXP(-(($L$24*($B229-$M$24))^$K$24))+($G$25+$H$25*'Advanced Outputs'!C$60^$I$25)*$J$25*EXP(-(($L$25*($B229-$M$25))^$K$25))+$G$26))</f>
        <v>0.791579654108153</v>
      </c>
      <c r="E229" s="21">
        <f t="shared" si="3"/>
        <v>0.936541713502415</v>
      </c>
      <c r="F229" s="12"/>
      <c r="G229" s="9"/>
      <c r="H229" s="9"/>
      <c r="I229" s="9"/>
      <c r="J229" s="9"/>
      <c r="K229" s="9"/>
      <c r="L229" s="9"/>
      <c r="M229" s="9"/>
    </row>
    <row r="230" hidden="1" spans="1:13">
      <c r="A230" s="4"/>
      <c r="B230" s="4">
        <v>589</v>
      </c>
      <c r="C230" s="21">
        <f>10^(-(($G$21+$H$21*'Advanced Outputs'!C$61^$I$21)*(($B230/$M$21)^-$K$21)+($G$22+$H$22*'Advanced Outputs'!C$61^$I$22)*$J$22*EXP(-(($L$22*($B230-$M$22))^$K$22))+($G$23+$H$23*'Advanced Outputs'!C$61^$I$23)*$J$23*EXP(-(($L$23*($B230-$M$23))^$K$23))+($G$24+$H$24*'Advanced Outputs'!C$61^$I$24)*$J$24*EXP(-(($L$24*($B230-$M$24))^$K$24))+($G$25+$H$25*'Advanced Outputs'!C$61^$I$25)*$J$25*EXP(-(($L$25*($B230-$M$25))^$K$25))+$G$26))</f>
        <v>0.742599347028837</v>
      </c>
      <c r="D230" s="21">
        <f>10^(-(($G$21+$H$21*'Advanced Outputs'!C$60^$I$21)*(($B230/$M$21)^-$K$21)+($G$22+$H$22*'Advanced Outputs'!C$60^$I$22)*$J$22*EXP(-(($L$22*($B230-$M$22))^$K$22))+($G$23+$H$23*'Advanced Outputs'!C$60^$I$23)*$J$23*EXP(-(($L$23*($B230-$M$23))^$K$23))+($G$24+$H$24*'Advanced Outputs'!C$60^$I$24)*$J$24*EXP(-(($L$24*($B230-$M$24))^$K$24))+($G$25+$H$25*'Advanced Outputs'!C$60^$I$25)*$J$25*EXP(-(($L$25*($B230-$M$25))^$K$25))+$G$26))</f>
        <v>0.792216650825654</v>
      </c>
      <c r="E230" s="21">
        <f t="shared" si="3"/>
        <v>0.937369021788288</v>
      </c>
      <c r="F230" s="12"/>
      <c r="G230" s="9"/>
      <c r="H230" s="9"/>
      <c r="I230" s="9"/>
      <c r="J230" s="9"/>
      <c r="K230" s="9"/>
      <c r="L230" s="9"/>
      <c r="M230" s="9"/>
    </row>
    <row r="231" hidden="1" spans="1:13">
      <c r="A231" s="4"/>
      <c r="B231" s="4">
        <v>590</v>
      </c>
      <c r="C231" s="21">
        <f>10^(-(($G$21+$H$21*'Advanced Outputs'!C$61^$I$21)*(($B231/$M$21)^-$K$21)+($G$22+$H$22*'Advanced Outputs'!C$61^$I$22)*$J$22*EXP(-(($L$22*($B231-$M$22))^$K$22))+($G$23+$H$23*'Advanced Outputs'!C$61^$I$23)*$J$23*EXP(-(($L$23*($B231-$M$23))^$K$23))+($G$24+$H$24*'Advanced Outputs'!C$61^$I$24)*$J$24*EXP(-(($L$24*($B231-$M$24))^$K$24))+($G$25+$H$25*'Advanced Outputs'!C$61^$I$25)*$J$25*EXP(-(($L$25*($B231-$M$25))^$K$25))+$G$26))</f>
        <v>0.74383107731368</v>
      </c>
      <c r="D231" s="21">
        <f>10^(-(($G$21+$H$21*'Advanced Outputs'!C$60^$I$21)*(($B231/$M$21)^-$K$21)+($G$22+$H$22*'Advanced Outputs'!C$60^$I$22)*$J$22*EXP(-(($L$22*($B231-$M$22))^$K$22))+($G$23+$H$23*'Advanced Outputs'!C$60^$I$23)*$J$23*EXP(-(($L$23*($B231-$M$23))^$K$23))+($G$24+$H$24*'Advanced Outputs'!C$60^$I$24)*$J$24*EXP(-(($L$24*($B231-$M$24))^$K$24))+($G$25+$H$25*'Advanced Outputs'!C$60^$I$25)*$J$25*EXP(-(($L$25*($B231-$M$25))^$K$25))+$G$26))</f>
        <v>0.79284546743147</v>
      </c>
      <c r="E231" s="21">
        <f t="shared" si="3"/>
        <v>0.93817913814078</v>
      </c>
      <c r="F231" s="12"/>
      <c r="G231" s="9"/>
      <c r="H231" s="9"/>
      <c r="I231" s="9"/>
      <c r="J231" s="9"/>
      <c r="K231" s="9"/>
      <c r="L231" s="9"/>
      <c r="M231" s="9"/>
    </row>
    <row r="232" hidden="1" spans="1:13">
      <c r="A232" s="4"/>
      <c r="B232" s="4">
        <v>591</v>
      </c>
      <c r="C232" s="21">
        <f>10^(-(($G$21+$H$21*'Advanced Outputs'!C$61^$I$21)*(($B232/$M$21)^-$K$21)+($G$22+$H$22*'Advanced Outputs'!C$61^$I$22)*$J$22*EXP(-(($L$22*($B232-$M$22))^$K$22))+($G$23+$H$23*'Advanced Outputs'!C$61^$I$23)*$J$23*EXP(-(($L$23*($B232-$M$23))^$K$23))+($G$24+$H$24*'Advanced Outputs'!C$61^$I$24)*$J$24*EXP(-(($L$24*($B232-$M$24))^$K$24))+($G$25+$H$25*'Advanced Outputs'!C$61^$I$25)*$J$25*EXP(-(($L$25*($B232-$M$25))^$K$25))+$G$26))</f>
        <v>0.74504292129989</v>
      </c>
      <c r="D232" s="21">
        <f>10^(-(($G$21+$H$21*'Advanced Outputs'!C$60^$I$21)*(($B232/$M$21)^-$K$21)+($G$22+$H$22*'Advanced Outputs'!C$60^$I$22)*$J$22*EXP(-(($L$22*($B232-$M$22))^$K$22))+($G$23+$H$23*'Advanced Outputs'!C$60^$I$23)*$J$23*EXP(-(($L$23*($B232-$M$23))^$K$23))+($G$24+$H$24*'Advanced Outputs'!C$60^$I$24)*$J$24*EXP(-(($L$24*($B232-$M$24))^$K$24))+($G$25+$H$25*'Advanced Outputs'!C$60^$I$25)*$J$25*EXP(-(($L$25*($B232-$M$25))^$K$25))+$G$26))</f>
        <v>0.793466240678541</v>
      </c>
      <c r="E232" s="21">
        <f t="shared" si="3"/>
        <v>0.938972426429583</v>
      </c>
      <c r="F232" s="12"/>
      <c r="G232" s="9"/>
      <c r="H232" s="9"/>
      <c r="I232" s="9"/>
      <c r="J232" s="9"/>
      <c r="K232" s="9"/>
      <c r="L232" s="9"/>
      <c r="M232" s="9"/>
    </row>
    <row r="233" hidden="1" spans="1:13">
      <c r="A233" s="4"/>
      <c r="B233" s="4">
        <v>592</v>
      </c>
      <c r="C233" s="21">
        <f>10^(-(($G$21+$H$21*'Advanced Outputs'!C$61^$I$21)*(($B233/$M$21)^-$K$21)+($G$22+$H$22*'Advanced Outputs'!C$61^$I$22)*$J$22*EXP(-(($L$22*($B233-$M$22))^$K$22))+($G$23+$H$23*'Advanced Outputs'!C$61^$I$23)*$J$23*EXP(-(($L$23*($B233-$M$23))^$K$23))+($G$24+$H$24*'Advanced Outputs'!C$61^$I$24)*$J$24*EXP(-(($L$24*($B233-$M$24))^$K$24))+($G$25+$H$25*'Advanced Outputs'!C$61^$I$25)*$J$25*EXP(-(($L$25*($B233-$M$25))^$K$25))+$G$26))</f>
        <v>0.746235240072373</v>
      </c>
      <c r="D233" s="21">
        <f>10^(-(($G$21+$H$21*'Advanced Outputs'!C$60^$I$21)*(($B233/$M$21)^-$K$21)+($G$22+$H$22*'Advanced Outputs'!C$60^$I$22)*$J$22*EXP(-(($L$22*($B233-$M$22))^$K$22))+($G$23+$H$23*'Advanced Outputs'!C$60^$I$23)*$J$23*EXP(-(($L$23*($B233-$M$23))^$K$23))+($G$24+$H$24*'Advanced Outputs'!C$60^$I$24)*$J$24*EXP(-(($L$24*($B233-$M$24))^$K$24))+($G$25+$H$25*'Advanced Outputs'!C$60^$I$25)*$J$25*EXP(-(($L$25*($B233-$M$25))^$K$25))+$G$26))</f>
        <v>0.794079105411497</v>
      </c>
      <c r="E233" s="21">
        <f t="shared" si="3"/>
        <v>0.939749245367272</v>
      </c>
      <c r="F233" s="12"/>
      <c r="G233" s="9"/>
      <c r="H233" s="9"/>
      <c r="I233" s="9"/>
      <c r="J233" s="9"/>
      <c r="K233" s="9"/>
      <c r="L233" s="9"/>
      <c r="M233" s="9"/>
    </row>
    <row r="234" hidden="1" spans="1:13">
      <c r="A234" s="4"/>
      <c r="B234" s="4">
        <v>593</v>
      </c>
      <c r="C234" s="21">
        <f>10^(-(($G$21+$H$21*'Advanced Outputs'!C$61^$I$21)*(($B234/$M$21)^-$K$21)+($G$22+$H$22*'Advanced Outputs'!C$61^$I$22)*$J$22*EXP(-(($L$22*($B234-$M$22))^$K$22))+($G$23+$H$23*'Advanced Outputs'!C$61^$I$23)*$J$23*EXP(-(($L$23*($B234-$M$23))^$K$23))+($G$24+$H$24*'Advanced Outputs'!C$61^$I$24)*$J$24*EXP(-(($L$24*($B234-$M$24))^$K$24))+($G$25+$H$25*'Advanced Outputs'!C$61^$I$25)*$J$25*EXP(-(($L$25*($B234-$M$25))^$K$25))+$G$26))</f>
        <v>0.74740839087397</v>
      </c>
      <c r="D234" s="21">
        <f>10^(-(($G$21+$H$21*'Advanced Outputs'!C$60^$I$21)*(($B234/$M$21)^-$K$21)+($G$22+$H$22*'Advanced Outputs'!C$60^$I$22)*$J$22*EXP(-(($L$22*($B234-$M$22))^$K$22))+($G$23+$H$23*'Advanced Outputs'!C$60^$I$23)*$J$23*EXP(-(($L$23*($B234-$M$23))^$K$23))+($G$24+$H$24*'Advanced Outputs'!C$60^$I$24)*$J$24*EXP(-(($L$24*($B234-$M$24))^$K$24))+($G$25+$H$25*'Advanced Outputs'!C$60^$I$25)*$J$25*EXP(-(($L$25*($B234-$M$25))^$K$25))+$G$26))</f>
        <v>0.7946841945633</v>
      </c>
      <c r="E234" s="21">
        <f t="shared" si="3"/>
        <v>0.940509948464107</v>
      </c>
      <c r="F234" s="12"/>
      <c r="G234" s="9"/>
      <c r="H234" s="9"/>
      <c r="I234" s="9"/>
      <c r="J234" s="9"/>
      <c r="K234" s="9"/>
      <c r="L234" s="9"/>
      <c r="M234" s="9"/>
    </row>
    <row r="235" hidden="1" spans="1:13">
      <c r="A235" s="4"/>
      <c r="B235" s="4">
        <v>594</v>
      </c>
      <c r="C235" s="21">
        <f>10^(-(($G$21+$H$21*'Advanced Outputs'!C$61^$I$21)*(($B235/$M$21)^-$K$21)+($G$22+$H$22*'Advanced Outputs'!C$61^$I$22)*$J$22*EXP(-(($L$22*($B235-$M$22))^$K$22))+($G$23+$H$23*'Advanced Outputs'!C$61^$I$23)*$J$23*EXP(-(($L$23*($B235-$M$23))^$K$23))+($G$24+$H$24*'Advanced Outputs'!C$61^$I$24)*$J$24*EXP(-(($L$24*($B235-$M$24))^$K$24))+($G$25+$H$25*'Advanced Outputs'!C$61^$I$25)*$J$25*EXP(-(($L$25*($B235-$M$25))^$K$25))+$G$26))</f>
        <v>0.748562726999931</v>
      </c>
      <c r="D235" s="21">
        <f>10^(-(($G$21+$H$21*'Advanced Outputs'!C$60^$I$21)*(($B235/$M$21)^-$K$21)+($G$22+$H$22*'Advanced Outputs'!C$60^$I$22)*$J$22*EXP(-(($L$22*($B235-$M$22))^$K$22))+($G$23+$H$23*'Advanced Outputs'!C$60^$I$23)*$J$23*EXP(-(($L$23*($B235-$M$23))^$K$23))+($G$24+$H$24*'Advanced Outputs'!C$60^$I$24)*$J$24*EXP(-(($L$24*($B235-$M$24))^$K$24))+($G$25+$H$25*'Advanced Outputs'!C$60^$I$25)*$J$25*EXP(-(($L$25*($B235-$M$25))^$K$25))+$G$26))</f>
        <v>0.795281639153358</v>
      </c>
      <c r="E235" s="21">
        <f t="shared" si="3"/>
        <v>0.941254883989069</v>
      </c>
      <c r="F235" s="12"/>
      <c r="G235" s="9"/>
      <c r="H235" s="9"/>
      <c r="I235" s="9"/>
      <c r="J235" s="9"/>
      <c r="K235" s="9"/>
      <c r="L235" s="9"/>
      <c r="M235" s="9"/>
    </row>
    <row r="236" hidden="1" spans="1:13">
      <c r="A236" s="4"/>
      <c r="B236" s="4">
        <v>595</v>
      </c>
      <c r="C236" s="21">
        <f>10^(-(($G$21+$H$21*'Advanced Outputs'!C$61^$I$21)*(($B236/$M$21)^-$K$21)+($G$22+$H$22*'Advanced Outputs'!C$61^$I$22)*$J$22*EXP(-(($L$22*($B236-$M$22))^$K$22))+($G$23+$H$23*'Advanced Outputs'!C$61^$I$23)*$J$23*EXP(-(($L$23*($B236-$M$23))^$K$23))+($G$24+$H$24*'Advanced Outputs'!C$61^$I$24)*$J$24*EXP(-(($L$24*($B236-$M$24))^$K$24))+($G$25+$H$25*'Advanced Outputs'!C$61^$I$25)*$J$25*EXP(-(($L$25*($B236-$M$25))^$K$25))+$G$26))</f>
        <v>0.749698597700334</v>
      </c>
      <c r="D236" s="21">
        <f>10^(-(($G$21+$H$21*'Advanced Outputs'!C$60^$I$21)*(($B236/$M$21)^-$K$21)+($G$22+$H$22*'Advanced Outputs'!C$60^$I$22)*$J$22*EXP(-(($L$22*($B236-$M$22))^$K$22))+($G$23+$H$23*'Advanced Outputs'!C$60^$I$23)*$J$23*EXP(-(($L$23*($B236-$M$23))^$K$23))+($G$24+$H$24*'Advanced Outputs'!C$60^$I$24)*$J$24*EXP(-(($L$24*($B236-$M$24))^$K$24))+($G$25+$H$25*'Advanced Outputs'!C$60^$I$25)*$J$25*EXP(-(($L$25*($B236-$M$25))^$K$25))+$G$26))</f>
        <v>0.795871568287028</v>
      </c>
      <c r="E236" s="21">
        <f t="shared" si="3"/>
        <v>0.941984394936895</v>
      </c>
      <c r="F236" s="12"/>
      <c r="G236" s="9"/>
      <c r="H236" s="9"/>
      <c r="I236" s="9"/>
      <c r="J236" s="9"/>
      <c r="K236" s="9"/>
      <c r="L236" s="9"/>
      <c r="M236" s="9"/>
    </row>
    <row r="237" hidden="1" spans="1:13">
      <c r="A237" s="4"/>
      <c r="B237" s="4">
        <v>596</v>
      </c>
      <c r="C237" s="21">
        <f>10^(-(($G$21+$H$21*'Advanced Outputs'!C$61^$I$21)*(($B237/$M$21)^-$K$21)+($G$22+$H$22*'Advanced Outputs'!C$61^$I$22)*$J$22*EXP(-(($L$22*($B237-$M$22))^$K$22))+($G$23+$H$23*'Advanced Outputs'!C$61^$I$23)*$J$23*EXP(-(($L$23*($B237-$M$23))^$K$23))+($G$24+$H$24*'Advanced Outputs'!C$61^$I$24)*$J$24*EXP(-(($L$24*($B237-$M$24))^$K$24))+($G$25+$H$25*'Advanced Outputs'!C$61^$I$25)*$J$25*EXP(-(($L$25*($B237-$M$25))^$K$25))+$G$26))</f>
        <v>0.750816348090243</v>
      </c>
      <c r="D237" s="21">
        <f>10^(-(($G$21+$H$21*'Advanced Outputs'!C$60^$I$21)*(($B237/$M$21)^-$K$21)+($G$22+$H$22*'Advanced Outputs'!C$60^$I$22)*$J$22*EXP(-(($L$22*($B237-$M$22))^$K$22))+($G$23+$H$23*'Advanced Outputs'!C$60^$I$23)*$J$23*EXP(-(($L$23*($B237-$M$23))^$K$23))+($G$24+$H$24*'Advanced Outputs'!C$60^$I$24)*$J$24*EXP(-(($L$24*($B237-$M$24))^$K$24))+($G$25+$H$25*'Advanced Outputs'!C$60^$I$25)*$J$25*EXP(-(($L$25*($B237-$M$25))^$K$25))+$G$26))</f>
        <v>0.796454109156479</v>
      </c>
      <c r="E237" s="21">
        <f t="shared" si="3"/>
        <v>0.942698819000921</v>
      </c>
      <c r="F237" s="12"/>
      <c r="G237" s="9"/>
      <c r="H237" s="9"/>
      <c r="I237" s="9"/>
      <c r="J237" s="9"/>
      <c r="K237" s="9"/>
      <c r="L237" s="9"/>
      <c r="M237" s="9"/>
    </row>
    <row r="238" hidden="1" spans="1:13">
      <c r="A238" s="4"/>
      <c r="B238" s="4">
        <v>597</v>
      </c>
      <c r="C238" s="21">
        <f>10^(-(($G$21+$H$21*'Advanced Outputs'!C$61^$I$21)*(($B238/$M$21)^-$K$21)+($G$22+$H$22*'Advanced Outputs'!C$61^$I$22)*$J$22*EXP(-(($L$22*($B238-$M$22))^$K$22))+($G$23+$H$23*'Advanced Outputs'!C$61^$I$23)*$J$23*EXP(-(($L$23*($B238-$M$23))^$K$23))+($G$24+$H$24*'Advanced Outputs'!C$61^$I$24)*$J$24*EXP(-(($L$24*($B238-$M$24))^$K$24))+($G$25+$H$25*'Advanced Outputs'!C$61^$I$25)*$J$25*EXP(-(($L$25*($B238-$M$25))^$K$25))+$G$26))</f>
        <v>0.751916319067363</v>
      </c>
      <c r="D238" s="21">
        <f>10^(-(($G$21+$H$21*'Advanced Outputs'!C$60^$I$21)*(($B238/$M$21)^-$K$21)+($G$22+$H$22*'Advanced Outputs'!C$60^$I$22)*$J$22*EXP(-(($L$22*($B238-$M$22))^$K$22))+($G$23+$H$23*'Advanced Outputs'!C$60^$I$23)*$J$23*EXP(-(($L$23*($B238-$M$23))^$K$23))+($G$24+$H$24*'Advanced Outputs'!C$60^$I$24)*$J$24*EXP(-(($L$24*($B238-$M$24))^$K$24))+($G$25+$H$25*'Advanced Outputs'!C$60^$I$25)*$J$25*EXP(-(($L$25*($B238-$M$25))^$K$25))+$G$26))</f>
        <v>0.797029387042852</v>
      </c>
      <c r="E238" s="21">
        <f t="shared" si="3"/>
        <v>0.943398488551511</v>
      </c>
      <c r="F238" s="12"/>
      <c r="G238" s="9"/>
      <c r="H238" s="9"/>
      <c r="I238" s="9"/>
      <c r="J238" s="9"/>
      <c r="K238" s="9"/>
      <c r="L238" s="9"/>
      <c r="M238" s="9"/>
    </row>
    <row r="239" hidden="1" spans="1:13">
      <c r="A239" s="4"/>
      <c r="B239" s="4">
        <v>598</v>
      </c>
      <c r="C239" s="21">
        <f>10^(-(($G$21+$H$21*'Advanced Outputs'!C$61^$I$21)*(($B239/$M$21)^-$K$21)+($G$22+$H$22*'Advanced Outputs'!C$61^$I$22)*$J$22*EXP(-(($L$22*($B239-$M$22))^$K$22))+($G$23+$H$23*'Advanced Outputs'!C$61^$I$23)*$J$23*EXP(-(($L$23*($B239-$M$23))^$K$23))+($G$24+$H$24*'Advanced Outputs'!C$61^$I$24)*$J$24*EXP(-(($L$24*($B239-$M$24))^$K$24))+($G$25+$H$25*'Advanced Outputs'!C$61^$I$25)*$J$25*EXP(-(($L$25*($B239-$M$25))^$K$25))+$G$26))</f>
        <v>0.752998847236963</v>
      </c>
      <c r="D239" s="21">
        <f>10^(-(($G$21+$H$21*'Advanced Outputs'!C$60^$I$21)*(($B239/$M$21)^-$K$21)+($G$22+$H$22*'Advanced Outputs'!C$60^$I$22)*$J$22*EXP(-(($L$22*($B239-$M$22))^$K$22))+($G$23+$H$23*'Advanced Outputs'!C$60^$I$23)*$J$23*EXP(-(($L$23*($B239-$M$23))^$K$23))+($G$24+$H$24*'Advanced Outputs'!C$60^$I$24)*$J$24*EXP(-(($L$24*($B239-$M$24))^$K$24))+($G$25+$H$25*'Advanced Outputs'!C$60^$I$25)*$J$25*EXP(-(($L$25*($B239-$M$25))^$K$25))+$G$26))</f>
        <v>0.79759752531967</v>
      </c>
      <c r="E239" s="21">
        <f t="shared" si="3"/>
        <v>0.944083730619861</v>
      </c>
      <c r="F239" s="12"/>
      <c r="G239" s="9"/>
      <c r="H239" s="9"/>
      <c r="I239" s="9"/>
      <c r="J239" s="9"/>
      <c r="K239" s="9"/>
      <c r="L239" s="9"/>
      <c r="M239" s="9"/>
    </row>
    <row r="240" hidden="1" spans="1:13">
      <c r="A240" s="4"/>
      <c r="B240" s="4">
        <v>599</v>
      </c>
      <c r="C240" s="21">
        <f>10^(-(($G$21+$H$21*'Advanced Outputs'!C$61^$I$21)*(($B240/$M$21)^-$K$21)+($G$22+$H$22*'Advanced Outputs'!C$61^$I$22)*$J$22*EXP(-(($L$22*($B240-$M$22))^$K$22))+($G$23+$H$23*'Advanced Outputs'!C$61^$I$23)*$J$23*EXP(-(($L$23*($B240-$M$23))^$K$23))+($G$24+$H$24*'Advanced Outputs'!C$61^$I$24)*$J$24*EXP(-(($L$24*($B240-$M$24))^$K$24))+($G$25+$H$25*'Advanced Outputs'!C$61^$I$25)*$J$25*EXP(-(($L$25*($B240-$M$25))^$K$25))+$G$26))</f>
        <v>0.754064264843856</v>
      </c>
      <c r="D240" s="21">
        <f>10^(-(($G$21+$H$21*'Advanced Outputs'!C$60^$I$21)*(($B240/$M$21)^-$K$21)+($G$22+$H$22*'Advanced Outputs'!C$60^$I$22)*$J$22*EXP(-(($L$22*($B240-$M$22))^$K$22))+($G$23+$H$23*'Advanced Outputs'!C$60^$I$23)*$J$23*EXP(-(($L$23*($B240-$M$23))^$K$23))+($G$24+$H$24*'Advanced Outputs'!C$60^$I$24)*$J$24*EXP(-(($L$24*($B240-$M$24))^$K$24))+($G$25+$H$25*'Advanced Outputs'!C$60^$I$25)*$J$25*EXP(-(($L$25*($B240-$M$25))^$K$25))+$G$26))</f>
        <v>0.79815864545745</v>
      </c>
      <c r="E240" s="21">
        <f t="shared" si="3"/>
        <v>0.944754866886993</v>
      </c>
      <c r="F240" s="12"/>
      <c r="G240" s="9"/>
      <c r="H240" s="9"/>
      <c r="I240" s="9"/>
      <c r="J240" s="9"/>
      <c r="K240" s="9"/>
      <c r="L240" s="9"/>
      <c r="M240" s="9"/>
    </row>
    <row r="241" hidden="1" spans="1:13">
      <c r="A241" s="4"/>
      <c r="B241" s="4">
        <v>600</v>
      </c>
      <c r="C241" s="21">
        <f>10^(-(($G$21+$H$21*'Advanced Outputs'!C$61^$I$21)*(($B241/$M$21)^-$K$21)+($G$22+$H$22*'Advanced Outputs'!C$61^$I$22)*$J$22*EXP(-(($L$22*($B241-$M$22))^$K$22))+($G$23+$H$23*'Advanced Outputs'!C$61^$I$23)*$J$23*EXP(-(($L$23*($B241-$M$23))^$K$23))+($G$24+$H$24*'Advanced Outputs'!C$61^$I$24)*$J$24*EXP(-(($L$24*($B241-$M$24))^$K$24))+($G$25+$H$25*'Advanced Outputs'!C$61^$I$25)*$J$25*EXP(-(($L$25*($B241-$M$25))^$K$25))+$G$26))</f>
        <v>0.755112899711192</v>
      </c>
      <c r="D241" s="21">
        <f>10^(-(($G$21+$H$21*'Advanced Outputs'!C$60^$I$21)*(($B241/$M$21)^-$K$21)+($G$22+$H$22*'Advanced Outputs'!C$60^$I$22)*$J$22*EXP(-(($L$22*($B241-$M$22))^$K$22))+($G$23+$H$23*'Advanced Outputs'!C$60^$I$23)*$J$23*EXP(-(($L$23*($B241-$M$23))^$K$23))+($G$24+$H$24*'Advanced Outputs'!C$60^$I$24)*$J$24*EXP(-(($L$24*($B241-$M$24))^$K$24))+($G$25+$H$25*'Advanced Outputs'!C$60^$I$25)*$J$25*EXP(-(($L$25*($B241-$M$25))^$K$25))+$G$26))</f>
        <v>0.798712867029467</v>
      </c>
      <c r="E241" s="21">
        <f t="shared" si="3"/>
        <v>0.945412213677701</v>
      </c>
      <c r="F241" s="12"/>
      <c r="G241" s="9"/>
      <c r="H241" s="9"/>
      <c r="I241" s="9"/>
      <c r="J241" s="9"/>
      <c r="K241" s="9"/>
      <c r="L241" s="9"/>
      <c r="M241" s="9"/>
    </row>
    <row r="242" hidden="1" spans="1:13">
      <c r="A242" s="4"/>
      <c r="B242" s="4">
        <v>601</v>
      </c>
      <c r="C242" s="21">
        <f>10^(-(($G$21+$H$21*'Advanced Outputs'!C$61^$I$21)*(($B242/$M$21)^-$K$21)+($G$22+$H$22*'Advanced Outputs'!C$61^$I$22)*$J$22*EXP(-(($L$22*($B242-$M$22))^$K$22))+($G$23+$H$23*'Advanced Outputs'!C$61^$I$23)*$J$23*EXP(-(($L$23*($B242-$M$23))^$K$23))+($G$24+$H$24*'Advanced Outputs'!C$61^$I$24)*$J$24*EXP(-(($L$24*($B242-$M$24))^$K$24))+($G$25+$H$25*'Advanced Outputs'!C$61^$I$25)*$J$25*EXP(-(($L$25*($B242-$M$25))^$K$25))+$G$26))</f>
        <v>0.75614507518585</v>
      </c>
      <c r="D242" s="21">
        <f>10^(-(($G$21+$H$21*'Advanced Outputs'!C$60^$I$21)*(($B242/$M$21)^-$K$21)+($G$22+$H$22*'Advanced Outputs'!C$60^$I$22)*$J$22*EXP(-(($L$22*($B242-$M$22))^$K$22))+($G$23+$H$23*'Advanced Outputs'!C$60^$I$23)*$J$23*EXP(-(($L$23*($B242-$M$23))^$K$23))+($G$24+$H$24*'Advanced Outputs'!C$60^$I$24)*$J$24*EXP(-(($L$24*($B242-$M$24))^$K$24))+($G$25+$H$25*'Advanced Outputs'!C$60^$I$25)*$J$25*EXP(-(($L$25*($B242-$M$25))^$K$25))+$G$26))</f>
        <v>0.799260307718622</v>
      </c>
      <c r="E242" s="21">
        <f t="shared" si="3"/>
        <v>0.946056081959283</v>
      </c>
      <c r="F242" s="12"/>
      <c r="G242" s="9"/>
      <c r="H242" s="9"/>
      <c r="I242" s="9"/>
      <c r="J242" s="9"/>
      <c r="K242" s="9"/>
      <c r="L242" s="9"/>
      <c r="M242" s="9"/>
    </row>
    <row r="243" hidden="1" spans="1:13">
      <c r="A243" s="4"/>
      <c r="B243" s="4">
        <v>602</v>
      </c>
      <c r="C243" s="21">
        <f>10^(-(($G$21+$H$21*'Advanced Outputs'!C$61^$I$21)*(($B243/$M$21)^-$K$21)+($G$22+$H$22*'Advanced Outputs'!C$61^$I$22)*$J$22*EXP(-(($L$22*($B243-$M$22))^$K$22))+($G$23+$H$23*'Advanced Outputs'!C$61^$I$23)*$J$23*EXP(-(($L$23*($B243-$M$23))^$K$23))+($G$24+$H$24*'Advanced Outputs'!C$61^$I$24)*$J$24*EXP(-(($L$24*($B243-$M$24))^$K$24))+($G$25+$H$25*'Advanced Outputs'!C$61^$I$25)*$J$25*EXP(-(($L$25*($B243-$M$25))^$K$25))+$G$26))</f>
        <v>0.757161110090197</v>
      </c>
      <c r="D243" s="21">
        <f>10^(-(($G$21+$H$21*'Advanced Outputs'!C$60^$I$21)*(($B243/$M$21)^-$K$21)+($G$22+$H$22*'Advanced Outputs'!C$60^$I$22)*$J$22*EXP(-(($L$22*($B243-$M$22))^$K$22))+($G$23+$H$23*'Advanced Outputs'!C$60^$I$23)*$J$23*EXP(-(($L$23*($B243-$M$23))^$K$23))+($G$24+$H$24*'Advanced Outputs'!C$60^$I$24)*$J$24*EXP(-(($L$24*($B243-$M$24))^$K$24))+($G$25+$H$25*'Advanced Outputs'!C$60^$I$25)*$J$25*EXP(-(($L$25*($B243-$M$25))^$K$25))+$G$26))</f>
        <v>0.799801083325363</v>
      </c>
      <c r="E243" s="21">
        <f t="shared" si="3"/>
        <v>0.946686777344837</v>
      </c>
      <c r="F243" s="12"/>
      <c r="G243" s="9"/>
      <c r="H243" s="9"/>
      <c r="I243" s="9"/>
      <c r="J243" s="9"/>
      <c r="K243" s="9"/>
      <c r="L243" s="9"/>
      <c r="M243" s="9"/>
    </row>
    <row r="244" hidden="1" spans="1:13">
      <c r="A244" s="4"/>
      <c r="B244" s="4">
        <v>603</v>
      </c>
      <c r="C244" s="21">
        <f>10^(-(($G$21+$H$21*'Advanced Outputs'!C$61^$I$21)*(($B244/$M$21)^-$K$21)+($G$22+$H$22*'Advanced Outputs'!C$61^$I$22)*$J$22*EXP(-(($L$22*($B244-$M$22))^$K$22))+($G$23+$H$23*'Advanced Outputs'!C$61^$I$23)*$J$23*EXP(-(($L$23*($B244-$M$23))^$K$23))+($G$24+$H$24*'Advanced Outputs'!C$61^$I$24)*$J$24*EXP(-(($L$24*($B244-$M$24))^$K$24))+($G$25+$H$25*'Advanced Outputs'!C$61^$I$25)*$J$25*EXP(-(($L$25*($B244-$M$25))^$K$25))+$G$26))</f>
        <v>0.758161318679993</v>
      </c>
      <c r="D244" s="21">
        <f>10^(-(($G$21+$H$21*'Advanced Outputs'!C$60^$I$21)*(($B244/$M$21)^-$K$21)+($G$22+$H$22*'Advanced Outputs'!C$60^$I$22)*$J$22*EXP(-(($L$22*($B244-$M$22))^$K$22))+($G$23+$H$23*'Advanced Outputs'!C$60^$I$23)*$J$23*EXP(-(($L$23*($B244-$M$23))^$K$23))+($G$24+$H$24*'Advanced Outputs'!C$60^$I$24)*$J$24*EXP(-(($L$24*($B244-$M$24))^$K$24))+($G$25+$H$25*'Advanced Outputs'!C$60^$I$25)*$J$25*EXP(-(($L$25*($B244-$M$25))^$K$25))+$G$26))</f>
        <v>0.800335307776621</v>
      </c>
      <c r="E244" s="21">
        <f t="shared" si="3"/>
        <v>0.947304600100937</v>
      </c>
      <c r="F244" s="12"/>
      <c r="G244" s="9"/>
      <c r="H244" s="9"/>
      <c r="I244" s="9"/>
      <c r="J244" s="9"/>
      <c r="K244" s="9"/>
      <c r="L244" s="9"/>
      <c r="M244" s="9"/>
    </row>
    <row r="245" hidden="1" spans="1:13">
      <c r="A245" s="4"/>
      <c r="B245" s="4">
        <v>604</v>
      </c>
      <c r="C245" s="21">
        <f>10^(-(($G$21+$H$21*'Advanced Outputs'!C$61^$I$21)*(($B245/$M$21)^-$K$21)+($G$22+$H$22*'Advanced Outputs'!C$61^$I$22)*$J$22*EXP(-(($L$22*($B245-$M$22))^$K$22))+($G$23+$H$23*'Advanced Outputs'!C$61^$I$23)*$J$23*EXP(-(($L$23*($B245-$M$23))^$K$23))+($G$24+$H$24*'Advanced Outputs'!C$61^$I$24)*$J$24*EXP(-(($L$24*($B245-$M$24))^$K$24))+($G$25+$H$25*'Advanced Outputs'!C$61^$I$25)*$J$25*EXP(-(($L$25*($B245-$M$25))^$K$25))+$G$26))</f>
        <v>0.759146010608219</v>
      </c>
      <c r="D245" s="21">
        <f>10^(-(($G$21+$H$21*'Advanced Outputs'!C$60^$I$21)*(($B245/$M$21)^-$K$21)+($G$22+$H$22*'Advanced Outputs'!C$60^$I$22)*$J$22*EXP(-(($L$22*($B245-$M$22))^$K$22))+($G$23+$H$23*'Advanced Outputs'!C$60^$I$23)*$J$23*EXP(-(($L$23*($B245-$M$23))^$K$23))+($G$24+$H$24*'Advanced Outputs'!C$60^$I$24)*$J$24*EXP(-(($L$24*($B245-$M$24))^$K$24))+($G$25+$H$25*'Advanced Outputs'!C$60^$I$25)*$J$25*EXP(-(($L$25*($B245-$M$25))^$K$25))+$G$26))</f>
        <v>0.800863093135707</v>
      </c>
      <c r="E245" s="21">
        <f t="shared" si="3"/>
        <v>0.947909845159491</v>
      </c>
      <c r="F245" s="12"/>
      <c r="G245" s="9"/>
      <c r="H245" s="9"/>
      <c r="I245" s="9"/>
      <c r="J245" s="9"/>
      <c r="K245" s="9"/>
      <c r="L245" s="9"/>
      <c r="M245" s="9"/>
    </row>
    <row r="246" hidden="1" spans="1:13">
      <c r="A246" s="4"/>
      <c r="B246" s="4">
        <v>605</v>
      </c>
      <c r="C246" s="21">
        <f>10^(-(($G$21+$H$21*'Advanced Outputs'!C$61^$I$21)*(($B246/$M$21)^-$K$21)+($G$22+$H$22*'Advanced Outputs'!C$61^$I$22)*$J$22*EXP(-(($L$22*($B246-$M$22))^$K$22))+($G$23+$H$23*'Advanced Outputs'!C$61^$I$23)*$J$23*EXP(-(($L$23*($B246-$M$23))^$K$23))+($G$24+$H$24*'Advanced Outputs'!C$61^$I$24)*$J$24*EXP(-(($L$24*($B246-$M$24))^$K$24))+($G$25+$H$25*'Advanced Outputs'!C$61^$I$25)*$J$25*EXP(-(($L$25*($B246-$M$25))^$K$25))+$G$26))</f>
        <v>0.760115490894618</v>
      </c>
      <c r="D246" s="21">
        <f>10^(-(($G$21+$H$21*'Advanced Outputs'!C$60^$I$21)*(($B246/$M$21)^-$K$21)+($G$22+$H$22*'Advanced Outputs'!C$60^$I$22)*$J$22*EXP(-(($L$22*($B246-$M$22))^$K$22))+($G$23+$H$23*'Advanced Outputs'!C$60^$I$23)*$J$23*EXP(-(($L$23*($B246-$M$23))^$K$23))+($G$24+$H$24*'Advanced Outputs'!C$60^$I$24)*$J$24*EXP(-(($L$24*($B246-$M$24))^$K$24))+($G$25+$H$25*'Advanced Outputs'!C$60^$I$25)*$J$25*EXP(-(($L$25*($B246-$M$25))^$K$25))+$G$26))</f>
        <v>0.801384549613126</v>
      </c>
      <c r="E246" s="21">
        <f t="shared" si="3"/>
        <v>0.948502802133593</v>
      </c>
      <c r="F246" s="12"/>
      <c r="G246" s="9"/>
      <c r="H246" s="9"/>
      <c r="I246" s="9"/>
      <c r="J246" s="9"/>
      <c r="K246" s="9"/>
      <c r="L246" s="9"/>
      <c r="M246" s="9"/>
    </row>
    <row r="247" hidden="1" spans="1:13">
      <c r="A247" s="4"/>
      <c r="B247" s="4">
        <v>606</v>
      </c>
      <c r="C247" s="21">
        <f>10^(-(($G$21+$H$21*'Advanced Outputs'!C$61^$I$21)*(($B247/$M$21)^-$K$21)+($G$22+$H$22*'Advanced Outputs'!C$61^$I$22)*$J$22*EXP(-(($L$22*($B247-$M$22))^$K$22))+($G$23+$H$23*'Advanced Outputs'!C$61^$I$23)*$J$23*EXP(-(($L$23*($B247-$M$23))^$K$23))+($G$24+$H$24*'Advanced Outputs'!C$61^$I$24)*$J$24*EXP(-(($L$24*($B247-$M$24))^$K$24))+($G$25+$H$25*'Advanced Outputs'!C$61^$I$25)*$J$25*EXP(-(($L$25*($B247-$M$25))^$K$25))+$G$26))</f>
        <v>0.761070059900712</v>
      </c>
      <c r="D247" s="21">
        <f>10^(-(($G$21+$H$21*'Advanced Outputs'!C$60^$I$21)*(($B247/$M$21)^-$K$21)+($G$22+$H$22*'Advanced Outputs'!C$60^$I$22)*$J$22*EXP(-(($L$22*($B247-$M$22))^$K$22))+($G$23+$H$23*'Advanced Outputs'!C$60^$I$23)*$J$23*EXP(-(($L$23*($B247-$M$23))^$K$23))+($G$24+$H$24*'Advanced Outputs'!C$60^$I$24)*$J$24*EXP(-(($L$24*($B247-$M$24))^$K$24))+($G$25+$H$25*'Advanced Outputs'!C$60^$I$25)*$J$25*EXP(-(($L$25*($B247-$M$25))^$K$25))+$G$26))</f>
        <v>0.801899785578266</v>
      </c>
      <c r="E247" s="21">
        <f t="shared" si="3"/>
        <v>0.949083755337195</v>
      </c>
      <c r="F247" s="12"/>
      <c r="G247" s="9"/>
      <c r="H247" s="9"/>
      <c r="I247" s="9"/>
      <c r="J247" s="9"/>
      <c r="K247" s="9"/>
      <c r="L247" s="9"/>
      <c r="M247" s="9"/>
    </row>
    <row r="248" hidden="1" spans="1:13">
      <c r="A248" s="4"/>
      <c r="B248" s="4">
        <v>607</v>
      </c>
      <c r="C248" s="21">
        <f>10^(-(($G$21+$H$21*'Advanced Outputs'!C$61^$I$21)*(($B248/$M$21)^-$K$21)+($G$22+$H$22*'Advanced Outputs'!C$61^$I$22)*$J$22*EXP(-(($L$22*($B248-$M$22))^$K$22))+($G$23+$H$23*'Advanced Outputs'!C$61^$I$23)*$J$23*EXP(-(($L$23*($B248-$M$23))^$K$23))+($G$24+$H$24*'Advanced Outputs'!C$61^$I$24)*$J$24*EXP(-(($L$24*($B248-$M$24))^$K$24))+($G$25+$H$25*'Advanced Outputs'!C$61^$I$25)*$J$25*EXP(-(($L$25*($B248-$M$25))^$K$25))+$G$26))</f>
        <v>0.762010013310103</v>
      </c>
      <c r="D248" s="21">
        <f>10^(-(($G$21+$H$21*'Advanced Outputs'!C$60^$I$21)*(($B248/$M$21)^-$K$21)+($G$22+$H$22*'Advanced Outputs'!C$60^$I$22)*$J$22*EXP(-(($L$22*($B248-$M$22))^$K$22))+($G$23+$H$23*'Advanced Outputs'!C$60^$I$23)*$J$23*EXP(-(($L$23*($B248-$M$23))^$K$23))+($G$24+$H$24*'Advanced Outputs'!C$60^$I$24)*$J$24*EXP(-(($L$24*($B248-$M$24))^$K$24))+($G$25+$H$25*'Advanced Outputs'!C$60^$I$25)*$J$25*EXP(-(($L$25*($B248-$M$25))^$K$25))+$G$26))</f>
        <v>0.802408907571916</v>
      </c>
      <c r="E248" s="21">
        <f t="shared" si="3"/>
        <v>0.949652983808392</v>
      </c>
      <c r="F248" s="12"/>
      <c r="G248" s="9"/>
      <c r="H248" s="9"/>
      <c r="I248" s="9"/>
      <c r="J248" s="9"/>
      <c r="K248" s="9"/>
      <c r="L248" s="9"/>
      <c r="M248" s="9"/>
    </row>
    <row r="249" hidden="1" spans="1:13">
      <c r="A249" s="4"/>
      <c r="B249" s="4">
        <v>608</v>
      </c>
      <c r="C249" s="21">
        <f>10^(-(($G$21+$H$21*'Advanced Outputs'!C$61^$I$21)*(($B249/$M$21)^-$K$21)+($G$22+$H$22*'Advanced Outputs'!C$61^$I$22)*$J$22*EXP(-(($L$22*($B249-$M$22))^$K$22))+($G$23+$H$23*'Advanced Outputs'!C$61^$I$23)*$J$23*EXP(-(($L$23*($B249-$M$23))^$K$23))+($G$24+$H$24*'Advanced Outputs'!C$61^$I$24)*$J$24*EXP(-(($L$24*($B249-$M$24))^$K$24))+($G$25+$H$25*'Advanced Outputs'!C$61^$I$25)*$J$25*EXP(-(($L$25*($B249-$M$25))^$K$25))+$G$26))</f>
        <v>0.762935642113832</v>
      </c>
      <c r="D249" s="21">
        <f>10^(-(($G$21+$H$21*'Advanced Outputs'!C$60^$I$21)*(($B249/$M$21)^-$K$21)+($G$22+$H$22*'Advanced Outputs'!C$60^$I$22)*$J$22*EXP(-(($L$22*($B249-$M$22))^$K$22))+($G$23+$H$23*'Advanced Outputs'!C$60^$I$23)*$J$23*EXP(-(($L$23*($B249-$M$23))^$K$23))+($G$24+$H$24*'Advanced Outputs'!C$60^$I$24)*$J$24*EXP(-(($L$24*($B249-$M$24))^$K$24))+($G$25+$H$25*'Advanced Outputs'!C$60^$I$25)*$J$25*EXP(-(($L$25*($B249-$M$25))^$K$25))+$G$26))</f>
        <v>0.802912020319579</v>
      </c>
      <c r="E249" s="21">
        <f t="shared" si="3"/>
        <v>0.950210761336173</v>
      </c>
      <c r="F249" s="12"/>
      <c r="G249" s="9"/>
      <c r="H249" s="9"/>
      <c r="I249" s="9"/>
      <c r="J249" s="9"/>
      <c r="K249" s="9"/>
      <c r="L249" s="9"/>
      <c r="M249" s="9"/>
    </row>
    <row r="250" hidden="1" spans="1:13">
      <c r="A250" s="4"/>
      <c r="B250" s="4">
        <v>609</v>
      </c>
      <c r="C250" s="21">
        <f>10^(-(($G$21+$H$21*'Advanced Outputs'!C$61^$I$21)*(($B250/$M$21)^-$K$21)+($G$22+$H$22*'Advanced Outputs'!C$61^$I$22)*$J$22*EXP(-(($L$22*($B250-$M$22))^$K$22))+($G$23+$H$23*'Advanced Outputs'!C$61^$I$23)*$J$23*EXP(-(($L$23*($B250-$M$23))^$K$23))+($G$24+$H$24*'Advanced Outputs'!C$61^$I$24)*$J$24*EXP(-(($L$24*($B250-$M$24))^$K$24))+($G$25+$H$25*'Advanced Outputs'!C$61^$I$25)*$J$25*EXP(-(($L$25*($B250-$M$25))^$K$25))+$G$26))</f>
        <v>0.76384723260059</v>
      </c>
      <c r="D250" s="21">
        <f>10^(-(($G$21+$H$21*'Advanced Outputs'!C$60^$I$21)*(($B250/$M$21)^-$K$21)+($G$22+$H$22*'Advanced Outputs'!C$60^$I$22)*$J$22*EXP(-(($L$22*($B250-$M$22))^$K$22))+($G$23+$H$23*'Advanced Outputs'!C$60^$I$23)*$J$23*EXP(-(($L$23*($B250-$M$23))^$K$23))+($G$24+$H$24*'Advanced Outputs'!C$60^$I$24)*$J$24*EXP(-(($L$24*($B250-$M$24))^$K$24))+($G$25+$H$25*'Advanced Outputs'!C$60^$I$25)*$J$25*EXP(-(($L$25*($B250-$M$25))^$K$25))+$G$26))</f>
        <v>0.803409226745517</v>
      </c>
      <c r="E250" s="21">
        <f t="shared" si="3"/>
        <v>0.950757356490432</v>
      </c>
      <c r="F250" s="12"/>
      <c r="G250" s="9"/>
      <c r="H250" s="9"/>
      <c r="I250" s="9"/>
      <c r="J250" s="9"/>
      <c r="K250" s="9"/>
      <c r="L250" s="9"/>
      <c r="M250" s="9"/>
    </row>
    <row r="251" hidden="1" spans="1:13">
      <c r="A251" s="4"/>
      <c r="B251" s="4">
        <v>610</v>
      </c>
      <c r="C251" s="21">
        <f>10^(-(($G$21+$H$21*'Advanced Outputs'!C$61^$I$21)*(($B251/$M$21)^-$K$21)+($G$22+$H$22*'Advanced Outputs'!C$61^$I$22)*$J$22*EXP(-(($L$22*($B251-$M$22))^$K$22))+($G$23+$H$23*'Advanced Outputs'!C$61^$I$23)*$J$23*EXP(-(($L$23*($B251-$M$23))^$K$23))+($G$24+$H$24*'Advanced Outputs'!C$61^$I$24)*$J$24*EXP(-(($L$24*($B251-$M$24))^$K$24))+($G$25+$H$25*'Advanced Outputs'!C$61^$I$25)*$J$25*EXP(-(($L$25*($B251-$M$25))^$K$25))+$G$26))</f>
        <v>0.764745066351581</v>
      </c>
      <c r="D251" s="21">
        <f>10^(-(($G$21+$H$21*'Advanced Outputs'!C$60^$I$21)*(($B251/$M$21)^-$K$21)+($G$22+$H$22*'Advanced Outputs'!C$60^$I$22)*$J$22*EXP(-(($L$22*($B251-$M$22))^$K$22))+($G$23+$H$23*'Advanced Outputs'!C$60^$I$23)*$J$23*EXP(-(($L$23*($B251-$M$23))^$K$23))+($G$24+$H$24*'Advanced Outputs'!C$60^$I$24)*$J$24*EXP(-(($L$24*($B251-$M$24))^$K$24))+($G$25+$H$25*'Advanced Outputs'!C$60^$I$25)*$J$25*EXP(-(($L$25*($B251-$M$25))^$K$25))+$G$26))</f>
        <v>0.803900627987516</v>
      </c>
      <c r="E251" s="21">
        <f t="shared" si="3"/>
        <v>0.951293032655096</v>
      </c>
      <c r="F251" s="12"/>
      <c r="G251" s="9"/>
      <c r="H251" s="9"/>
      <c r="I251" s="9"/>
      <c r="J251" s="9"/>
      <c r="K251" s="9"/>
      <c r="L251" s="9"/>
      <c r="M251" s="9"/>
    </row>
    <row r="252" hidden="1" spans="1:13">
      <c r="A252" s="4"/>
      <c r="B252" s="4">
        <v>611</v>
      </c>
      <c r="C252" s="21">
        <f>10^(-(($G$21+$H$21*'Advanced Outputs'!C$61^$I$21)*(($B252/$M$21)^-$K$21)+($G$22+$H$22*'Advanced Outputs'!C$61^$I$22)*$J$22*EXP(-(($L$22*($B252-$M$22))^$K$22))+($G$23+$H$23*'Advanced Outputs'!C$61^$I$23)*$J$23*EXP(-(($L$23*($B252-$M$23))^$K$23))+($G$24+$H$24*'Advanced Outputs'!C$61^$I$24)*$J$24*EXP(-(($L$24*($B252-$M$24))^$K$24))+($G$25+$H$25*'Advanced Outputs'!C$61^$I$25)*$J$25*EXP(-(($L$25*($B252-$M$25))^$K$25))+$G$26))</f>
        <v>0.765629420239825</v>
      </c>
      <c r="D252" s="21">
        <f>10^(-(($G$21+$H$21*'Advanced Outputs'!C$60^$I$21)*(($B252/$M$21)^-$K$21)+($G$22+$H$22*'Advanced Outputs'!C$60^$I$22)*$J$22*EXP(-(($L$22*($B252-$M$22))^$K$22))+($G$23+$H$23*'Advanced Outputs'!C$60^$I$23)*$J$23*EXP(-(($L$23*($B252-$M$23))^$K$23))+($G$24+$H$24*'Advanced Outputs'!C$60^$I$24)*$J$24*EXP(-(($L$24*($B252-$M$24))^$K$24))+($G$25+$H$25*'Advanced Outputs'!C$60^$I$25)*$J$25*EXP(-(($L$25*($B252-$M$25))^$K$25))+$G$26))</f>
        <v>0.804386323412307</v>
      </c>
      <c r="E252" s="21">
        <f t="shared" si="3"/>
        <v>0.951818048064181</v>
      </c>
      <c r="F252" s="12"/>
      <c r="G252" s="9"/>
      <c r="H252" s="9"/>
      <c r="I252" s="9"/>
      <c r="J252" s="9"/>
      <c r="K252" s="9"/>
      <c r="L252" s="9"/>
      <c r="M252" s="9"/>
    </row>
    <row r="253" hidden="1" spans="1:13">
      <c r="A253" s="4"/>
      <c r="B253" s="4">
        <v>612</v>
      </c>
      <c r="C253" s="21">
        <f>10^(-(($G$21+$H$21*'Advanced Outputs'!C$61^$I$21)*(($B253/$M$21)^-$K$21)+($G$22+$H$22*'Advanced Outputs'!C$61^$I$22)*$J$22*EXP(-(($L$22*($B253-$M$22))^$K$22))+($G$23+$H$23*'Advanced Outputs'!C$61^$I$23)*$J$23*EXP(-(($L$23*($B253-$M$23))^$K$23))+($G$24+$H$24*'Advanced Outputs'!C$61^$I$24)*$J$24*EXP(-(($L$24*($B253-$M$24))^$K$24))+($G$25+$H$25*'Advanced Outputs'!C$61^$I$25)*$J$25*EXP(-(($L$25*($B253-$M$25))^$K$25))+$G$26))</f>
        <v>0.766500566433719</v>
      </c>
      <c r="D253" s="21">
        <f>10^(-(($G$21+$H$21*'Advanced Outputs'!C$60^$I$21)*(($B253/$M$21)^-$K$21)+($G$22+$H$22*'Advanced Outputs'!C$60^$I$22)*$J$22*EXP(-(($L$22*($B253-$M$22))^$K$22))+($G$23+$H$23*'Advanced Outputs'!C$60^$I$23)*$J$23*EXP(-(($L$23*($B253-$M$23))^$K$23))+($G$24+$H$24*'Advanced Outputs'!C$60^$I$24)*$J$24*EXP(-(($L$24*($B253-$M$24))^$K$24))+($G$25+$H$25*'Advanced Outputs'!C$60^$I$25)*$J$25*EXP(-(($L$25*($B253-$M$25))^$K$25))+$G$26))</f>
        <v>0.80486641063161</v>
      </c>
      <c r="E253" s="21">
        <f t="shared" si="3"/>
        <v>0.952332655840633</v>
      </c>
      <c r="F253" s="12"/>
      <c r="G253" s="9"/>
      <c r="H253" s="9"/>
      <c r="I253" s="9"/>
      <c r="J253" s="9"/>
      <c r="K253" s="9"/>
      <c r="L253" s="9"/>
      <c r="M253" s="9"/>
    </row>
    <row r="254" hidden="1" spans="1:13">
      <c r="A254" s="4"/>
      <c r="B254" s="4">
        <v>613</v>
      </c>
      <c r="C254" s="21">
        <f>10^(-(($G$21+$H$21*'Advanced Outputs'!C$61^$I$21)*(($B254/$M$21)^-$K$21)+($G$22+$H$22*'Advanced Outputs'!C$61^$I$22)*$J$22*EXP(-(($L$22*($B254-$M$22))^$K$22))+($G$23+$H$23*'Advanced Outputs'!C$61^$I$23)*$J$23*EXP(-(($L$23*($B254-$M$23))^$K$23))+($G$24+$H$24*'Advanced Outputs'!C$61^$I$24)*$J$24*EXP(-(($L$24*($B254-$M$24))^$K$24))+($G$25+$H$25*'Advanced Outputs'!C$61^$I$25)*$J$25*EXP(-(($L$25*($B254-$M$25))^$K$25))+$G$26))</f>
        <v>0.767358772404638</v>
      </c>
      <c r="D254" s="21">
        <f>10^(-(($G$21+$H$21*'Advanced Outputs'!C$60^$I$21)*(($B254/$M$21)^-$K$21)+($G$22+$H$22*'Advanced Outputs'!C$60^$I$22)*$J$22*EXP(-(($L$22*($B254-$M$22))^$K$22))+($G$23+$H$23*'Advanced Outputs'!C$60^$I$23)*$J$23*EXP(-(($L$23*($B254-$M$23))^$K$23))+($G$24+$H$24*'Advanced Outputs'!C$60^$I$24)*$J$24*EXP(-(($L$24*($B254-$M$24))^$K$24))+($G$25+$H$25*'Advanced Outputs'!C$60^$I$25)*$J$25*EXP(-(($L$25*($B254-$M$25))^$K$25))+$G$26))</f>
        <v>0.805340985518781</v>
      </c>
      <c r="E254" s="21">
        <f t="shared" si="3"/>
        <v>0.95283710403777</v>
      </c>
      <c r="F254" s="12"/>
      <c r="G254" s="9"/>
      <c r="H254" s="9"/>
      <c r="I254" s="9"/>
      <c r="J254" s="9"/>
      <c r="K254" s="9"/>
      <c r="L254" s="9"/>
      <c r="M254" s="9"/>
    </row>
    <row r="255" hidden="1" spans="1:13">
      <c r="A255" s="4"/>
      <c r="B255" s="4">
        <v>614</v>
      </c>
      <c r="C255" s="21">
        <f>10^(-(($G$21+$H$21*'Advanced Outputs'!C$61^$I$21)*(($B255/$M$21)^-$K$21)+($G$22+$H$22*'Advanced Outputs'!C$61^$I$22)*$J$22*EXP(-(($L$22*($B255-$M$22))^$K$22))+($G$23+$H$23*'Advanced Outputs'!C$61^$I$23)*$J$23*EXP(-(($L$23*($B255-$M$23))^$K$23))+($G$24+$H$24*'Advanced Outputs'!C$61^$I$24)*$J$24*EXP(-(($L$24*($B255-$M$24))^$K$24))+($G$25+$H$25*'Advanced Outputs'!C$61^$I$25)*$J$25*EXP(-(($L$25*($B255-$M$25))^$K$25))+$G$26))</f>
        <v>0.768204300938415</v>
      </c>
      <c r="D255" s="21">
        <f>10^(-(($G$21+$H$21*'Advanced Outputs'!C$60^$I$21)*(($B255/$M$21)^-$K$21)+($G$22+$H$22*'Advanced Outputs'!C$60^$I$22)*$J$22*EXP(-(($L$22*($B255-$M$22))^$K$22))+($G$23+$H$23*'Advanced Outputs'!C$60^$I$23)*$J$23*EXP(-(($L$23*($B255-$M$23))^$K$23))+($G$24+$H$24*'Advanced Outputs'!C$60^$I$24)*$J$24*EXP(-(($L$24*($B255-$M$24))^$K$24))+($G$25+$H$25*'Advanced Outputs'!C$60^$I$25)*$J$25*EXP(-(($L$25*($B255-$M$25))^$K$25))+$G$26))</f>
        <v>0.805810142225988</v>
      </c>
      <c r="E255" s="21">
        <f t="shared" si="3"/>
        <v>0.953331635683201</v>
      </c>
      <c r="F255" s="12"/>
      <c r="G255" s="9"/>
      <c r="H255" s="9"/>
      <c r="I255" s="9"/>
      <c r="J255" s="9"/>
      <c r="K255" s="9"/>
      <c r="L255" s="9"/>
      <c r="M255" s="9"/>
    </row>
    <row r="256" hidden="1" spans="1:13">
      <c r="A256" s="4"/>
      <c r="B256" s="4">
        <v>615</v>
      </c>
      <c r="C256" s="21">
        <f>10^(-(($G$21+$H$21*'Advanced Outputs'!C$61^$I$21)*(($B256/$M$21)^-$K$21)+($G$22+$H$22*'Advanced Outputs'!C$61^$I$22)*$J$22*EXP(-(($L$22*($B256-$M$22))^$K$22))+($G$23+$H$23*'Advanced Outputs'!C$61^$I$23)*$J$23*EXP(-(($L$23*($B256-$M$23))^$K$23))+($G$24+$H$24*'Advanced Outputs'!C$61^$I$24)*$J$24*EXP(-(($L$24*($B256-$M$24))^$K$24))+($G$25+$H$25*'Advanced Outputs'!C$61^$I$25)*$J$25*EXP(-(($L$25*($B256-$M$25))^$K$25))+$G$26))</f>
        <v>0.769037410150475</v>
      </c>
      <c r="D256" s="21">
        <f>10^(-(($G$21+$H$21*'Advanced Outputs'!C$60^$I$21)*(($B256/$M$21)^-$K$21)+($G$22+$H$22*'Advanced Outputs'!C$60^$I$22)*$J$22*EXP(-(($L$22*($B256-$M$22))^$K$22))+($G$23+$H$23*'Advanced Outputs'!C$60^$I$23)*$J$23*EXP(-(($L$23*($B256-$M$23))^$K$23))+($G$24+$H$24*'Advanced Outputs'!C$60^$I$24)*$J$24*EXP(-(($L$24*($B256-$M$24))^$K$24))+($G$25+$H$25*'Advanced Outputs'!C$60^$I$25)*$J$25*EXP(-(($L$25*($B256-$M$25))^$K$25))+$G$26))</f>
        <v>0.806273973201923</v>
      </c>
      <c r="E256" s="21">
        <f t="shared" si="3"/>
        <v>0.953816488825044</v>
      </c>
      <c r="F256" s="12"/>
      <c r="G256" s="9"/>
      <c r="H256" s="9"/>
      <c r="I256" s="9"/>
      <c r="J256" s="9"/>
      <c r="K256" s="9"/>
      <c r="L256" s="9"/>
      <c r="M256" s="9"/>
    </row>
    <row r="257" hidden="1" spans="1:13">
      <c r="A257" s="4"/>
      <c r="B257" s="4">
        <v>616</v>
      </c>
      <c r="C257" s="21">
        <f>10^(-(($G$21+$H$21*'Advanced Outputs'!C$61^$I$21)*(($B257/$M$21)^-$K$21)+($G$22+$H$22*'Advanced Outputs'!C$61^$I$22)*$J$22*EXP(-(($L$22*($B257-$M$22))^$K$22))+($G$23+$H$23*'Advanced Outputs'!C$61^$I$23)*$J$23*EXP(-(($L$23*($B257-$M$23))^$K$23))+($G$24+$H$24*'Advanced Outputs'!C$61^$I$24)*$J$24*EXP(-(($L$24*($B257-$M$24))^$K$24))+($G$25+$H$25*'Advanced Outputs'!C$61^$I$25)*$J$25*EXP(-(($L$25*($B257-$M$25))^$K$25))+$G$26))</f>
        <v>0.769858353504488</v>
      </c>
      <c r="D257" s="21">
        <f>10^(-(($G$21+$H$21*'Advanced Outputs'!C$60^$I$21)*(($B257/$M$21)^-$K$21)+($G$22+$H$22*'Advanced Outputs'!C$60^$I$22)*$J$22*EXP(-(($L$22*($B257-$M$22))^$K$22))+($G$23+$H$23*'Advanced Outputs'!C$60^$I$23)*$J$23*EXP(-(($L$23*($B257-$M$23))^$K$23))+($G$24+$H$24*'Advanced Outputs'!C$60^$I$24)*$J$24*EXP(-(($L$24*($B257-$M$24))^$K$24))+($G$25+$H$25*'Advanced Outputs'!C$60^$I$25)*$J$25*EXP(-(($L$25*($B257-$M$25))^$K$25))+$G$26))</f>
        <v>0.806732569209971</v>
      </c>
      <c r="E257" s="21">
        <f t="shared" si="3"/>
        <v>0.954291896580308</v>
      </c>
      <c r="F257" s="12"/>
      <c r="G257" s="9"/>
      <c r="H257" s="9"/>
      <c r="I257" s="9"/>
      <c r="J257" s="9"/>
      <c r="K257" s="9"/>
      <c r="L257" s="9"/>
      <c r="M257" s="9"/>
    </row>
    <row r="258" hidden="1" spans="1:13">
      <c r="A258" s="4"/>
      <c r="B258" s="4">
        <v>617</v>
      </c>
      <c r="C258" s="21">
        <f>10^(-(($G$21+$H$21*'Advanced Outputs'!C$61^$I$21)*(($B258/$M$21)^-$K$21)+($G$22+$H$22*'Advanced Outputs'!C$61^$I$22)*$J$22*EXP(-(($L$22*($B258-$M$22))^$K$22))+($G$23+$H$23*'Advanced Outputs'!C$61^$I$23)*$J$23*EXP(-(($L$23*($B258-$M$23))^$K$23))+($G$24+$H$24*'Advanced Outputs'!C$61^$I$24)*$J$24*EXP(-(($L$24*($B258-$M$24))^$K$24))+($G$25+$H$25*'Advanced Outputs'!C$61^$I$25)*$J$25*EXP(-(($L$25*($B258-$M$25))^$K$25))+$G$26))</f>
        <v>0.770667379834313</v>
      </c>
      <c r="D258" s="21">
        <f>10^(-(($G$21+$H$21*'Advanced Outputs'!C$60^$I$21)*(($B258/$M$21)^-$K$21)+($G$22+$H$22*'Advanced Outputs'!C$60^$I$22)*$J$22*EXP(-(($L$22*($B258-$M$22))^$K$22))+($G$23+$H$23*'Advanced Outputs'!C$60^$I$23)*$J$23*EXP(-(($L$23*($B258-$M$23))^$K$23))+($G$24+$H$24*'Advanced Outputs'!C$60^$I$24)*$J$24*EXP(-(($L$24*($B258-$M$24))^$K$24))+($G$25+$H$25*'Advanced Outputs'!C$60^$I$25)*$J$25*EXP(-(($L$25*($B258-$M$25))^$K$25))+$G$26))</f>
        <v>0.807186019346847</v>
      </c>
      <c r="E258" s="21">
        <f t="shared" si="3"/>
        <v>0.954758087185301</v>
      </c>
      <c r="F258" s="12"/>
      <c r="G258" s="9"/>
      <c r="H258" s="9"/>
      <c r="I258" s="9"/>
      <c r="J258" s="9"/>
      <c r="K258" s="9"/>
      <c r="L258" s="9"/>
      <c r="M258" s="9"/>
    </row>
    <row r="259" hidden="1" spans="1:13">
      <c r="A259" s="4"/>
      <c r="B259" s="4">
        <v>618</v>
      </c>
      <c r="C259" s="21">
        <f>10^(-(($G$21+$H$21*'Advanced Outputs'!C$61^$I$21)*(($B259/$M$21)^-$K$21)+($G$22+$H$22*'Advanced Outputs'!C$61^$I$22)*$J$22*EXP(-(($L$22*($B259-$M$22))^$K$22))+($G$23+$H$23*'Advanced Outputs'!C$61^$I$23)*$J$23*EXP(-(($L$23*($B259-$M$23))^$K$23))+($G$24+$H$24*'Advanced Outputs'!C$61^$I$24)*$J$24*EXP(-(($L$24*($B259-$M$24))^$K$24))+($G$25+$H$25*'Advanced Outputs'!C$61^$I$25)*$J$25*EXP(-(($L$25*($B259-$M$25))^$K$25))+$G$26))</f>
        <v>0.771464733369094</v>
      </c>
      <c r="D259" s="21">
        <f>10^(-(($G$21+$H$21*'Advanced Outputs'!C$60^$I$21)*(($B259/$M$21)^-$K$21)+($G$22+$H$22*'Advanced Outputs'!C$60^$I$22)*$J$22*EXP(-(($L$22*($B259-$M$22))^$K$22))+($G$23+$H$23*'Advanced Outputs'!C$60^$I$23)*$J$23*EXP(-(($L$23*($B259-$M$23))^$K$23))+($G$24+$H$24*'Advanced Outputs'!C$60^$I$24)*$J$24*EXP(-(($L$24*($B259-$M$24))^$K$24))+($G$25+$H$25*'Advanced Outputs'!C$60^$I$25)*$J$25*EXP(-(($L$25*($B259-$M$25))^$K$25))+$G$26))</f>
        <v>0.80763441106162</v>
      </c>
      <c r="E259" s="21">
        <f t="shared" si="3"/>
        <v>0.955215284047912</v>
      </c>
      <c r="F259" s="12"/>
      <c r="G259" s="9"/>
      <c r="H259" s="9"/>
      <c r="I259" s="9"/>
      <c r="J259" s="9"/>
      <c r="K259" s="9"/>
      <c r="L259" s="9"/>
      <c r="M259" s="9"/>
    </row>
    <row r="260" hidden="1" spans="1:13">
      <c r="A260" s="4"/>
      <c r="B260" s="4">
        <v>619</v>
      </c>
      <c r="C260" s="21">
        <f>10^(-(($G$21+$H$21*'Advanced Outputs'!C$61^$I$21)*(($B260/$M$21)^-$K$21)+($G$22+$H$22*'Advanced Outputs'!C$61^$I$22)*$J$22*EXP(-(($L$22*($B260-$M$22))^$K$22))+($G$23+$H$23*'Advanced Outputs'!C$61^$I$23)*$J$23*EXP(-(($L$23*($B260-$M$23))^$K$23))+($G$24+$H$24*'Advanced Outputs'!C$61^$I$24)*$J$24*EXP(-(($L$24*($B260-$M$24))^$K$24))+($G$25+$H$25*'Advanced Outputs'!C$61^$I$25)*$J$25*EXP(-(($L$25*($B260-$M$25))^$K$25))+$G$26))</f>
        <v>0.772250653761328</v>
      </c>
      <c r="D260" s="21">
        <f>10^(-(($G$21+$H$21*'Advanced Outputs'!C$60^$I$21)*(($B260/$M$21)^-$K$21)+($G$22+$H$22*'Advanced Outputs'!C$60^$I$22)*$J$22*EXP(-(($L$22*($B260-$M$22))^$K$22))+($G$23+$H$23*'Advanced Outputs'!C$60^$I$23)*$J$23*EXP(-(($L$23*($B260-$M$23))^$K$23))+($G$24+$H$24*'Advanced Outputs'!C$60^$I$24)*$J$24*EXP(-(($L$24*($B260-$M$24))^$K$24))+($G$25+$H$25*'Advanced Outputs'!C$60^$I$25)*$J$25*EXP(-(($L$25*($B260-$M$25))^$K$25))+$G$26))</f>
        <v>0.808077830175137</v>
      </c>
      <c r="E260" s="21">
        <f t="shared" si="3"/>
        <v>0.95566370580165</v>
      </c>
      <c r="F260" s="12"/>
      <c r="G260" s="9"/>
      <c r="H260" s="9"/>
      <c r="I260" s="9"/>
      <c r="J260" s="9"/>
      <c r="K260" s="9"/>
      <c r="L260" s="9"/>
      <c r="M260" s="9"/>
    </row>
    <row r="261" hidden="1" spans="1:13">
      <c r="A261" s="4"/>
      <c r="B261" s="4">
        <v>620</v>
      </c>
      <c r="C261" s="21">
        <f>10^(-(($G$21+$H$21*'Advanced Outputs'!C$61^$I$21)*(($B261/$M$21)^-$K$21)+($G$22+$H$22*'Advanced Outputs'!C$61^$I$22)*$J$22*EXP(-(($L$22*($B261-$M$22))^$K$22))+($G$23+$H$23*'Advanced Outputs'!C$61^$I$23)*$J$23*EXP(-(($L$23*($B261-$M$23))^$K$23))+($G$24+$H$24*'Advanced Outputs'!C$61^$I$24)*$J$24*EXP(-(($L$24*($B261-$M$24))^$K$24))+($G$25+$H$25*'Advanced Outputs'!C$61^$I$25)*$J$25*EXP(-(($L$25*($B261-$M$25))^$K$25))+$G$26))</f>
        <v>0.773025376117725</v>
      </c>
      <c r="D261" s="21">
        <f>10^(-(($G$21+$H$21*'Advanced Outputs'!C$60^$I$21)*(($B261/$M$21)^-$K$21)+($G$22+$H$22*'Advanced Outputs'!C$60^$I$22)*$J$22*EXP(-(($L$22*($B261-$M$22))^$K$22))+($G$23+$H$23*'Advanced Outputs'!C$60^$I$23)*$J$23*EXP(-(($L$23*($B261-$M$23))^$K$23))+($G$24+$H$24*'Advanced Outputs'!C$60^$I$24)*$J$24*EXP(-(($L$24*($B261-$M$24))^$K$24))+($G$25+$H$25*'Advanced Outputs'!C$60^$I$25)*$J$25*EXP(-(($L$25*($B261-$M$25))^$K$25))+$G$26))</f>
        <v>0.808516360899774</v>
      </c>
      <c r="E261" s="21">
        <f t="shared" si="3"/>
        <v>0.956103566361289</v>
      </c>
      <c r="F261" s="12"/>
      <c r="G261" s="9"/>
      <c r="H261" s="9"/>
      <c r="I261" s="9"/>
      <c r="J261" s="9"/>
      <c r="K261" s="9"/>
      <c r="L261" s="9"/>
      <c r="M261" s="9"/>
    </row>
    <row r="262" hidden="1" spans="1:13">
      <c r="A262" s="4"/>
      <c r="B262" s="4">
        <v>621</v>
      </c>
      <c r="C262" s="21">
        <f>10^(-(($G$21+$H$21*'Advanced Outputs'!C$61^$I$21)*(($B262/$M$21)^-$K$21)+($G$22+$H$22*'Advanced Outputs'!C$61^$I$22)*$J$22*EXP(-(($L$22*($B262-$M$22))^$K$22))+($G$23+$H$23*'Advanced Outputs'!C$61^$I$23)*$J$23*EXP(-(($L$23*($B262-$M$23))^$K$23))+($G$24+$H$24*'Advanced Outputs'!C$61^$I$24)*$J$24*EXP(-(($L$24*($B262-$M$24))^$K$24))+($G$25+$H$25*'Advanced Outputs'!C$61^$I$25)*$J$25*EXP(-(($L$25*($B262-$M$25))^$K$25))+$G$26))</f>
        <v>0.773789131032724</v>
      </c>
      <c r="D262" s="21">
        <f>10^(-(($G$21+$H$21*'Advanced Outputs'!C$60^$I$21)*(($B262/$M$21)^-$K$21)+($G$22+$H$22*'Advanced Outputs'!C$60^$I$22)*$J$22*EXP(-(($L$22*($B262-$M$22))^$K$22))+($G$23+$H$23*'Advanced Outputs'!C$60^$I$23)*$J$23*EXP(-(($L$23*($B262-$M$23))^$K$23))+($G$24+$H$24*'Advanced Outputs'!C$60^$I$24)*$J$24*EXP(-(($L$24*($B262-$M$24))^$K$24))+($G$25+$H$25*'Advanced Outputs'!C$60^$I$25)*$J$25*EXP(-(($L$25*($B262-$M$25))^$K$25))+$G$26))</f>
        <v>0.808950085859523</v>
      </c>
      <c r="E262" s="21">
        <f t="shared" si="3"/>
        <v>0.956535074980009</v>
      </c>
      <c r="F262" s="12"/>
      <c r="G262" s="9"/>
      <c r="H262" s="9"/>
      <c r="I262" s="9"/>
      <c r="J262" s="9"/>
      <c r="K262" s="9"/>
      <c r="L262" s="9"/>
      <c r="M262" s="9"/>
    </row>
    <row r="263" hidden="1" spans="1:13">
      <c r="A263" s="4"/>
      <c r="B263" s="4">
        <v>622</v>
      </c>
      <c r="C263" s="21">
        <f>10^(-(($G$21+$H$21*'Advanced Outputs'!C$61^$I$21)*(($B263/$M$21)^-$K$21)+($G$22+$H$22*'Advanced Outputs'!C$61^$I$22)*$J$22*EXP(-(($L$22*($B263-$M$22))^$K$22))+($G$23+$H$23*'Advanced Outputs'!C$61^$I$23)*$J$23*EXP(-(($L$23*($B263-$M$23))^$K$23))+($G$24+$H$24*'Advanced Outputs'!C$61^$I$24)*$J$24*EXP(-(($L$24*($B263-$M$24))^$K$24))+($G$25+$H$25*'Advanced Outputs'!C$61^$I$25)*$J$25*EXP(-(($L$25*($B263-$M$25))^$K$25))+$G$26))</f>
        <v>0.774542144624485</v>
      </c>
      <c r="D263" s="21">
        <f>10^(-(($G$21+$H$21*'Advanced Outputs'!C$60^$I$21)*(($B263/$M$21)^-$K$21)+($G$22+$H$22*'Advanced Outputs'!C$60^$I$22)*$J$22*EXP(-(($L$22*($B263-$M$22))^$K$22))+($G$23+$H$23*'Advanced Outputs'!C$60^$I$23)*$J$23*EXP(-(($L$23*($B263-$M$23))^$K$23))+($G$24+$H$24*'Advanced Outputs'!C$60^$I$24)*$J$24*EXP(-(($L$24*($B263-$M$24))^$K$24))+($G$25+$H$25*'Advanced Outputs'!C$60^$I$25)*$J$25*EXP(-(($L$25*($B263-$M$25))^$K$25))+$G$26))</f>
        <v>0.80937908611035</v>
      </c>
      <c r="E263" s="21">
        <f t="shared" si="3"/>
        <v>0.956958436307909</v>
      </c>
      <c r="F263" s="12"/>
      <c r="G263" s="9"/>
      <c r="H263" s="9"/>
      <c r="I263" s="9"/>
      <c r="J263" s="9"/>
      <c r="K263" s="9"/>
      <c r="L263" s="9"/>
      <c r="M263" s="9"/>
    </row>
    <row r="264" hidden="1" spans="1:13">
      <c r="A264" s="4"/>
      <c r="B264" s="4">
        <v>623</v>
      </c>
      <c r="C264" s="21">
        <f>10^(-(($G$21+$H$21*'Advanced Outputs'!C$61^$I$21)*(($B264/$M$21)^-$K$21)+($G$22+$H$22*'Advanced Outputs'!C$61^$I$22)*$J$22*EXP(-(($L$22*($B264-$M$22))^$K$22))+($G$23+$H$23*'Advanced Outputs'!C$61^$I$23)*$J$23*EXP(-(($L$23*($B264-$M$23))^$K$23))+($G$24+$H$24*'Advanced Outputs'!C$61^$I$24)*$J$24*EXP(-(($L$24*($B264-$M$24))^$K$24))+($G$25+$H$25*'Advanced Outputs'!C$61^$I$25)*$J$25*EXP(-(($L$25*($B264-$M$25))^$K$25))+$G$26))</f>
        <v>0.775284638573219</v>
      </c>
      <c r="D264" s="21">
        <f>10^(-(($G$21+$H$21*'Advanced Outputs'!C$60^$I$21)*(($B264/$M$21)^-$K$21)+($G$22+$H$22*'Advanced Outputs'!C$60^$I$22)*$J$22*EXP(-(($L$22*($B264-$M$22))^$K$22))+($G$23+$H$23*'Advanced Outputs'!C$60^$I$23)*$J$23*EXP(-(($L$23*($B264-$M$23))^$K$23))+($G$24+$H$24*'Advanced Outputs'!C$60^$I$24)*$J$24*EXP(-(($L$24*($B264-$M$24))^$K$24))+($G$25+$H$25*'Advanced Outputs'!C$60^$I$25)*$J$25*EXP(-(($L$25*($B264-$M$25))^$K$25))+$G$26))</f>
        <v>0.809803441160817</v>
      </c>
      <c r="E264" s="21">
        <f t="shared" si="3"/>
        <v>0.957373850451763</v>
      </c>
      <c r="F264" s="12"/>
      <c r="G264" s="9"/>
      <c r="H264" s="9"/>
      <c r="I264" s="9"/>
      <c r="J264" s="9"/>
      <c r="K264" s="9"/>
      <c r="L264" s="9"/>
      <c r="M264" s="9"/>
    </row>
    <row r="265" hidden="1" spans="1:13">
      <c r="A265" s="4"/>
      <c r="B265" s="4">
        <v>624</v>
      </c>
      <c r="C265" s="21">
        <f>10^(-(($G$21+$H$21*'Advanced Outputs'!C$61^$I$21)*(($B265/$M$21)^-$K$21)+($G$22+$H$22*'Advanced Outputs'!C$61^$I$22)*$J$22*EXP(-(($L$22*($B265-$M$22))^$K$22))+($G$23+$H$23*'Advanced Outputs'!C$61^$I$23)*$J$23*EXP(-(($L$23*($B265-$M$23))^$K$23))+($G$24+$H$24*'Advanced Outputs'!C$61^$I$24)*$J$24*EXP(-(($L$24*($B265-$M$24))^$K$24))+($G$25+$H$25*'Advanced Outputs'!C$61^$I$25)*$J$25*EXP(-(($L$25*($B265-$M$25))^$K$25))+$G$26))</f>
        <v>0.776016830161696</v>
      </c>
      <c r="D265" s="21">
        <f>10^(-(($G$21+$H$21*'Advanced Outputs'!C$60^$I$21)*(($B265/$M$21)^-$K$21)+($G$22+$H$22*'Advanced Outputs'!C$60^$I$22)*$J$22*EXP(-(($L$22*($B265-$M$22))^$K$22))+($G$23+$H$23*'Advanced Outputs'!C$60^$I$23)*$J$23*EXP(-(($L$23*($B265-$M$23))^$K$23))+($G$24+$H$24*'Advanced Outputs'!C$60^$I$24)*$J$24*EXP(-(($L$24*($B265-$M$24))^$K$24))+($G$25+$H$25*'Advanced Outputs'!C$60^$I$25)*$J$25*EXP(-(($L$25*($B265-$M$25))^$K$25))+$G$26))</f>
        <v>0.810223228992934</v>
      </c>
      <c r="E265" s="21">
        <f t="shared" si="3"/>
        <v>0.957781513035914</v>
      </c>
      <c r="F265" s="12"/>
      <c r="G265" s="9"/>
      <c r="H265" s="9"/>
      <c r="I265" s="9"/>
      <c r="J265" s="9"/>
      <c r="K265" s="9"/>
      <c r="L265" s="9"/>
      <c r="M265" s="9"/>
    </row>
    <row r="266" hidden="1" spans="1:13">
      <c r="A266" s="4"/>
      <c r="B266" s="4">
        <v>625</v>
      </c>
      <c r="C266" s="21">
        <f>10^(-(($G$21+$H$21*'Advanced Outputs'!C$61^$I$21)*(($B266/$M$21)^-$K$21)+($G$22+$H$22*'Advanced Outputs'!C$61^$I$22)*$J$22*EXP(-(($L$22*($B266-$M$22))^$K$22))+($G$23+$H$23*'Advanced Outputs'!C$61^$I$23)*$J$23*EXP(-(($L$23*($B266-$M$23))^$K$23))+($G$24+$H$24*'Advanced Outputs'!C$61^$I$24)*$J$24*EXP(-(($L$24*($B266-$M$24))^$K$24))+($G$25+$H$25*'Advanced Outputs'!C$61^$I$25)*$J$25*EXP(-(($L$25*($B266-$M$25))^$K$25))+$G$26))</f>
        <v>0.776738932317803</v>
      </c>
      <c r="D266" s="21">
        <f>10^(-(($G$21+$H$21*'Advanced Outputs'!C$60^$I$21)*(($B266/$M$21)^-$K$21)+($G$22+$H$22*'Advanced Outputs'!C$60^$I$22)*$J$22*EXP(-(($L$22*($B266-$M$22))^$K$22))+($G$23+$H$23*'Advanced Outputs'!C$60^$I$23)*$J$23*EXP(-(($L$23*($B266-$M$23))^$K$23))+($G$24+$H$24*'Advanced Outputs'!C$60^$I$24)*$J$24*EXP(-(($L$24*($B266-$M$24))^$K$24))+($G$25+$H$25*'Advanced Outputs'!C$60^$I$25)*$J$25*EXP(-(($L$25*($B266-$M$25))^$K$25))+$G$26))</f>
        <v>0.810638526083216</v>
      </c>
      <c r="E266" s="21">
        <f t="shared" si="3"/>
        <v>0.958181615264196</v>
      </c>
      <c r="F266" s="12"/>
      <c r="G266" s="9"/>
      <c r="H266" s="9"/>
      <c r="I266" s="9"/>
      <c r="J266" s="9"/>
      <c r="K266" s="9"/>
      <c r="L266" s="9"/>
      <c r="M266" s="9"/>
    </row>
    <row r="267" hidden="1" spans="1:13">
      <c r="A267" s="4"/>
      <c r="B267" s="4">
        <v>626</v>
      </c>
      <c r="C267" s="21">
        <f>10^(-(($G$21+$H$21*'Advanced Outputs'!C$61^$I$21)*(($B267/$M$21)^-$K$21)+($G$22+$H$22*'Advanced Outputs'!C$61^$I$22)*$J$22*EXP(-(($L$22*($B267-$M$22))^$K$22))+($G$23+$H$23*'Advanced Outputs'!C$61^$I$23)*$J$23*EXP(-(($L$23*($B267-$M$23))^$K$23))+($G$24+$H$24*'Advanced Outputs'!C$61^$I$24)*$J$24*EXP(-(($L$24*($B267-$M$24))^$K$24))+($G$25+$H$25*'Advanced Outputs'!C$61^$I$25)*$J$25*EXP(-(($L$25*($B267-$M$25))^$K$25))+$G$26))</f>
        <v>0.777451153658993</v>
      </c>
      <c r="D267" s="21">
        <f>10^(-(($G$21+$H$21*'Advanced Outputs'!C$60^$I$21)*(($B267/$M$21)^-$K$21)+($G$22+$H$22*'Advanced Outputs'!C$60^$I$22)*$J$22*EXP(-(($L$22*($B267-$M$22))^$K$22))+($G$23+$H$23*'Advanced Outputs'!C$60^$I$23)*$J$23*EXP(-(($L$23*($B267-$M$23))^$K$23))+($G$24+$H$24*'Advanced Outputs'!C$60^$I$24)*$J$24*EXP(-(($L$24*($B267-$M$24))^$K$24))+($G$25+$H$25*'Advanced Outputs'!C$60^$I$25)*$J$25*EXP(-(($L$25*($B267-$M$25))^$K$25))+$G$26))</f>
        <v>0.81104940742391</v>
      </c>
      <c r="E267" s="21">
        <f t="shared" si="3"/>
        <v>0.958574343982774</v>
      </c>
      <c r="F267" s="12"/>
      <c r="G267" s="9"/>
      <c r="H267" s="9"/>
      <c r="I267" s="9"/>
      <c r="J267" s="9"/>
      <c r="K267" s="9"/>
      <c r="L267" s="9"/>
      <c r="M267" s="9"/>
    </row>
    <row r="268" hidden="1" spans="1:13">
      <c r="A268" s="4"/>
      <c r="B268" s="4">
        <v>627</v>
      </c>
      <c r="C268" s="21">
        <f>10^(-(($G$21+$H$21*'Advanced Outputs'!C$61^$I$21)*(($B268/$M$21)^-$K$21)+($G$22+$H$22*'Advanced Outputs'!C$61^$I$22)*$J$22*EXP(-(($L$22*($B268-$M$22))^$K$22))+($G$23+$H$23*'Advanced Outputs'!C$61^$I$23)*$J$23*EXP(-(($L$23*($B268-$M$23))^$K$23))+($G$24+$H$24*'Advanced Outputs'!C$61^$I$24)*$J$24*EXP(-(($L$24*($B268-$M$24))^$K$24))+($G$25+$H$25*'Advanced Outputs'!C$61^$I$25)*$J$25*EXP(-(($L$25*($B268-$M$25))^$K$25))+$G$26))</f>
        <v>0.778153698538505</v>
      </c>
      <c r="D268" s="21">
        <f>10^(-(($G$21+$H$21*'Advanced Outputs'!C$60^$I$21)*(($B268/$M$21)^-$K$21)+($G$22+$H$22*'Advanced Outputs'!C$60^$I$22)*$J$22*EXP(-(($L$22*($B268-$M$22))^$K$22))+($G$23+$H$23*'Advanced Outputs'!C$60^$I$23)*$J$23*EXP(-(($L$23*($B268-$M$23))^$K$23))+($G$24+$H$24*'Advanced Outputs'!C$60^$I$24)*$J$24*EXP(-(($L$24*($B268-$M$24))^$K$24))+($G$25+$H$25*'Advanced Outputs'!C$60^$I$25)*$J$25*EXP(-(($L$25*($B268-$M$25))^$K$25))+$G$26))</f>
        <v>0.811455946544385</v>
      </c>
      <c r="E268" s="21">
        <f t="shared" si="3"/>
        <v>0.958959881743799</v>
      </c>
      <c r="F268" s="12"/>
      <c r="G268" s="9"/>
      <c r="H268" s="9"/>
      <c r="I268" s="9"/>
      <c r="J268" s="9"/>
      <c r="K268" s="9"/>
      <c r="L268" s="9"/>
      <c r="M268" s="9"/>
    </row>
    <row r="269" hidden="1" spans="1:13">
      <c r="A269" s="4"/>
      <c r="B269" s="4">
        <v>628</v>
      </c>
      <c r="C269" s="21">
        <f>10^(-(($G$21+$H$21*'Advanced Outputs'!C$61^$I$21)*(($B269/$M$21)^-$K$21)+($G$22+$H$22*'Advanced Outputs'!C$61^$I$22)*$J$22*EXP(-(($L$22*($B269-$M$22))^$K$22))+($G$23+$H$23*'Advanced Outputs'!C$61^$I$23)*$J$23*EXP(-(($L$23*($B269-$M$23))^$K$23))+($G$24+$H$24*'Advanced Outputs'!C$61^$I$24)*$J$24*EXP(-(($L$24*($B269-$M$24))^$K$24))+($G$25+$H$25*'Advanced Outputs'!C$61^$I$25)*$J$25*EXP(-(($L$25*($B269-$M$25))^$K$25))+$G$26))</f>
        <v>0.778846767093221</v>
      </c>
      <c r="D269" s="21">
        <f>10^(-(($G$21+$H$21*'Advanced Outputs'!C$60^$I$21)*(($B269/$M$21)^-$K$21)+($G$22+$H$22*'Advanced Outputs'!C$60^$I$22)*$J$22*EXP(-(($L$22*($B269-$M$22))^$K$22))+($G$23+$H$23*'Advanced Outputs'!C$60^$I$23)*$J$23*EXP(-(($L$23*($B269-$M$23))^$K$23))+($G$24+$H$24*'Advanced Outputs'!C$60^$I$24)*$J$24*EXP(-(($L$24*($B269-$M$24))^$K$24))+($G$25+$H$25*'Advanced Outputs'!C$60^$I$25)*$J$25*EXP(-(($L$25*($B269-$M$25))^$K$25))+$G$26))</f>
        <v>0.811858215532635</v>
      </c>
      <c r="E269" s="21">
        <f t="shared" si="3"/>
        <v>0.959338406869781</v>
      </c>
      <c r="F269" s="12"/>
      <c r="G269" s="9"/>
      <c r="H269" s="9"/>
      <c r="I269" s="9"/>
      <c r="J269" s="9"/>
      <c r="K269" s="9"/>
      <c r="L269" s="9"/>
      <c r="M269" s="9"/>
    </row>
    <row r="270" hidden="1" spans="1:13">
      <c r="A270" s="4"/>
      <c r="B270" s="4">
        <v>629</v>
      </c>
      <c r="C270" s="21">
        <f>10^(-(($G$21+$H$21*'Advanced Outputs'!C$61^$I$21)*(($B270/$M$21)^-$K$21)+($G$22+$H$22*'Advanced Outputs'!C$61^$I$22)*$J$22*EXP(-(($L$22*($B270-$M$22))^$K$22))+($G$23+$H$23*'Advanced Outputs'!C$61^$I$23)*$J$23*EXP(-(($L$23*($B270-$M$23))^$K$23))+($G$24+$H$24*'Advanced Outputs'!C$61^$I$24)*$J$24*EXP(-(($L$24*($B270-$M$24))^$K$24))+($G$25+$H$25*'Advanced Outputs'!C$61^$I$25)*$J$25*EXP(-(($L$25*($B270-$M$25))^$K$25))+$G$26))</f>
        <v>0.779530555293025</v>
      </c>
      <c r="D270" s="21">
        <f>10^(-(($G$21+$H$21*'Advanced Outputs'!C$60^$I$21)*(($B270/$M$21)^-$K$21)+($G$22+$H$22*'Advanced Outputs'!C$60^$I$22)*$J$22*EXP(-(($L$22*($B270-$M$22))^$K$22))+($G$23+$H$23*'Advanced Outputs'!C$60^$I$23)*$J$23*EXP(-(($L$23*($B270-$M$23))^$K$23))+($G$24+$H$24*'Advanced Outputs'!C$60^$I$24)*$J$24*EXP(-(($L$24*($B270-$M$24))^$K$24))+($G$25+$H$25*'Advanced Outputs'!C$60^$I$25)*$J$25*EXP(-(($L$25*($B270-$M$25))^$K$25))+$G$26))</f>
        <v>0.812256285056904</v>
      </c>
      <c r="E270" s="21">
        <f t="shared" si="3"/>
        <v>0.95971009351859</v>
      </c>
      <c r="F270" s="12"/>
      <c r="G270" s="9"/>
      <c r="H270" s="9"/>
      <c r="I270" s="9"/>
      <c r="J270" s="9"/>
      <c r="K270" s="9"/>
      <c r="L270" s="9"/>
      <c r="M270" s="9"/>
    </row>
    <row r="271" hidden="1" spans="1:13">
      <c r="A271" s="4"/>
      <c r="B271" s="4">
        <v>630</v>
      </c>
      <c r="C271" s="21">
        <f>10^(-(($G$21+$H$21*'Advanced Outputs'!C$61^$I$21)*(($B271/$M$21)^-$K$21)+($G$22+$H$22*'Advanced Outputs'!C$61^$I$22)*$J$22*EXP(-(($L$22*($B271-$M$22))^$K$22))+($G$23+$H$23*'Advanced Outputs'!C$61^$I$23)*$J$23*EXP(-(($L$23*($B271-$M$23))^$K$23))+($G$24+$H$24*'Advanced Outputs'!C$61^$I$24)*$J$24*EXP(-(($L$24*($B271-$M$24))^$K$24))+($G$25+$H$25*'Advanced Outputs'!C$61^$I$25)*$J$25*EXP(-(($L$25*($B271-$M$25))^$K$25))+$G$26))</f>
        <v>0.780205254991549</v>
      </c>
      <c r="D271" s="21">
        <f>10^(-(($G$21+$H$21*'Advanced Outputs'!C$60^$I$21)*(($B271/$M$21)^-$K$21)+($G$22+$H$22*'Advanced Outputs'!C$60^$I$22)*$J$22*EXP(-(($L$22*($B271-$M$22))^$K$22))+($G$23+$H$23*'Advanced Outputs'!C$60^$I$23)*$J$23*EXP(-(($L$23*($B271-$M$23))^$K$23))+($G$24+$H$24*'Advanced Outputs'!C$60^$I$24)*$J$24*EXP(-(($L$24*($B271-$M$24))^$K$24))+($G$25+$H$25*'Advanced Outputs'!C$60^$I$25)*$J$25*EXP(-(($L$25*($B271-$M$25))^$K$25))+$G$26))</f>
        <v>0.812650224387379</v>
      </c>
      <c r="E271" s="21">
        <f t="shared" si="3"/>
        <v>0.960075111748983</v>
      </c>
      <c r="F271" s="12"/>
      <c r="G271" s="9"/>
      <c r="H271" s="9"/>
      <c r="I271" s="9"/>
      <c r="J271" s="9"/>
      <c r="K271" s="9"/>
      <c r="L271" s="9"/>
      <c r="M271" s="9"/>
    </row>
    <row r="272" hidden="1" spans="1:13">
      <c r="A272" s="4"/>
      <c r="B272" s="4">
        <v>631</v>
      </c>
      <c r="C272" s="21">
        <f>10^(-(($G$21+$H$21*'Advanced Outputs'!C$61^$I$21)*(($B272/$M$21)^-$K$21)+($G$22+$H$22*'Advanced Outputs'!C$61^$I$22)*$J$22*EXP(-(($L$22*($B272-$M$22))^$K$22))+($G$23+$H$23*'Advanced Outputs'!C$61^$I$23)*$J$23*EXP(-(($L$23*($B272-$M$23))^$K$23))+($G$24+$H$24*'Advanced Outputs'!C$61^$I$24)*$J$24*EXP(-(($L$24*($B272-$M$24))^$K$24))+($G$25+$H$25*'Advanced Outputs'!C$61^$I$25)*$J$25*EXP(-(($L$25*($B272-$M$25))^$K$25))+$G$26))</f>
        <v>0.780871053978199</v>
      </c>
      <c r="D272" s="21">
        <f>10^(-(($G$21+$H$21*'Advanced Outputs'!C$60^$I$21)*(($B272/$M$21)^-$K$21)+($G$22+$H$22*'Advanced Outputs'!C$60^$I$22)*$J$22*EXP(-(($L$22*($B272-$M$22))^$K$22))+($G$23+$H$23*'Advanced Outputs'!C$60^$I$23)*$J$23*EXP(-(($L$23*($B272-$M$23))^$K$23))+($G$24+$H$24*'Advanced Outputs'!C$60^$I$24)*$J$24*EXP(-(($L$24*($B272-$M$24))^$K$24))+($G$25+$H$25*'Advanced Outputs'!C$60^$I$25)*$J$25*EXP(-(($L$25*($B272-$M$25))^$K$25))+$G$26))</f>
        <v>0.813040101417949</v>
      </c>
      <c r="E272" s="21">
        <f t="shared" si="3"/>
        <v>0.960433627586576</v>
      </c>
      <c r="F272" s="12"/>
      <c r="G272" s="9"/>
      <c r="H272" s="9"/>
      <c r="I272" s="9"/>
      <c r="J272" s="9"/>
      <c r="K272" s="9"/>
      <c r="L272" s="9"/>
      <c r="M272" s="9"/>
    </row>
    <row r="273" hidden="1" spans="1:13">
      <c r="A273" s="4"/>
      <c r="B273" s="4">
        <v>632</v>
      </c>
      <c r="C273" s="21">
        <f>10^(-(($G$21+$H$21*'Advanced Outputs'!C$61^$I$21)*(($B273/$M$21)^-$K$21)+($G$22+$H$22*'Advanced Outputs'!C$61^$I$22)*$J$22*EXP(-(($L$22*($B273-$M$22))^$K$22))+($G$23+$H$23*'Advanced Outputs'!C$61^$I$23)*$J$23*EXP(-(($L$23*($B273-$M$23))^$K$23))+($G$24+$H$24*'Advanced Outputs'!C$61^$I$24)*$J$24*EXP(-(($L$24*($B273-$M$24))^$K$24))+($G$25+$H$25*'Advanced Outputs'!C$61^$I$25)*$J$25*EXP(-(($L$25*($B273-$M$25))^$K$25))+$G$26))</f>
        <v>0.781528136031314</v>
      </c>
      <c r="D273" s="21">
        <f>10^(-(($G$21+$H$21*'Advanced Outputs'!C$60^$I$21)*(($B273/$M$21)^-$K$21)+($G$22+$H$22*'Advanced Outputs'!C$60^$I$22)*$J$22*EXP(-(($L$22*($B273-$M$22))^$K$22))+($G$23+$H$23*'Advanced Outputs'!C$60^$I$23)*$J$23*EXP(-(($L$23*($B273-$M$23))^$K$23))+($G$24+$H$24*'Advanced Outputs'!C$60^$I$24)*$J$24*EXP(-(($L$24*($B273-$M$24))^$K$24))+($G$25+$H$25*'Advanced Outputs'!C$60^$I$25)*$J$25*EXP(-(($L$25*($B273-$M$25))^$K$25))+$G$26))</f>
        <v>0.813425982688003</v>
      </c>
      <c r="E273" s="21">
        <f t="shared" si="3"/>
        <v>0.960785803090182</v>
      </c>
      <c r="F273" s="12"/>
      <c r="G273" s="9"/>
      <c r="H273" s="9"/>
      <c r="I273" s="9"/>
      <c r="J273" s="9"/>
      <c r="K273" s="9"/>
      <c r="L273" s="9"/>
      <c r="M273" s="9"/>
    </row>
    <row r="274" hidden="1" spans="1:13">
      <c r="A274" s="4"/>
      <c r="B274" s="4">
        <v>633</v>
      </c>
      <c r="C274" s="21">
        <f>10^(-(($G$21+$H$21*'Advanced Outputs'!C$61^$I$21)*(($B274/$M$21)^-$K$21)+($G$22+$H$22*'Advanced Outputs'!C$61^$I$22)*$J$22*EXP(-(($L$22*($B274-$M$22))^$K$22))+($G$23+$H$23*'Advanced Outputs'!C$61^$I$23)*$J$23*EXP(-(($L$23*($B274-$M$23))^$K$23))+($G$24+$H$24*'Advanced Outputs'!C$61^$I$24)*$J$24*EXP(-(($L$24*($B274-$M$24))^$K$24))+($G$25+$H$25*'Advanced Outputs'!C$61^$I$25)*$J$25*EXP(-(($L$25*($B274-$M$25))^$K$25))+$G$26))</f>
        <v>0.782176680972393</v>
      </c>
      <c r="D274" s="21">
        <f>10^(-(($G$21+$H$21*'Advanced Outputs'!C$60^$I$21)*(($B274/$M$21)^-$K$21)+($G$22+$H$22*'Advanced Outputs'!C$60^$I$22)*$J$22*EXP(-(($L$22*($B274-$M$22))^$K$22))+($G$23+$H$23*'Advanced Outputs'!C$60^$I$23)*$J$23*EXP(-(($L$23*($B274-$M$23))^$K$23))+($G$24+$H$24*'Advanced Outputs'!C$60^$I$24)*$J$24*EXP(-(($L$24*($B274-$M$24))^$K$24))+($G$25+$H$25*'Advanced Outputs'!C$60^$I$25)*$J$25*EXP(-(($L$25*($B274-$M$25))^$K$25))+$G$26))</f>
        <v>0.813807933404252</v>
      </c>
      <c r="E274" s="21">
        <f t="shared" si="3"/>
        <v>0.961131796418423</v>
      </c>
      <c r="F274" s="12"/>
      <c r="G274" s="9"/>
      <c r="H274" s="9"/>
      <c r="I274" s="9"/>
      <c r="J274" s="9"/>
      <c r="K274" s="9"/>
      <c r="L274" s="9"/>
      <c r="M274" s="9"/>
    </row>
    <row r="275" hidden="1" spans="1:13">
      <c r="A275" s="4"/>
      <c r="B275" s="4">
        <v>634</v>
      </c>
      <c r="C275" s="21">
        <f>10^(-(($G$21+$H$21*'Advanced Outputs'!C$61^$I$21)*(($B275/$M$21)^-$K$21)+($G$22+$H$22*'Advanced Outputs'!C$61^$I$22)*$J$22*EXP(-(($L$22*($B275-$M$22))^$K$22))+($G$23+$H$23*'Advanced Outputs'!C$61^$I$23)*$J$23*EXP(-(($L$23*($B275-$M$23))^$K$23))+($G$24+$H$24*'Advanced Outputs'!C$61^$I$24)*$J$24*EXP(-(($L$24*($B275-$M$24))^$K$24))+($G$25+$H$25*'Advanced Outputs'!C$61^$I$25)*$J$25*EXP(-(($L$25*($B275-$M$25))^$K$25))+$G$26))</f>
        <v>0.782816864721243</v>
      </c>
      <c r="D275" s="21">
        <f>10^(-(($G$21+$H$21*'Advanced Outputs'!C$60^$I$21)*(($B275/$M$21)^-$K$21)+($G$22+$H$22*'Advanced Outputs'!C$60^$I$22)*$J$22*EXP(-(($L$22*($B275-$M$22))^$K$22))+($G$23+$H$23*'Advanced Outputs'!C$60^$I$23)*$J$23*EXP(-(($L$23*($B275-$M$23))^$K$23))+($G$24+$H$24*'Advanced Outputs'!C$60^$I$24)*$J$24*EXP(-(($L$24*($B275-$M$24))^$K$24))+($G$25+$H$25*'Advanced Outputs'!C$60^$I$25)*$J$25*EXP(-(($L$25*($B275-$M$25))^$K$25))+$G$26))</f>
        <v>0.814186017462544</v>
      </c>
      <c r="E275" s="21">
        <f t="shared" si="3"/>
        <v>0.961471761896545</v>
      </c>
      <c r="F275" s="12"/>
      <c r="G275" s="9"/>
      <c r="H275" s="9"/>
      <c r="I275" s="9"/>
      <c r="J275" s="9"/>
      <c r="K275" s="9"/>
      <c r="L275" s="9"/>
      <c r="M275" s="9"/>
    </row>
    <row r="276" hidden="1" spans="1:13">
      <c r="A276" s="4"/>
      <c r="B276" s="4">
        <v>635</v>
      </c>
      <c r="C276" s="21">
        <f>10^(-(($G$21+$H$21*'Advanced Outputs'!C$61^$I$21)*(($B276/$M$21)^-$K$21)+($G$22+$H$22*'Advanced Outputs'!C$61^$I$22)*$J$22*EXP(-(($L$22*($B276-$M$22))^$K$22))+($G$23+$H$23*'Advanced Outputs'!C$61^$I$23)*$J$23*EXP(-(($L$23*($B276-$M$23))^$K$23))+($G$24+$H$24*'Advanced Outputs'!C$61^$I$24)*$J$24*EXP(-(($L$24*($B276-$M$24))^$K$24))+($G$25+$H$25*'Advanced Outputs'!C$61^$I$25)*$J$25*EXP(-(($L$25*($B276-$M$25))^$K$25))+$G$26))</f>
        <v>0.783448859351974</v>
      </c>
      <c r="D276" s="21">
        <f>10^(-(($G$21+$H$21*'Advanced Outputs'!C$60^$I$21)*(($B276/$M$21)^-$K$21)+($G$22+$H$22*'Advanced Outputs'!C$60^$I$22)*$J$22*EXP(-(($L$22*($B276-$M$22))^$K$22))+($G$23+$H$23*'Advanced Outputs'!C$60^$I$23)*$J$23*EXP(-(($L$23*($B276-$M$23))^$K$23))+($G$24+$H$24*'Advanced Outputs'!C$60^$I$24)*$J$24*EXP(-(($L$24*($B276-$M$24))^$K$24))+($G$25+$H$25*'Advanced Outputs'!C$60^$I$25)*$J$25*EXP(-(($L$25*($B276-$M$25))^$K$25))+$G$26))</f>
        <v>0.814560297469666</v>
      </c>
      <c r="E276" s="21">
        <f t="shared" si="3"/>
        <v>0.96180585008337</v>
      </c>
      <c r="F276" s="12"/>
      <c r="G276" s="9"/>
      <c r="H276" s="9"/>
      <c r="I276" s="9"/>
      <c r="J276" s="9"/>
      <c r="K276" s="9"/>
      <c r="L276" s="9"/>
      <c r="M276" s="9"/>
    </row>
    <row r="277" hidden="1" spans="1:13">
      <c r="A277" s="4"/>
      <c r="B277" s="4">
        <v>636</v>
      </c>
      <c r="C277" s="21">
        <f>10^(-(($G$21+$H$21*'Advanced Outputs'!C$61^$I$21)*(($B277/$M$21)^-$K$21)+($G$22+$H$22*'Advanced Outputs'!C$61^$I$22)*$J$22*EXP(-(($L$22*($B277-$M$22))^$K$22))+($G$23+$H$23*'Advanced Outputs'!C$61^$I$23)*$J$23*EXP(-(($L$23*($B277-$M$23))^$K$23))+($G$24+$H$24*'Advanced Outputs'!C$61^$I$24)*$J$24*EXP(-(($L$24*($B277-$M$24))^$K$24))+($G$25+$H$25*'Advanced Outputs'!C$61^$I$25)*$J$25*EXP(-(($L$25*($B277-$M$25))^$K$25))+$G$26))</f>
        <v>0.784072833149734</v>
      </c>
      <c r="D277" s="21">
        <f>10^(-(($G$21+$H$21*'Advanced Outputs'!C$60^$I$21)*(($B277/$M$21)^-$K$21)+($G$22+$H$22*'Advanced Outputs'!C$60^$I$22)*$J$22*EXP(-(($L$22*($B277-$M$22))^$K$22))+($G$23+$H$23*'Advanced Outputs'!C$60^$I$23)*$J$23*EXP(-(($L$23*($B277-$M$23))^$K$23))+($G$24+$H$24*'Advanced Outputs'!C$60^$I$24)*$J$24*EXP(-(($L$24*($B277-$M$24))^$K$24))+($G$25+$H$25*'Advanced Outputs'!C$60^$I$25)*$J$25*EXP(-(($L$25*($B277-$M$25))^$K$25))+$G$26))</f>
        <v>0.814930834765113</v>
      </c>
      <c r="E277" s="21">
        <f t="shared" ref="E277:E340" si="4">C277/D277</f>
        <v>0.962134207838298</v>
      </c>
      <c r="F277" s="12"/>
      <c r="G277" s="9"/>
      <c r="H277" s="9"/>
      <c r="I277" s="9"/>
      <c r="J277" s="9"/>
      <c r="K277" s="9"/>
      <c r="L277" s="9"/>
      <c r="M277" s="9"/>
    </row>
    <row r="278" hidden="1" spans="1:13">
      <c r="A278" s="4"/>
      <c r="B278" s="4">
        <v>637</v>
      </c>
      <c r="C278" s="21">
        <f>10^(-(($G$21+$H$21*'Advanced Outputs'!C$61^$I$21)*(($B278/$M$21)^-$K$21)+($G$22+$H$22*'Advanced Outputs'!C$61^$I$22)*$J$22*EXP(-(($L$22*($B278-$M$22))^$K$22))+($G$23+$H$23*'Advanced Outputs'!C$61^$I$23)*$J$23*EXP(-(($L$23*($B278-$M$23))^$K$23))+($G$24+$H$24*'Advanced Outputs'!C$61^$I$24)*$J$24*EXP(-(($L$24*($B278-$M$24))^$K$24))+($G$25+$H$25*'Advanced Outputs'!C$61^$I$25)*$J$25*EXP(-(($L$25*($B278-$M$25))^$K$25))+$G$26))</f>
        <v>0.784688950668086</v>
      </c>
      <c r="D278" s="21">
        <f>10^(-(($G$21+$H$21*'Advanced Outputs'!C$60^$I$21)*(($B278/$M$21)^-$K$21)+($G$22+$H$22*'Advanced Outputs'!C$60^$I$22)*$J$22*EXP(-(($L$22*($B278-$M$22))^$K$22))+($G$23+$H$23*'Advanced Outputs'!C$60^$I$23)*$J$23*EXP(-(($L$23*($B278-$M$23))^$K$23))+($G$24+$H$24*'Advanced Outputs'!C$60^$I$24)*$J$24*EXP(-(($L$24*($B278-$M$24))^$K$24))+($G$25+$H$25*'Advanced Outputs'!C$60^$I$25)*$J$25*EXP(-(($L$25*($B278-$M$25))^$K$25))+$G$26))</f>
        <v>0.815297689442801</v>
      </c>
      <c r="E278" s="21">
        <f t="shared" si="4"/>
        <v>0.962456978388305</v>
      </c>
      <c r="F278" s="12"/>
      <c r="G278" s="9"/>
      <c r="H278" s="9"/>
      <c r="I278" s="9"/>
      <c r="J278" s="9"/>
      <c r="K278" s="9"/>
      <c r="L278" s="9"/>
      <c r="M278" s="9"/>
    </row>
    <row r="279" hidden="1" spans="1:13">
      <c r="A279" s="4"/>
      <c r="B279" s="4">
        <v>638</v>
      </c>
      <c r="C279" s="21">
        <f>10^(-(($G$21+$H$21*'Advanced Outputs'!C$61^$I$21)*(($B279/$M$21)^-$K$21)+($G$22+$H$22*'Advanced Outputs'!C$61^$I$22)*$J$22*EXP(-(($L$22*($B279-$M$22))^$K$22))+($G$23+$H$23*'Advanced Outputs'!C$61^$I$23)*$J$23*EXP(-(($L$23*($B279-$M$23))^$K$23))+($G$24+$H$24*'Advanced Outputs'!C$61^$I$24)*$J$24*EXP(-(($L$24*($B279-$M$24))^$K$24))+($G$25+$H$25*'Advanced Outputs'!C$61^$I$25)*$J$25*EXP(-(($L$25*($B279-$M$25))^$K$25))+$G$26))</f>
        <v>0.785297372786944</v>
      </c>
      <c r="D279" s="21">
        <f>10^(-(($G$21+$H$21*'Advanced Outputs'!C$60^$I$21)*(($B279/$M$21)^-$K$21)+($G$22+$H$22*'Advanced Outputs'!C$60^$I$22)*$J$22*EXP(-(($L$22*($B279-$M$22))^$K$22))+($G$23+$H$23*'Advanced Outputs'!C$60^$I$23)*$J$23*EXP(-(($L$23*($B279-$M$23))^$K$23))+($G$24+$H$24*'Advanced Outputs'!C$60^$I$24)*$J$24*EXP(-(($L$24*($B279-$M$24))^$K$24))+($G$25+$H$25*'Advanced Outputs'!C$60^$I$25)*$J$25*EXP(-(($L$25*($B279-$M$25))^$K$25))+$G$26))</f>
        <v>0.815660920372719</v>
      </c>
      <c r="E279" s="21">
        <f t="shared" si="4"/>
        <v>0.962774301394874</v>
      </c>
      <c r="F279" s="12"/>
      <c r="G279" s="9"/>
      <c r="H279" s="9"/>
      <c r="I279" s="9"/>
      <c r="J279" s="9"/>
      <c r="K279" s="9"/>
      <c r="L279" s="9"/>
      <c r="M279" s="9"/>
    </row>
    <row r="280" hidden="1" spans="1:13">
      <c r="A280" s="4"/>
      <c r="B280" s="4">
        <v>639</v>
      </c>
      <c r="C280" s="21">
        <f>10^(-(($G$21+$H$21*'Advanced Outputs'!C$61^$I$21)*(($B280/$M$21)^-$K$21)+($G$22+$H$22*'Advanced Outputs'!C$61^$I$22)*$J$22*EXP(-(($L$22*($B280-$M$22))^$K$22))+($G$23+$H$23*'Advanced Outputs'!C$61^$I$23)*$J$23*EXP(-(($L$23*($B280-$M$23))^$K$23))+($G$24+$H$24*'Advanced Outputs'!C$61^$I$24)*$J$24*EXP(-(($L$24*($B280-$M$24))^$K$24))+($G$25+$H$25*'Advanced Outputs'!C$61^$I$25)*$J$25*EXP(-(($L$25*($B280-$M$25))^$K$25))+$G$26))</f>
        <v>0.785898256770985</v>
      </c>
      <c r="D280" s="21">
        <f>10^(-(($G$21+$H$21*'Advanced Outputs'!C$60^$I$21)*(($B280/$M$21)^-$K$21)+($G$22+$H$22*'Advanced Outputs'!C$60^$I$22)*$J$22*EXP(-(($L$22*($B280-$M$22))^$K$22))+($G$23+$H$23*'Advanced Outputs'!C$60^$I$23)*$J$23*EXP(-(($L$23*($B280-$M$23))^$K$23))+($G$24+$H$24*'Advanced Outputs'!C$60^$I$24)*$J$24*EXP(-(($L$24*($B280-$M$24))^$K$24))+($G$25+$H$25*'Advanced Outputs'!C$60^$I$25)*$J$25*EXP(-(($L$25*($B280-$M$25))^$K$25))+$G$26))</f>
        <v>0.816020585222486</v>
      </c>
      <c r="E280" s="21">
        <f t="shared" si="4"/>
        <v>0.963086313020782</v>
      </c>
      <c r="F280" s="12"/>
      <c r="G280" s="9"/>
      <c r="H280" s="9"/>
      <c r="I280" s="9"/>
      <c r="J280" s="9"/>
      <c r="K280" s="9"/>
      <c r="L280" s="9"/>
      <c r="M280" s="9"/>
    </row>
    <row r="281" hidden="1" spans="1:13">
      <c r="A281" s="4"/>
      <c r="B281" s="4">
        <v>640</v>
      </c>
      <c r="C281" s="21">
        <f>10^(-(($G$21+$H$21*'Advanced Outputs'!C$61^$I$21)*(($B281/$M$21)^-$K$21)+($G$22+$H$22*'Advanced Outputs'!C$61^$I$22)*$J$22*EXP(-(($L$22*($B281-$M$22))^$K$22))+($G$23+$H$23*'Advanced Outputs'!C$61^$I$23)*$J$23*EXP(-(($L$23*($B281-$M$23))^$K$23))+($G$24+$H$24*'Advanced Outputs'!C$61^$I$24)*$J$24*EXP(-(($L$24*($B281-$M$24))^$K$24))+($G$25+$H$25*'Advanced Outputs'!C$61^$I$25)*$J$25*EXP(-(($L$25*($B281-$M$25))^$K$25))+$G$26))</f>
        <v>0.786491756328438</v>
      </c>
      <c r="D281" s="21">
        <f>10^(-(($G$21+$H$21*'Advanced Outputs'!C$60^$I$21)*(($B281/$M$21)^-$K$21)+($G$22+$H$22*'Advanced Outputs'!C$60^$I$22)*$J$22*EXP(-(($L$22*($B281-$M$22))^$K$22))+($G$23+$H$23*'Advanced Outputs'!C$60^$I$23)*$J$23*EXP(-(($L$23*($B281-$M$23))^$K$23))+($G$24+$H$24*'Advanced Outputs'!C$60^$I$24)*$J$24*EXP(-(($L$24*($B281-$M$24))^$K$24))+($G$25+$H$25*'Advanced Outputs'!C$60^$I$25)*$J$25*EXP(-(($L$25*($B281-$M$25))^$K$25))+$G$26))</f>
        <v>0.816376740478828</v>
      </c>
      <c r="E281" s="21">
        <f t="shared" si="4"/>
        <v>0.96339314599671</v>
      </c>
      <c r="F281" s="12"/>
      <c r="G281" s="9"/>
      <c r="H281" s="9"/>
      <c r="I281" s="9"/>
      <c r="J281" s="9"/>
      <c r="K281" s="9"/>
      <c r="L281" s="9"/>
      <c r="M281" s="9"/>
    </row>
    <row r="282" hidden="1" spans="1:13">
      <c r="A282" s="4"/>
      <c r="B282" s="4">
        <v>641</v>
      </c>
      <c r="C282" s="21">
        <f>10^(-(($G$21+$H$21*'Advanced Outputs'!C$61^$I$21)*(($B282/$M$21)^-$K$21)+($G$22+$H$22*'Advanced Outputs'!C$61^$I$22)*$J$22*EXP(-(($L$22*($B282-$M$22))^$K$22))+($G$23+$H$23*'Advanced Outputs'!C$61^$I$23)*$J$23*EXP(-(($L$23*($B282-$M$23))^$K$23))+($G$24+$H$24*'Advanced Outputs'!C$61^$I$24)*$J$24*EXP(-(($L$24*($B282-$M$24))^$K$24))+($G$25+$H$25*'Advanced Outputs'!C$61^$I$25)*$J$25*EXP(-(($L$25*($B282-$M$25))^$K$25))+$G$26))</f>
        <v>0.787078021670191</v>
      </c>
      <c r="D282" s="21">
        <f>10^(-(($G$21+$H$21*'Advanced Outputs'!C$60^$I$21)*(($B282/$M$21)^-$K$21)+($G$22+$H$22*'Advanced Outputs'!C$60^$I$22)*$J$22*EXP(-(($L$22*($B282-$M$22))^$K$22))+($G$23+$H$23*'Advanced Outputs'!C$60^$I$23)*$J$23*EXP(-(($L$23*($B282-$M$23))^$K$23))+($G$24+$H$24*'Advanced Outputs'!C$60^$I$24)*$J$24*EXP(-(($L$24*($B282-$M$24))^$K$24))+($G$25+$H$25*'Advanced Outputs'!C$60^$I$25)*$J$25*EXP(-(($L$25*($B282-$M$25))^$K$25))+$G$26))</f>
        <v>0.816729441468928</v>
      </c>
      <c r="E282" s="21">
        <f t="shared" si="4"/>
        <v>0.9636949296876</v>
      </c>
      <c r="F282" s="12"/>
      <c r="G282" s="9"/>
      <c r="H282" s="9"/>
      <c r="I282" s="9"/>
      <c r="J282" s="9"/>
      <c r="K282" s="9"/>
      <c r="L282" s="9"/>
      <c r="M282" s="9"/>
    </row>
    <row r="283" hidden="1" spans="1:13">
      <c r="A283" s="4"/>
      <c r="B283" s="4">
        <v>642</v>
      </c>
      <c r="C283" s="21">
        <f>10^(-(($G$21+$H$21*'Advanced Outputs'!C$61^$I$21)*(($B283/$M$21)^-$K$21)+($G$22+$H$22*'Advanced Outputs'!C$61^$I$22)*$J$22*EXP(-(($L$22*($B283-$M$22))^$K$22))+($G$23+$H$23*'Advanced Outputs'!C$61^$I$23)*$J$23*EXP(-(($L$23*($B283-$M$23))^$K$23))+($G$24+$H$24*'Advanced Outputs'!C$61^$I$24)*$J$24*EXP(-(($L$24*($B283-$M$24))^$K$24))+($G$25+$H$25*'Advanced Outputs'!C$61^$I$25)*$J$25*EXP(-(($L$25*($B283-$M$25))^$K$25))+$G$26))</f>
        <v>0.787657199569133</v>
      </c>
      <c r="D283" s="21">
        <f>10^(-(($G$21+$H$21*'Advanced Outputs'!C$60^$I$21)*(($B283/$M$21)^-$K$21)+($G$22+$H$22*'Advanced Outputs'!C$60^$I$22)*$J$22*EXP(-(($L$22*($B283-$M$22))^$K$22))+($G$23+$H$23*'Advanced Outputs'!C$60^$I$23)*$J$23*EXP(-(($L$23*($B283-$M$23))^$K$23))+($G$24+$H$24*'Advanced Outputs'!C$60^$I$24)*$J$24*EXP(-(($L$24*($B283-$M$24))^$K$24))+($G$25+$H$25*'Advanced Outputs'!C$60^$I$25)*$J$25*EXP(-(($L$25*($B283-$M$25))^$K$25))+$G$26))</f>
        <v>0.817078742381664</v>
      </c>
      <c r="E283" s="21">
        <f t="shared" si="4"/>
        <v>0.963991790158717</v>
      </c>
      <c r="F283" s="12"/>
      <c r="G283" s="9"/>
      <c r="H283" s="9"/>
      <c r="I283" s="9"/>
      <c r="J283" s="9"/>
      <c r="K283" s="9"/>
      <c r="L283" s="9"/>
      <c r="M283" s="9"/>
    </row>
    <row r="284" hidden="1" spans="1:13">
      <c r="A284" s="4"/>
      <c r="B284" s="4">
        <v>643</v>
      </c>
      <c r="C284" s="21">
        <f>10^(-(($G$21+$H$21*'Advanced Outputs'!C$61^$I$21)*(($B284/$M$21)^-$K$21)+($G$22+$H$22*'Advanced Outputs'!C$61^$I$22)*$J$22*EXP(-(($L$22*($B284-$M$22))^$K$22))+($G$23+$H$23*'Advanced Outputs'!C$61^$I$23)*$J$23*EXP(-(($L$23*($B284-$M$23))^$K$23))+($G$24+$H$24*'Advanced Outputs'!C$61^$I$24)*$J$24*EXP(-(($L$24*($B284-$M$24))^$K$24))+($G$25+$H$25*'Advanced Outputs'!C$61^$I$25)*$J$25*EXP(-(($L$25*($B284-$M$25))^$K$25))+$G$26))</f>
        <v>0.78822943341965</v>
      </c>
      <c r="D284" s="21">
        <f>10^(-(($G$21+$H$21*'Advanced Outputs'!C$60^$I$21)*(($B284/$M$21)^-$K$21)+($G$22+$H$22*'Advanced Outputs'!C$60^$I$22)*$J$22*EXP(-(($L$22*($B284-$M$22))^$K$22))+($G$23+$H$23*'Advanced Outputs'!C$60^$I$23)*$J$23*EXP(-(($L$23*($B284-$M$23))^$K$23))+($G$24+$H$24*'Advanced Outputs'!C$60^$I$24)*$J$24*EXP(-(($L$24*($B284-$M$24))^$K$24))+($G$25+$H$25*'Advanced Outputs'!C$60^$I$25)*$J$25*EXP(-(($L$25*($B284-$M$25))^$K$25))+$G$26))</f>
        <v>0.817424696288704</v>
      </c>
      <c r="E284" s="21">
        <f t="shared" si="4"/>
        <v>0.964283850241365</v>
      </c>
      <c r="F284" s="12"/>
      <c r="G284" s="9"/>
      <c r="H284" s="9"/>
      <c r="I284" s="9"/>
      <c r="J284" s="9"/>
      <c r="K284" s="9"/>
      <c r="L284" s="9"/>
      <c r="M284" s="9"/>
    </row>
    <row r="285" hidden="1" spans="1:13">
      <c r="A285" s="4"/>
      <c r="B285" s="4">
        <v>644</v>
      </c>
      <c r="C285" s="21">
        <f>10^(-(($G$21+$H$21*'Advanced Outputs'!C$61^$I$21)*(($B285/$M$21)^-$K$21)+($G$22+$H$22*'Advanced Outputs'!C$61^$I$22)*$J$22*EXP(-(($L$22*($B285-$M$22))^$K$22))+($G$23+$H$23*'Advanced Outputs'!C$61^$I$23)*$J$23*EXP(-(($L$23*($B285-$M$23))^$K$23))+($G$24+$H$24*'Advanced Outputs'!C$61^$I$24)*$J$24*EXP(-(($L$24*($B285-$M$24))^$K$24))+($G$25+$H$25*'Advanced Outputs'!C$61^$I$25)*$J$25*EXP(-(($L$25*($B285-$M$25))^$K$25))+$G$26))</f>
        <v>0.788794863297223</v>
      </c>
      <c r="D285" s="21">
        <f>10^(-(($G$21+$H$21*'Advanced Outputs'!C$60^$I$21)*(($B285/$M$21)^-$K$21)+($G$22+$H$22*'Advanced Outputs'!C$60^$I$22)*$J$22*EXP(-(($L$22*($B285-$M$22))^$K$22))+($G$23+$H$23*'Advanced Outputs'!C$60^$I$23)*$J$23*EXP(-(($L$23*($B285-$M$23))^$K$23))+($G$24+$H$24*'Advanced Outputs'!C$60^$I$24)*$J$24*EXP(-(($L$24*($B285-$M$24))^$K$24))+($G$25+$H$25*'Advanced Outputs'!C$60^$I$25)*$J$25*EXP(-(($L$25*($B285-$M$25))^$K$25))+$G$26))</f>
        <v>0.817767355165456</v>
      </c>
      <c r="E285" s="21">
        <f t="shared" si="4"/>
        <v>0.964571229598213</v>
      </c>
      <c r="F285" s="12"/>
      <c r="G285" s="9"/>
      <c r="H285" s="9"/>
      <c r="I285" s="9"/>
      <c r="J285" s="9"/>
      <c r="K285" s="9"/>
      <c r="L285" s="9"/>
      <c r="M285" s="9"/>
    </row>
    <row r="286" hidden="1" spans="1:13">
      <c r="A286" s="4"/>
      <c r="B286" s="4">
        <v>645</v>
      </c>
      <c r="C286" s="21">
        <f>10^(-(($G$21+$H$21*'Advanced Outputs'!C$61^$I$21)*(($B286/$M$21)^-$K$21)+($G$22+$H$22*'Advanced Outputs'!C$61^$I$22)*$J$22*EXP(-(($L$22*($B286-$M$22))^$K$22))+($G$23+$H$23*'Advanced Outputs'!C$61^$I$23)*$J$23*EXP(-(($L$23*($B286-$M$23))^$K$23))+($G$24+$H$24*'Advanced Outputs'!C$61^$I$24)*$J$24*EXP(-(($L$24*($B286-$M$24))^$K$24))+($G$25+$H$25*'Advanced Outputs'!C$61^$I$25)*$J$25*EXP(-(($L$25*($B286-$M$25))^$K$25))+$G$26))</f>
        <v>0.789353626018052</v>
      </c>
      <c r="D286" s="21">
        <f>10^(-(($G$21+$H$21*'Advanced Outputs'!C$60^$I$21)*(($B286/$M$21)^-$K$21)+($G$22+$H$22*'Advanced Outputs'!C$60^$I$22)*$J$22*EXP(-(($L$22*($B286-$M$22))^$K$22))+($G$23+$H$23*'Advanced Outputs'!C$60^$I$23)*$J$23*EXP(-(($L$23*($B286-$M$23))^$K$23))+($G$24+$H$24*'Advanced Outputs'!C$60^$I$24)*$J$24*EXP(-(($L$24*($B286-$M$24))^$K$24))+($G$25+$H$25*'Advanced Outputs'!C$60^$I$25)*$J$25*EXP(-(($L$25*($B286-$M$25))^$K$25))+$G$26))</f>
        <v>0.818106769911859</v>
      </c>
      <c r="E286" s="21">
        <f t="shared" si="4"/>
        <v>0.964854044788182</v>
      </c>
      <c r="F286" s="12"/>
      <c r="G286" s="9"/>
      <c r="H286" s="9"/>
      <c r="I286" s="9"/>
      <c r="J286" s="9"/>
      <c r="K286" s="9"/>
      <c r="L286" s="9"/>
      <c r="M286" s="9"/>
    </row>
    <row r="287" hidden="1" spans="1:13">
      <c r="A287" s="4"/>
      <c r="B287" s="4">
        <v>646</v>
      </c>
      <c r="C287" s="21">
        <f>10^(-(($G$21+$H$21*'Advanced Outputs'!C$61^$I$21)*(($B287/$M$21)^-$K$21)+($G$22+$H$22*'Advanced Outputs'!C$61^$I$22)*$J$22*EXP(-(($L$22*($B287-$M$22))^$K$22))+($G$23+$H$23*'Advanced Outputs'!C$61^$I$23)*$J$23*EXP(-(($L$23*($B287-$M$23))^$K$23))+($G$24+$H$24*'Advanced Outputs'!C$61^$I$24)*$J$24*EXP(-(($L$24*($B287-$M$24))^$K$24))+($G$25+$H$25*'Advanced Outputs'!C$61^$I$25)*$J$25*EXP(-(($L$25*($B287-$M$25))^$K$25))+$G$26))</f>
        <v>0.789905855198647</v>
      </c>
      <c r="D287" s="21">
        <f>10^(-(($G$21+$H$21*'Advanced Outputs'!C$60^$I$21)*(($B287/$M$21)^-$K$21)+($G$22+$H$22*'Advanced Outputs'!C$60^$I$22)*$J$22*EXP(-(($L$22*($B287-$M$22))^$K$22))+($G$23+$H$23*'Advanced Outputs'!C$60^$I$23)*$J$23*EXP(-(($L$23*($B287-$M$23))^$K$23))+($G$24+$H$24*'Advanced Outputs'!C$60^$I$24)*$J$24*EXP(-(($L$24*($B287-$M$24))^$K$24))+($G$25+$H$25*'Advanced Outputs'!C$60^$I$25)*$J$25*EXP(-(($L$25*($B287-$M$25))^$K$25))+$G$26))</f>
        <v>0.818442990373002</v>
      </c>
      <c r="E287" s="21">
        <f t="shared" si="4"/>
        <v>0.965132409330857</v>
      </c>
      <c r="F287" s="12"/>
      <c r="G287" s="9"/>
      <c r="H287" s="9"/>
      <c r="I287" s="9"/>
      <c r="J287" s="9"/>
      <c r="K287" s="9"/>
      <c r="L287" s="9"/>
      <c r="M287" s="9"/>
    </row>
    <row r="288" hidden="1" spans="1:13">
      <c r="A288" s="4"/>
      <c r="B288" s="4">
        <v>647</v>
      </c>
      <c r="C288" s="21">
        <f>10^(-(($G$21+$H$21*'Advanced Outputs'!C$61^$I$21)*(($B288/$M$21)^-$K$21)+($G$22+$H$22*'Advanced Outputs'!C$61^$I$22)*$J$22*EXP(-(($L$22*($B288-$M$22))^$K$22))+($G$23+$H$23*'Advanced Outputs'!C$61^$I$23)*$J$23*EXP(-(($L$23*($B288-$M$23))^$K$23))+($G$24+$H$24*'Advanced Outputs'!C$61^$I$24)*$J$24*EXP(-(($L$24*($B288-$M$24))^$K$24))+($G$25+$H$25*'Advanced Outputs'!C$61^$I$25)*$J$25*EXP(-(($L$25*($B288-$M$25))^$K$25))+$G$26))</f>
        <v>0.790451681315326</v>
      </c>
      <c r="D288" s="21">
        <f>10^(-(($G$21+$H$21*'Advanced Outputs'!C$60^$I$21)*(($B288/$M$21)^-$K$21)+($G$22+$H$22*'Advanced Outputs'!C$60^$I$22)*$J$22*EXP(-(($L$22*($B288-$M$22))^$K$22))+($G$23+$H$23*'Advanced Outputs'!C$60^$I$23)*$J$23*EXP(-(($L$23*($B288-$M$23))^$K$23))+($G$24+$H$24*'Advanced Outputs'!C$60^$I$24)*$J$24*EXP(-(($L$24*($B288-$M$24))^$K$24))+($G$25+$H$25*'Advanced Outputs'!C$60^$I$25)*$J$25*EXP(-(($L$25*($B288-$M$25))^$K$25))+$G$26))</f>
        <v>0.81877606535957</v>
      </c>
      <c r="E288" s="21">
        <f t="shared" si="4"/>
        <v>0.96540643377038</v>
      </c>
      <c r="F288" s="12"/>
      <c r="G288" s="9"/>
      <c r="H288" s="9"/>
      <c r="I288" s="9"/>
      <c r="J288" s="9"/>
      <c r="K288" s="9"/>
      <c r="L288" s="9"/>
      <c r="M288" s="9"/>
    </row>
    <row r="289" hidden="1" spans="1:13">
      <c r="A289" s="4"/>
      <c r="B289" s="4">
        <v>648</v>
      </c>
      <c r="C289" s="21">
        <f>10^(-(($G$21+$H$21*'Advanced Outputs'!C$61^$I$21)*(($B289/$M$21)^-$K$21)+($G$22+$H$22*'Advanced Outputs'!C$61^$I$22)*$J$22*EXP(-(($L$22*($B289-$M$22))^$K$22))+($G$23+$H$23*'Advanced Outputs'!C$61^$I$23)*$J$23*EXP(-(($L$23*($B289-$M$23))^$K$23))+($G$24+$H$24*'Advanced Outputs'!C$61^$I$24)*$J$24*EXP(-(($L$24*($B289-$M$24))^$K$24))+($G$25+$H$25*'Advanced Outputs'!C$61^$I$25)*$J$25*EXP(-(($L$25*($B289-$M$25))^$K$25))+$G$26))</f>
        <v>0.790991231763567</v>
      </c>
      <c r="D289" s="21">
        <f>10^(-(($G$21+$H$21*'Advanced Outputs'!C$60^$I$21)*(($B289/$M$21)^-$K$21)+($G$22+$H$22*'Advanced Outputs'!C$60^$I$22)*$J$22*EXP(-(($L$22*($B289-$M$22))^$K$22))+($G$23+$H$23*'Advanced Outputs'!C$60^$I$23)*$J$23*EXP(-(($L$23*($B289-$M$23))^$K$23))+($G$24+$H$24*'Advanced Outputs'!C$60^$I$24)*$J$24*EXP(-(($L$24*($B289-$M$24))^$K$24))+($G$25+$H$25*'Advanced Outputs'!C$60^$I$25)*$J$25*EXP(-(($L$25*($B289-$M$25))^$K$25))+$G$26))</f>
        <v>0.819106042668095</v>
      </c>
      <c r="E289" s="21">
        <f t="shared" si="4"/>
        <v>0.965676225738795</v>
      </c>
      <c r="F289" s="12"/>
      <c r="G289" s="9"/>
      <c r="H289" s="9"/>
      <c r="I289" s="9"/>
      <c r="J289" s="9"/>
      <c r="K289" s="9"/>
      <c r="L289" s="9"/>
      <c r="M289" s="9"/>
    </row>
    <row r="290" hidden="1" spans="1:13">
      <c r="A290" s="4"/>
      <c r="B290" s="4">
        <v>649</v>
      </c>
      <c r="C290" s="21">
        <f>10^(-(($G$21+$H$21*'Advanced Outputs'!C$61^$I$21)*(($B290/$M$21)^-$K$21)+($G$22+$H$22*'Advanced Outputs'!C$61^$I$22)*$J$22*EXP(-(($L$22*($B290-$M$22))^$K$22))+($G$23+$H$23*'Advanced Outputs'!C$61^$I$23)*$J$23*EXP(-(($L$23*($B290-$M$23))^$K$23))+($G$24+$H$24*'Advanced Outputs'!C$61^$I$24)*$J$24*EXP(-(($L$24*($B290-$M$24))^$K$24))+($G$25+$H$25*'Advanced Outputs'!C$61^$I$25)*$J$25*EXP(-(($L$25*($B290-$M$25))^$K$25))+$G$26))</f>
        <v>0.791524630917157</v>
      </c>
      <c r="D290" s="21">
        <f>10^(-(($G$21+$H$21*'Advanced Outputs'!C$60^$I$21)*(($B290/$M$21)^-$K$21)+($G$22+$H$22*'Advanced Outputs'!C$60^$I$22)*$J$22*EXP(-(($L$22*($B290-$M$22))^$K$22))+($G$23+$H$23*'Advanced Outputs'!C$60^$I$23)*$J$23*EXP(-(($L$23*($B290-$M$23))^$K$23))+($G$24+$H$24*'Advanced Outputs'!C$60^$I$24)*$J$24*EXP(-(($L$24*($B290-$M$24))^$K$24))+($G$25+$H$25*'Advanced Outputs'!C$60^$I$25)*$J$25*EXP(-(($L$25*($B290-$M$25))^$K$25))+$G$26))</f>
        <v>0.819432969101015</v>
      </c>
      <c r="E290" s="21">
        <f t="shared" si="4"/>
        <v>0.965941890018807</v>
      </c>
      <c r="F290" s="12"/>
      <c r="G290" s="9"/>
      <c r="H290" s="9"/>
      <c r="I290" s="9"/>
      <c r="J290" s="9"/>
      <c r="K290" s="9"/>
      <c r="L290" s="9"/>
      <c r="M290" s="9"/>
    </row>
    <row r="291" hidden="1" spans="1:13">
      <c r="A291" s="4"/>
      <c r="B291" s="4">
        <v>650</v>
      </c>
      <c r="C291" s="21">
        <f>10^(-(($G$21+$H$21*'Advanced Outputs'!C$61^$I$21)*(($B291/$M$21)^-$K$21)+($G$22+$H$22*'Advanced Outputs'!C$61^$I$22)*$J$22*EXP(-(($L$22*($B291-$M$22))^$K$22))+($G$23+$H$23*'Advanced Outputs'!C$61^$I$23)*$J$23*EXP(-(($L$23*($B291-$M$23))^$K$23))+($G$24+$H$24*'Advanced Outputs'!C$61^$I$24)*$J$24*EXP(-(($L$24*($B291-$M$24))^$K$24))+($G$25+$H$25*'Advanced Outputs'!C$61^$I$25)*$J$25*EXP(-(($L$25*($B291-$M$25))^$K$25))+$G$26))</f>
        <v>0.792052000187095</v>
      </c>
      <c r="D291" s="21">
        <f>10^(-(($G$21+$H$21*'Advanced Outputs'!C$60^$I$21)*(($B291/$M$21)^-$K$21)+($G$22+$H$22*'Advanced Outputs'!C$60^$I$22)*$J$22*EXP(-(($L$22*($B291-$M$22))^$K$22))+($G$23+$H$23*'Advanced Outputs'!C$60^$I$23)*$J$23*EXP(-(($L$23*($B291-$M$23))^$K$23))+($G$24+$H$24*'Advanced Outputs'!C$60^$I$24)*$J$24*EXP(-(($L$24*($B291-$M$24))^$K$24))+($G$25+$H$25*'Advanced Outputs'!C$60^$I$25)*$J$25*EXP(-(($L$25*($B291-$M$25))^$K$25))+$G$26))</f>
        <v>0.819756890486527</v>
      </c>
      <c r="E291" s="21">
        <f t="shared" si="4"/>
        <v>0.966203528605916</v>
      </c>
      <c r="F291" s="12"/>
      <c r="G291" s="9"/>
      <c r="H291" s="9"/>
      <c r="I291" s="9"/>
      <c r="J291" s="9"/>
      <c r="K291" s="9"/>
      <c r="L291" s="9"/>
      <c r="M291" s="9"/>
    </row>
    <row r="292" hidden="1" spans="1:13">
      <c r="A292" s="4"/>
      <c r="B292" s="4">
        <v>651</v>
      </c>
      <c r="C292" s="21">
        <f>10^(-(($G$21+$H$21*'Advanced Outputs'!C$61^$I$21)*(($B292/$M$21)^-$K$21)+($G$22+$H$22*'Advanced Outputs'!C$61^$I$22)*$J$22*EXP(-(($L$22*($B292-$M$22))^$K$22))+($G$23+$H$23*'Advanced Outputs'!C$61^$I$23)*$J$23*EXP(-(($L$23*($B292-$M$23))^$K$23))+($G$24+$H$24*'Advanced Outputs'!C$61^$I$24)*$J$24*EXP(-(($L$24*($B292-$M$24))^$K$24))+($G$25+$H$25*'Advanced Outputs'!C$61^$I$25)*$J$25*EXP(-(($L$25*($B292-$M$25))^$K$25))+$G$26))</f>
        <v>0.792573458080192</v>
      </c>
      <c r="D292" s="21">
        <f>10^(-(($G$21+$H$21*'Advanced Outputs'!C$60^$I$21)*(($B292/$M$21)^-$K$21)+($G$22+$H$22*'Advanced Outputs'!C$60^$I$22)*$J$22*EXP(-(($L$22*($B292-$M$22))^$K$22))+($G$23+$H$23*'Advanced Outputs'!C$60^$I$23)*$J$23*EXP(-(($L$23*($B292-$M$23))^$K$23))+($G$24+$H$24*'Advanced Outputs'!C$60^$I$24)*$J$24*EXP(-(($L$24*($B292-$M$24))^$K$24))+($G$25+$H$25*'Advanced Outputs'!C$60^$I$25)*$J$25*EXP(-(($L$25*($B292-$M$25))^$K$25))+$G$26))</f>
        <v>0.820077851698226</v>
      </c>
      <c r="E292" s="21">
        <f t="shared" si="4"/>
        <v>0.966461240769913</v>
      </c>
      <c r="F292" s="12"/>
      <c r="G292" s="9"/>
      <c r="H292" s="9"/>
      <c r="I292" s="9"/>
      <c r="J292" s="9"/>
      <c r="K292" s="9"/>
      <c r="L292" s="9"/>
      <c r="M292" s="9"/>
    </row>
    <row r="293" hidden="1" spans="1:13">
      <c r="A293" s="4"/>
      <c r="B293" s="4">
        <v>652</v>
      </c>
      <c r="C293" s="21">
        <f>10^(-(($G$21+$H$21*'Advanced Outputs'!C$61^$I$21)*(($B293/$M$21)^-$K$21)+($G$22+$H$22*'Advanced Outputs'!C$61^$I$22)*$J$22*EXP(-(($L$22*($B293-$M$22))^$K$22))+($G$23+$H$23*'Advanced Outputs'!C$61^$I$23)*$J$23*EXP(-(($L$23*($B293-$M$23))^$K$23))+($G$24+$H$24*'Advanced Outputs'!C$61^$I$24)*$J$24*EXP(-(($L$24*($B293-$M$24))^$K$24))+($G$25+$H$25*'Advanced Outputs'!C$61^$I$25)*$J$25*EXP(-(($L$25*($B293-$M$25))^$K$25))+$G$26))</f>
        <v>0.793089120257332</v>
      </c>
      <c r="D293" s="21">
        <f>10^(-(($G$21+$H$21*'Advanced Outputs'!C$60^$I$21)*(($B293/$M$21)^-$K$21)+($G$22+$H$22*'Advanced Outputs'!C$60^$I$22)*$J$22*EXP(-(($L$22*($B293-$M$22))^$K$22))+($G$23+$H$23*'Advanced Outputs'!C$60^$I$23)*$J$23*EXP(-(($L$23*($B293-$M$23))^$K$23))+($G$24+$H$24*'Advanced Outputs'!C$60^$I$24)*$J$24*EXP(-(($L$24*($B293-$M$24))^$K$24))+($G$25+$H$25*'Advanced Outputs'!C$60^$I$25)*$J$25*EXP(-(($L$25*($B293-$M$25))^$K$25))+$G$26))</f>
        <v>0.82039589667453</v>
      </c>
      <c r="E293" s="21">
        <f t="shared" si="4"/>
        <v>0.966715123115699</v>
      </c>
      <c r="F293" s="12"/>
      <c r="G293" s="9"/>
      <c r="H293" s="9"/>
      <c r="I293" s="9"/>
      <c r="J293" s="9"/>
      <c r="K293" s="9"/>
      <c r="L293" s="9"/>
      <c r="M293" s="9"/>
    </row>
    <row r="294" hidden="1" spans="1:13">
      <c r="A294" s="4"/>
      <c r="B294" s="4">
        <v>653</v>
      </c>
      <c r="C294" s="21">
        <f>10^(-(($G$21+$H$21*'Advanced Outputs'!C$61^$I$21)*(($B294/$M$21)^-$K$21)+($G$22+$H$22*'Advanced Outputs'!C$61^$I$22)*$J$22*EXP(-(($L$22*($B294-$M$22))^$K$22))+($G$23+$H$23*'Advanced Outputs'!C$61^$I$23)*$J$23*EXP(-(($L$23*($B294-$M$23))^$K$23))+($G$24+$H$24*'Advanced Outputs'!C$61^$I$24)*$J$24*EXP(-(($L$24*($B294-$M$24))^$K$24))+($G$25+$H$25*'Advanced Outputs'!C$61^$I$25)*$J$25*EXP(-(($L$25*($B294-$M$25))^$K$25))+$G$26))</f>
        <v>0.793599099591349</v>
      </c>
      <c r="D294" s="21">
        <f>10^(-(($G$21+$H$21*'Advanced Outputs'!C$60^$I$21)*(($B294/$M$21)^-$K$21)+($G$22+$H$22*'Advanced Outputs'!C$60^$I$22)*$J$22*EXP(-(($L$22*($B294-$M$22))^$K$22))+($G$23+$H$23*'Advanced Outputs'!C$60^$I$23)*$J$23*EXP(-(($L$23*($B294-$M$23))^$K$23))+($G$24+$H$24*'Advanced Outputs'!C$60^$I$24)*$J$24*EXP(-(($L$24*($B294-$M$24))^$K$24))+($G$25+$H$25*'Advanced Outputs'!C$60^$I$25)*$J$25*EXP(-(($L$25*($B294-$M$25))^$K$25))+$G$26))</f>
        <v>0.820711068437871</v>
      </c>
      <c r="E294" s="21">
        <f t="shared" si="4"/>
        <v>0.9669652696434</v>
      </c>
      <c r="F294" s="12"/>
      <c r="G294" s="9"/>
      <c r="H294" s="9"/>
      <c r="I294" s="9"/>
      <c r="J294" s="9"/>
      <c r="K294" s="9"/>
      <c r="L294" s="9"/>
      <c r="M294" s="9"/>
    </row>
    <row r="295" hidden="1" spans="1:13">
      <c r="A295" s="4"/>
      <c r="B295" s="4">
        <v>654</v>
      </c>
      <c r="C295" s="21">
        <f>10^(-(($G$21+$H$21*'Advanced Outputs'!C$61^$I$21)*(($B295/$M$21)^-$K$21)+($G$22+$H$22*'Advanced Outputs'!C$61^$I$22)*$J$22*EXP(-(($L$22*($B295-$M$22))^$K$22))+($G$23+$H$23*'Advanced Outputs'!C$61^$I$23)*$J$23*EXP(-(($L$23*($B295-$M$23))^$K$23))+($G$24+$H$24*'Advanced Outputs'!C$61^$I$24)*$J$24*EXP(-(($L$24*($B295-$M$24))^$K$24))+($G$25+$H$25*'Advanced Outputs'!C$61^$I$25)*$J$25*EXP(-(($L$25*($B295-$M$25))^$K$25))+$G$26))</f>
        <v>0.794103506224479</v>
      </c>
      <c r="D295" s="21">
        <f>10^(-(($G$21+$H$21*'Advanced Outputs'!C$60^$I$21)*(($B295/$M$21)^-$K$21)+($G$22+$H$22*'Advanced Outputs'!C$60^$I$22)*$J$22*EXP(-(($L$22*($B295-$M$22))^$K$22))+($G$23+$H$23*'Advanced Outputs'!C$60^$I$23)*$J$23*EXP(-(($L$23*($B295-$M$23))^$K$23))+($G$24+$H$24*'Advanced Outputs'!C$60^$I$24)*$J$24*EXP(-(($L$24*($B295-$M$24))^$K$24))+($G$25+$H$25*'Advanced Outputs'!C$60^$I$25)*$J$25*EXP(-(($L$25*($B295-$M$25))^$K$25))+$G$26))</f>
        <v>0.821023409113666</v>
      </c>
      <c r="E295" s="21">
        <f t="shared" si="4"/>
        <v>0.967211771807763</v>
      </c>
      <c r="F295" s="12"/>
      <c r="G295" s="9"/>
      <c r="H295" s="9"/>
      <c r="I295" s="9"/>
      <c r="J295" s="9"/>
      <c r="K295" s="9"/>
      <c r="L295" s="9"/>
      <c r="M295" s="9"/>
    </row>
    <row r="296" hidden="1" spans="1:13">
      <c r="A296" s="4"/>
      <c r="B296" s="4">
        <v>655</v>
      </c>
      <c r="C296" s="21">
        <f>10^(-(($G$21+$H$21*'Advanced Outputs'!C$61^$I$21)*(($B296/$M$21)^-$K$21)+($G$22+$H$22*'Advanced Outputs'!C$61^$I$22)*$J$22*EXP(-(($L$22*($B296-$M$22))^$K$22))+($G$23+$H$23*'Advanced Outputs'!C$61^$I$23)*$J$23*EXP(-(($L$23*($B296-$M$23))^$K$23))+($G$24+$H$24*'Advanced Outputs'!C$61^$I$24)*$J$24*EXP(-(($L$24*($B296-$M$24))^$K$24))+($G$25+$H$25*'Advanced Outputs'!C$61^$I$25)*$J$25*EXP(-(($L$25*($B296-$M$25))^$K$25))+$G$26))</f>
        <v>0.794602447625353</v>
      </c>
      <c r="D296" s="21">
        <f>10^(-(($G$21+$H$21*'Advanced Outputs'!C$60^$I$21)*(($B296/$M$21)^-$K$21)+($G$22+$H$22*'Advanced Outputs'!C$60^$I$22)*$J$22*EXP(-(($L$22*($B296-$M$22))^$K$22))+($G$23+$H$23*'Advanced Outputs'!C$60^$I$23)*$J$23*EXP(-(($L$23*($B296-$M$23))^$K$23))+($G$24+$H$24*'Advanced Outputs'!C$60^$I$24)*$J$24*EXP(-(($L$24*($B296-$M$24))^$K$24))+($G$25+$H$25*'Advanced Outputs'!C$60^$I$25)*$J$25*EXP(-(($L$25*($B296-$M$25))^$K$25))+$G$26))</f>
        <v>0.821332959949039</v>
      </c>
      <c r="E296" s="21">
        <f t="shared" si="4"/>
        <v>0.967454718576807</v>
      </c>
      <c r="F296" s="12"/>
      <c r="G296" s="9"/>
      <c r="H296" s="9"/>
      <c r="I296" s="9"/>
      <c r="J296" s="9"/>
      <c r="K296" s="9"/>
      <c r="L296" s="9"/>
      <c r="M296" s="9"/>
    </row>
    <row r="297" hidden="1" spans="1:13">
      <c r="A297" s="4"/>
      <c r="B297" s="4">
        <v>656</v>
      </c>
      <c r="C297" s="21">
        <f>10^(-(($G$21+$H$21*'Advanced Outputs'!C$61^$I$21)*(($B297/$M$21)^-$K$21)+($G$22+$H$22*'Advanced Outputs'!C$61^$I$22)*$J$22*EXP(-(($L$22*($B297-$M$22))^$K$22))+($G$23+$H$23*'Advanced Outputs'!C$61^$I$23)*$J$23*EXP(-(($L$23*($B297-$M$23))^$K$23))+($G$24+$H$24*'Advanced Outputs'!C$61^$I$24)*$J$24*EXP(-(($L$24*($B297-$M$24))^$K$24))+($G$25+$H$25*'Advanced Outputs'!C$61^$I$25)*$J$25*EXP(-(($L$25*($B297-$M$25))^$K$25))+$G$26))</f>
        <v>0.7950960286455</v>
      </c>
      <c r="D297" s="21">
        <f>10^(-(($G$21+$H$21*'Advanced Outputs'!C$60^$I$21)*(($B297/$M$21)^-$K$21)+($G$22+$H$22*'Advanced Outputs'!C$60^$I$22)*$J$22*EXP(-(($L$22*($B297-$M$22))^$K$22))+($G$23+$H$23*'Advanced Outputs'!C$60^$I$23)*$J$23*EXP(-(($L$23*($B297-$M$23))^$K$23))+($G$24+$H$24*'Advanced Outputs'!C$60^$I$24)*$J$24*EXP(-(($L$24*($B297-$M$24))^$K$24))+($G$25+$H$25*'Advanced Outputs'!C$60^$I$25)*$J$25*EXP(-(($L$25*($B297-$M$25))^$K$25))+$G$26))</f>
        <v>0.821639761331312</v>
      </c>
      <c r="E297" s="21">
        <f t="shared" si="4"/>
        <v>0.967694196489709</v>
      </c>
      <c r="F297" s="12"/>
      <c r="G297" s="9"/>
      <c r="H297" s="9"/>
      <c r="I297" s="9"/>
      <c r="J297" s="9"/>
      <c r="K297" s="9"/>
      <c r="L297" s="9"/>
      <c r="M297" s="9"/>
    </row>
    <row r="298" hidden="1" spans="1:13">
      <c r="A298" s="4"/>
      <c r="B298" s="4">
        <v>657</v>
      </c>
      <c r="C298" s="21">
        <f>10^(-(($G$21+$H$21*'Advanced Outputs'!C$61^$I$21)*(($B298/$M$21)^-$K$21)+($G$22+$H$22*'Advanced Outputs'!C$61^$I$22)*$J$22*EXP(-(($L$22*($B298-$M$22))^$K$22))+($G$23+$H$23*'Advanced Outputs'!C$61^$I$23)*$J$23*EXP(-(($L$23*($B298-$M$23))^$K$23))+($G$24+$H$24*'Advanced Outputs'!C$61^$I$24)*$J$24*EXP(-(($L$24*($B298-$M$24))^$K$24))+($G$25+$H$25*'Advanced Outputs'!C$61^$I$25)*$J$25*EXP(-(($L$25*($B298-$M$25))^$K$25))+$G$26))</f>
        <v>0.795584351575311</v>
      </c>
      <c r="D298" s="21">
        <f>10^(-(($G$21+$H$21*'Advanced Outputs'!C$60^$I$21)*(($B298/$M$21)^-$K$21)+($G$22+$H$22*'Advanced Outputs'!C$60^$I$22)*$J$22*EXP(-(($L$22*($B298-$M$22))^$K$22))+($G$23+$H$23*'Advanced Outputs'!C$60^$I$23)*$J$23*EXP(-(($L$23*($B298-$M$23))^$K$23))+($G$24+$H$24*'Advanced Outputs'!C$60^$I$24)*$J$24*EXP(-(($L$24*($B298-$M$24))^$K$24))+($G$25+$H$25*'Advanced Outputs'!C$60^$I$25)*$J$25*EXP(-(($L$25*($B298-$M$25))^$K$25))+$G$26))</f>
        <v>0.82194385280624</v>
      </c>
      <c r="E298" s="21">
        <f t="shared" si="4"/>
        <v>0.96793028971391</v>
      </c>
      <c r="F298" s="12"/>
      <c r="G298" s="9"/>
      <c r="H298" s="9"/>
      <c r="I298" s="9"/>
      <c r="J298" s="9"/>
      <c r="K298" s="9"/>
      <c r="L298" s="9"/>
      <c r="M298" s="9"/>
    </row>
    <row r="299" hidden="1" spans="1:13">
      <c r="A299" s="4"/>
      <c r="B299" s="4">
        <v>658</v>
      </c>
      <c r="C299" s="21">
        <f>10^(-(($G$21+$H$21*'Advanced Outputs'!C$61^$I$21)*(($B299/$M$21)^-$K$21)+($G$22+$H$22*'Advanced Outputs'!C$61^$I$22)*$J$22*EXP(-(($L$22*($B299-$M$22))^$K$22))+($G$23+$H$23*'Advanced Outputs'!C$61^$I$23)*$J$23*EXP(-(($L$23*($B299-$M$23))^$K$23))+($G$24+$H$24*'Advanced Outputs'!C$61^$I$24)*$J$24*EXP(-(($L$24*($B299-$M$24))^$K$24))+($G$25+$H$25*'Advanced Outputs'!C$61^$I$25)*$J$25*EXP(-(($L$25*($B299-$M$25))^$K$25))+$G$26))</f>
        <v>0.796067516199464</v>
      </c>
      <c r="D299" s="21">
        <f>10^(-(($G$21+$H$21*'Advanced Outputs'!C$60^$I$21)*(($B299/$M$21)^-$K$21)+($G$22+$H$22*'Advanced Outputs'!C$60^$I$22)*$J$22*EXP(-(($L$22*($B299-$M$22))^$K$22))+($G$23+$H$23*'Advanced Outputs'!C$60^$I$23)*$J$23*EXP(-(($L$23*($B299-$M$23))^$K$23))+($G$24+$H$24*'Advanced Outputs'!C$60^$I$24)*$J$24*EXP(-(($L$24*($B299-$M$24))^$K$24))+($G$25+$H$25*'Advanced Outputs'!C$60^$I$25)*$J$25*EXP(-(($L$25*($B299-$M$25))^$K$25))+$G$26))</f>
        <v>0.822245273096006</v>
      </c>
      <c r="E299" s="21">
        <f t="shared" si="4"/>
        <v>0.968163080101422</v>
      </c>
      <c r="F299" s="12"/>
      <c r="G299" s="9"/>
      <c r="H299" s="9"/>
      <c r="I299" s="9"/>
      <c r="J299" s="9"/>
      <c r="K299" s="9"/>
      <c r="L299" s="9"/>
      <c r="M299" s="9"/>
    </row>
    <row r="300" hidden="1" spans="1:13">
      <c r="A300" s="4"/>
      <c r="B300" s="4">
        <v>659</v>
      </c>
      <c r="C300" s="21">
        <f>10^(-(($G$21+$H$21*'Advanced Outputs'!C$61^$I$21)*(($B300/$M$21)^-$K$21)+($G$22+$H$22*'Advanced Outputs'!C$61^$I$22)*$J$22*EXP(-(($L$22*($B300-$M$22))^$K$22))+($G$23+$H$23*'Advanced Outputs'!C$61^$I$23)*$J$23*EXP(-(($L$23*($B300-$M$23))^$K$23))+($G$24+$H$24*'Advanced Outputs'!C$61^$I$24)*$J$24*EXP(-(($L$24*($B300-$M$24))^$K$24))+($G$25+$H$25*'Advanced Outputs'!C$61^$I$25)*$J$25*EXP(-(($L$25*($B300-$M$25))^$K$25))+$G$26))</f>
        <v>0.796545619851749</v>
      </c>
      <c r="D300" s="21">
        <f>10^(-(($G$21+$H$21*'Advanced Outputs'!C$60^$I$21)*(($B300/$M$21)^-$K$21)+($G$22+$H$22*'Advanced Outputs'!C$60^$I$22)*$J$22*EXP(-(($L$22*($B300-$M$22))^$K$22))+($G$23+$H$23*'Advanced Outputs'!C$60^$I$23)*$J$23*EXP(-(($L$23*($B300-$M$23))^$K$23))+($G$24+$H$24*'Advanced Outputs'!C$60^$I$24)*$J$24*EXP(-(($L$24*($B300-$M$24))^$K$24))+($G$25+$H$25*'Advanced Outputs'!C$60^$I$25)*$J$25*EXP(-(($L$25*($B300-$M$25))^$K$25))+$G$26))</f>
        <v>0.822544060116956</v>
      </c>
      <c r="E300" s="21">
        <f t="shared" si="4"/>
        <v>0.968392647244318</v>
      </c>
      <c r="F300" s="12"/>
      <c r="G300" s="9"/>
      <c r="H300" s="9"/>
      <c r="I300" s="9"/>
      <c r="J300" s="9"/>
      <c r="K300" s="9"/>
      <c r="L300" s="9"/>
      <c r="M300" s="9"/>
    </row>
    <row r="301" hidden="1" spans="1:13">
      <c r="A301" s="4"/>
      <c r="B301" s="4">
        <v>660</v>
      </c>
      <c r="C301" s="21">
        <f>10^(-(($G$21+$H$21*'Advanced Outputs'!C$61^$I$21)*(($B301/$M$21)^-$K$21)+($G$22+$H$22*'Advanced Outputs'!C$61^$I$22)*$J$22*EXP(-(($L$22*($B301-$M$22))^$K$22))+($G$23+$H$23*'Advanced Outputs'!C$61^$I$23)*$J$23*EXP(-(($L$23*($B301-$M$23))^$K$23))+($G$24+$H$24*'Advanced Outputs'!C$61^$I$24)*$J$24*EXP(-(($L$24*($B301-$M$24))^$K$24))+($G$25+$H$25*'Advanced Outputs'!C$61^$I$25)*$J$25*EXP(-(($L$25*($B301-$M$25))^$K$25))+$G$26))</f>
        <v>0.79701875746929</v>
      </c>
      <c r="D301" s="21">
        <f>10^(-(($G$21+$H$21*'Advanced Outputs'!C$60^$I$21)*(($B301/$M$21)^-$K$21)+($G$22+$H$22*'Advanced Outputs'!C$60^$I$22)*$J$22*EXP(-(($L$22*($B301-$M$22))^$K$22))+($G$23+$H$23*'Advanced Outputs'!C$60^$I$23)*$J$23*EXP(-(($L$23*($B301-$M$23))^$K$23))+($G$24+$H$24*'Advanced Outputs'!C$60^$I$24)*$J$24*EXP(-(($L$24*($B301-$M$24))^$K$24))+($G$25+$H$25*'Advanced Outputs'!C$60^$I$25)*$J$25*EXP(-(($L$25*($B301-$M$25))^$K$25))+$G$26))</f>
        <v>0.822840250997075</v>
      </c>
      <c r="E301" s="21">
        <f t="shared" si="4"/>
        <v>0.968619068529406</v>
      </c>
      <c r="F301" s="12"/>
      <c r="G301" s="9"/>
      <c r="H301" s="9"/>
      <c r="I301" s="9"/>
      <c r="J301" s="9"/>
      <c r="K301" s="9"/>
      <c r="L301" s="9"/>
      <c r="M301" s="9"/>
    </row>
    <row r="302" hidden="1" spans="1:13">
      <c r="A302" s="4"/>
      <c r="B302" s="4">
        <v>661</v>
      </c>
      <c r="C302" s="21">
        <f>10^(-(($G$21+$H$21*'Advanced Outputs'!C$61^$I$21)*(($B302/$M$21)^-$K$21)+($G$22+$H$22*'Advanced Outputs'!C$61^$I$22)*$J$22*EXP(-(($L$22*($B302-$M$22))^$K$22))+($G$23+$H$23*'Advanced Outputs'!C$61^$I$23)*$J$23*EXP(-(($L$23*($B302-$M$23))^$K$23))+($G$24+$H$24*'Advanced Outputs'!C$61^$I$24)*$J$24*EXP(-(($L$24*($B302-$M$24))^$K$24))+($G$25+$H$25*'Advanced Outputs'!C$61^$I$25)*$J$25*EXP(-(($L$25*($B302-$M$25))^$K$25))+$G$26))</f>
        <v>0.797487021646138</v>
      </c>
      <c r="D302" s="21">
        <f>10^(-(($G$21+$H$21*'Advanced Outputs'!C$60^$I$21)*(($B302/$M$21)^-$K$21)+($G$22+$H$22*'Advanced Outputs'!C$60^$I$22)*$J$22*EXP(-(($L$22*($B302-$M$22))^$K$22))+($G$23+$H$23*'Advanced Outputs'!C$60^$I$23)*$J$23*EXP(-(($L$23*($B302-$M$23))^$K$23))+($G$24+$H$24*'Advanced Outputs'!C$60^$I$24)*$J$24*EXP(-(($L$24*($B302-$M$24))^$K$24))+($G$25+$H$25*'Advanced Outputs'!C$60^$I$25)*$J$25*EXP(-(($L$25*($B302-$M$25))^$K$25))+$G$26))</f>
        <v>0.823133882093208</v>
      </c>
      <c r="E302" s="21">
        <f t="shared" si="4"/>
        <v>0.968842419192063</v>
      </c>
      <c r="F302" s="12"/>
      <c r="G302" s="9"/>
      <c r="H302" s="9"/>
      <c r="I302" s="9"/>
      <c r="J302" s="9"/>
      <c r="K302" s="9"/>
      <c r="L302" s="9"/>
      <c r="M302" s="9"/>
    </row>
    <row r="303" hidden="1" spans="1:13">
      <c r="A303" s="4"/>
      <c r="B303" s="4">
        <v>662</v>
      </c>
      <c r="C303" s="21">
        <f>10^(-(($G$21+$H$21*'Advanced Outputs'!C$61^$I$21)*(($B303/$M$21)^-$K$21)+($G$22+$H$22*'Advanced Outputs'!C$61^$I$22)*$J$22*EXP(-(($L$22*($B303-$M$22))^$K$22))+($G$23+$H$23*'Advanced Outputs'!C$61^$I$23)*$J$23*EXP(-(($L$23*($B303-$M$23))^$K$23))+($G$24+$H$24*'Advanced Outputs'!C$61^$I$24)*$J$24*EXP(-(($L$24*($B303-$M$24))^$K$24))+($G$25+$H$25*'Advanced Outputs'!C$61^$I$25)*$J$25*EXP(-(($L$25*($B303-$M$25))^$K$25))+$G$26))</f>
        <v>0.797950502686199</v>
      </c>
      <c r="D303" s="21">
        <f>10^(-(($G$21+$H$21*'Advanced Outputs'!C$60^$I$21)*(($B303/$M$21)^-$K$21)+($G$22+$H$22*'Advanced Outputs'!C$60^$I$22)*$J$22*EXP(-(($L$22*($B303-$M$22))^$K$22))+($G$23+$H$23*'Advanced Outputs'!C$60^$I$23)*$J$23*EXP(-(($L$23*($B303-$M$23))^$K$23))+($G$24+$H$24*'Advanced Outputs'!C$60^$I$24)*$J$24*EXP(-(($L$24*($B303-$M$24))^$K$24))+($G$25+$H$25*'Advanced Outputs'!C$60^$I$25)*$J$25*EXP(-(($L$25*($B303-$M$25))^$K$25))+$G$26))</f>
        <v>0.823424989008017</v>
      </c>
      <c r="E303" s="21">
        <f t="shared" si="4"/>
        <v>0.969062772369215</v>
      </c>
      <c r="F303" s="12"/>
      <c r="G303" s="9"/>
      <c r="H303" s="9"/>
      <c r="I303" s="9"/>
      <c r="J303" s="9"/>
      <c r="K303" s="9"/>
      <c r="L303" s="9"/>
      <c r="M303" s="9"/>
    </row>
    <row r="304" hidden="1" spans="1:13">
      <c r="A304" s="4"/>
      <c r="B304" s="4">
        <v>663</v>
      </c>
      <c r="C304" s="21">
        <f>10^(-(($G$21+$H$21*'Advanced Outputs'!C$61^$I$21)*(($B304/$M$21)^-$K$21)+($G$22+$H$22*'Advanced Outputs'!C$61^$I$22)*$J$22*EXP(-(($L$22*($B304-$M$22))^$K$22))+($G$23+$H$23*'Advanced Outputs'!C$61^$I$23)*$J$23*EXP(-(($L$23*($B304-$M$23))^$K$23))+($G$24+$H$24*'Advanced Outputs'!C$61^$I$24)*$J$24*EXP(-(($L$24*($B304-$M$24))^$K$24))+($G$25+$H$25*'Advanced Outputs'!C$61^$I$25)*$J$25*EXP(-(($L$25*($B304-$M$25))^$K$25))+$G$26))</f>
        <v>0.798409288655493</v>
      </c>
      <c r="D304" s="21">
        <f>10^(-(($G$21+$H$21*'Advanced Outputs'!C$60^$I$21)*(($B304/$M$21)^-$K$21)+($G$22+$H$22*'Advanced Outputs'!C$60^$I$22)*$J$22*EXP(-(($L$22*($B304-$M$22))^$K$22))+($G$23+$H$23*'Advanced Outputs'!C$60^$I$23)*$J$23*EXP(-(($L$23*($B304-$M$23))^$K$23))+($G$24+$H$24*'Advanced Outputs'!C$60^$I$24)*$J$24*EXP(-(($L$24*($B304-$M$24))^$K$24))+($G$25+$H$25*'Advanced Outputs'!C$60^$I$25)*$J$25*EXP(-(($L$25*($B304-$M$25))^$K$25))+$G$26))</f>
        <v>0.823713606606672</v>
      </c>
      <c r="E304" s="21">
        <f t="shared" si="4"/>
        <v>0.969280199151473</v>
      </c>
      <c r="F304" s="12"/>
      <c r="G304" s="9"/>
      <c r="H304" s="9"/>
      <c r="I304" s="9"/>
      <c r="J304" s="9"/>
      <c r="K304" s="9"/>
      <c r="L304" s="9"/>
      <c r="M304" s="9"/>
    </row>
    <row r="305" hidden="1" spans="1:13">
      <c r="A305" s="4"/>
      <c r="B305" s="4">
        <v>664</v>
      </c>
      <c r="C305" s="21">
        <f>10^(-(($G$21+$H$21*'Advanced Outputs'!C$61^$I$21)*(($B305/$M$21)^-$K$21)+($G$22+$H$22*'Advanced Outputs'!C$61^$I$22)*$J$22*EXP(-(($L$22*($B305-$M$22))^$K$22))+($G$23+$H$23*'Advanced Outputs'!C$61^$I$23)*$J$23*EXP(-(($L$23*($B305-$M$23))^$K$23))+($G$24+$H$24*'Advanced Outputs'!C$61^$I$24)*$J$24*EXP(-(($L$24*($B305-$M$24))^$K$24))+($G$25+$H$25*'Advanced Outputs'!C$61^$I$25)*$J$25*EXP(-(($L$25*($B305-$M$25))^$K$25))+$G$26))</f>
        <v>0.798863465433719</v>
      </c>
      <c r="D305" s="21">
        <f>10^(-(($G$21+$H$21*'Advanced Outputs'!C$60^$I$21)*(($B305/$M$21)^-$K$21)+($G$22+$H$22*'Advanced Outputs'!C$60^$I$22)*$J$22*EXP(-(($L$22*($B305-$M$22))^$K$22))+($G$23+$H$23*'Advanced Outputs'!C$60^$I$23)*$J$23*EXP(-(($L$23*($B305-$M$23))^$K$23))+($G$24+$H$24*'Advanced Outputs'!C$60^$I$24)*$J$24*EXP(-(($L$24*($B305-$M$24))^$K$24))+($G$25+$H$25*'Advanced Outputs'!C$60^$I$25)*$J$25*EXP(-(($L$25*($B305-$M$25))^$K$25))+$G$26))</f>
        <v>0.823999769033281</v>
      </c>
      <c r="E305" s="21">
        <f t="shared" si="4"/>
        <v>0.969494768634399</v>
      </c>
      <c r="F305" s="12"/>
      <c r="G305" s="9"/>
      <c r="H305" s="9"/>
      <c r="I305" s="9"/>
      <c r="J305" s="9"/>
      <c r="K305" s="9"/>
      <c r="L305" s="9"/>
      <c r="M305" s="9"/>
    </row>
    <row r="306" hidden="1" spans="1:13">
      <c r="A306" s="4"/>
      <c r="B306" s="4">
        <v>665</v>
      </c>
      <c r="C306" s="21">
        <f>10^(-(($G$21+$H$21*'Advanced Outputs'!C$61^$I$21)*(($B306/$M$21)^-$K$21)+($G$22+$H$22*'Advanced Outputs'!C$61^$I$22)*$J$22*EXP(-(($L$22*($B306-$M$22))^$K$22))+($G$23+$H$23*'Advanced Outputs'!C$61^$I$23)*$J$23*EXP(-(($L$23*($B306-$M$23))^$K$23))+($G$24+$H$24*'Advanced Outputs'!C$61^$I$24)*$J$24*EXP(-(($L$24*($B306-$M$24))^$K$24))+($G$25+$H$25*'Advanced Outputs'!C$61^$I$25)*$J$25*EXP(-(($L$25*($B306-$M$25))^$K$25))+$G$26))</f>
        <v>0.799313116765109</v>
      </c>
      <c r="D306" s="21">
        <f>10^(-(($G$21+$H$21*'Advanced Outputs'!C$60^$I$21)*(($B306/$M$21)^-$K$21)+($G$22+$H$22*'Advanced Outputs'!C$60^$I$22)*$J$22*EXP(-(($L$22*($B306-$M$22))^$K$22))+($G$23+$H$23*'Advanced Outputs'!C$60^$I$23)*$J$23*EXP(-(($L$23*($B306-$M$23))^$K$23))+($G$24+$H$24*'Advanced Outputs'!C$60^$I$24)*$J$24*EXP(-(($L$24*($B306-$M$24))^$K$24))+($G$25+$H$25*'Advanced Outputs'!C$60^$I$25)*$J$25*EXP(-(($L$25*($B306-$M$25))^$K$25))+$G$26))</f>
        <v>0.824283509727043</v>
      </c>
      <c r="E306" s="21">
        <f t="shared" si="4"/>
        <v>0.969706547968911</v>
      </c>
      <c r="F306" s="12"/>
      <c r="G306" s="9"/>
      <c r="H306" s="9"/>
      <c r="I306" s="9"/>
      <c r="J306" s="9"/>
      <c r="K306" s="9"/>
      <c r="L306" s="9"/>
      <c r="M306" s="9"/>
    </row>
    <row r="307" hidden="1" spans="1:13">
      <c r="A307" s="4"/>
      <c r="B307" s="4">
        <v>666</v>
      </c>
      <c r="C307" s="21">
        <f>10^(-(($G$21+$H$21*'Advanced Outputs'!C$61^$I$21)*(($B307/$M$21)^-$K$21)+($G$22+$H$22*'Advanced Outputs'!C$61^$I$22)*$J$22*EXP(-(($L$22*($B307-$M$22))^$K$22))+($G$23+$H$23*'Advanced Outputs'!C$61^$I$23)*$J$23*EXP(-(($L$23*($B307-$M$23))^$K$23))+($G$24+$H$24*'Advanced Outputs'!C$61^$I$24)*$J$24*EXP(-(($L$24*($B307-$M$24))^$K$24))+($G$25+$H$25*'Advanced Outputs'!C$61^$I$25)*$J$25*EXP(-(($L$25*($B307-$M$25))^$K$25))+$G$26))</f>
        <v>0.799758324308555</v>
      </c>
      <c r="D307" s="21">
        <f>10^(-(($G$21+$H$21*'Advanced Outputs'!C$60^$I$21)*(($B307/$M$21)^-$K$21)+($G$22+$H$22*'Advanced Outputs'!C$60^$I$22)*$J$22*EXP(-(($L$22*($B307-$M$22))^$K$22))+($G$23+$H$23*'Advanced Outputs'!C$60^$I$23)*$J$23*EXP(-(($L$23*($B307-$M$23))^$K$23))+($G$24+$H$24*'Advanced Outputs'!C$60^$I$24)*$J$24*EXP(-(($L$24*($B307-$M$24))^$K$24))+($G$25+$H$25*'Advanced Outputs'!C$60^$I$25)*$J$25*EXP(-(($L$25*($B307-$M$25))^$K$25))+$G$26))</f>
        <v>0.82456486143814</v>
      </c>
      <c r="E307" s="21">
        <f t="shared" si="4"/>
        <v>0.969915602410804</v>
      </c>
      <c r="F307" s="12"/>
      <c r="G307" s="9"/>
      <c r="H307" s="9"/>
      <c r="I307" s="9"/>
      <c r="J307" s="9"/>
      <c r="K307" s="9"/>
      <c r="L307" s="9"/>
      <c r="M307" s="9"/>
    </row>
    <row r="308" hidden="1" spans="1:13">
      <c r="A308" s="4"/>
      <c r="B308" s="4">
        <v>667</v>
      </c>
      <c r="C308" s="21">
        <f>10^(-(($G$21+$H$21*'Advanced Outputs'!C$61^$I$21)*(($B308/$M$21)^-$K$21)+($G$22+$H$22*'Advanced Outputs'!C$61^$I$22)*$J$22*EXP(-(($L$22*($B308-$M$22))^$K$22))+($G$23+$H$23*'Advanced Outputs'!C$61^$I$23)*$J$23*EXP(-(($L$23*($B308-$M$23))^$K$23))+($G$24+$H$24*'Advanced Outputs'!C$61^$I$24)*$J$24*EXP(-(($L$24*($B308-$M$24))^$K$24))+($G$25+$H$25*'Advanced Outputs'!C$61^$I$25)*$J$25*EXP(-(($L$25*($B308-$M$25))^$K$25))+$G$26))</f>
        <v>0.800199167687007</v>
      </c>
      <c r="D308" s="21">
        <f>10^(-(($G$21+$H$21*'Advanced Outputs'!C$60^$I$21)*(($B308/$M$21)^-$K$21)+($G$22+$H$22*'Advanced Outputs'!C$60^$I$22)*$J$22*EXP(-(($L$22*($B308-$M$22))^$K$22))+($G$23+$H$23*'Advanced Outputs'!C$60^$I$23)*$J$23*EXP(-(($L$23*($B308-$M$23))^$K$23))+($G$24+$H$24*'Advanced Outputs'!C$60^$I$24)*$J$24*EXP(-(($L$24*($B308-$M$24))^$K$24))+($G$25+$H$25*'Advanced Outputs'!C$60^$I$25)*$J$25*EXP(-(($L$25*($B308-$M$25))^$K$25))+$G$26))</f>
        <v>0.824843856243363</v>
      </c>
      <c r="E308" s="21">
        <f t="shared" si="4"/>
        <v>0.970121995369406</v>
      </c>
      <c r="F308" s="12"/>
      <c r="G308" s="9"/>
      <c r="H308" s="9"/>
      <c r="I308" s="9"/>
      <c r="J308" s="9"/>
      <c r="K308" s="9"/>
      <c r="L308" s="9"/>
      <c r="M308" s="9"/>
    </row>
    <row r="309" hidden="1" spans="1:13">
      <c r="A309" s="4"/>
      <c r="B309" s="4">
        <v>668</v>
      </c>
      <c r="C309" s="21">
        <f>10^(-(($G$21+$H$21*'Advanced Outputs'!C$61^$I$21)*(($B309/$M$21)^-$K$21)+($G$22+$H$22*'Advanced Outputs'!C$61^$I$22)*$J$22*EXP(-(($L$22*($B309-$M$22))^$K$22))+($G$23+$H$23*'Advanced Outputs'!C$61^$I$23)*$J$23*EXP(-(($L$23*($B309-$M$23))^$K$23))+($G$24+$H$24*'Advanced Outputs'!C$61^$I$24)*$J$24*EXP(-(($L$24*($B309-$M$24))^$K$24))+($G$25+$H$25*'Advanced Outputs'!C$61^$I$25)*$J$25*EXP(-(($L$25*($B309-$M$25))^$K$25))+$G$26))</f>
        <v>0.80063572453611</v>
      </c>
      <c r="D309" s="21">
        <f>10^(-(($G$21+$H$21*'Advanced Outputs'!C$60^$I$21)*(($B309/$M$21)^-$K$21)+($G$22+$H$22*'Advanced Outputs'!C$60^$I$22)*$J$22*EXP(-(($L$22*($B309-$M$22))^$K$22))+($G$23+$H$23*'Advanced Outputs'!C$60^$I$23)*$J$23*EXP(-(($L$23*($B309-$M$23))^$K$23))+($G$24+$H$24*'Advanced Outputs'!C$60^$I$24)*$J$24*EXP(-(($L$24*($B309-$M$24))^$K$24))+($G$25+$H$25*'Advanced Outputs'!C$60^$I$25)*$J$25*EXP(-(($L$25*($B309-$M$25))^$K$25))+$G$26))</f>
        <v>0.825120525561453</v>
      </c>
      <c r="E309" s="21">
        <f t="shared" si="4"/>
        <v>0.970325788455351</v>
      </c>
      <c r="F309" s="12"/>
      <c r="G309" s="9"/>
      <c r="H309" s="9"/>
      <c r="I309" s="9"/>
      <c r="J309" s="9"/>
      <c r="K309" s="9"/>
      <c r="L309" s="9"/>
      <c r="M309" s="9"/>
    </row>
    <row r="310" hidden="1" spans="1:13">
      <c r="A310" s="4"/>
      <c r="B310" s="4">
        <v>669</v>
      </c>
      <c r="C310" s="21">
        <f>10^(-(($G$21+$H$21*'Advanced Outputs'!C$61^$I$21)*(($B310/$M$21)^-$K$21)+($G$22+$H$22*'Advanced Outputs'!C$61^$I$22)*$J$22*EXP(-(($L$22*($B310-$M$22))^$K$22))+($G$23+$H$23*'Advanced Outputs'!C$61^$I$23)*$J$23*EXP(-(($L$23*($B310-$M$23))^$K$23))+($G$24+$H$24*'Advanced Outputs'!C$61^$I$24)*$J$24*EXP(-(($L$24*($B310-$M$24))^$K$24))+($G$25+$H$25*'Advanced Outputs'!C$61^$I$25)*$J$25*EXP(-(($L$25*($B310-$M$25))^$K$25))+$G$26))</f>
        <v>0.801068070552093</v>
      </c>
      <c r="D310" s="21">
        <f>10^(-(($G$21+$H$21*'Advanced Outputs'!C$60^$I$21)*(($B310/$M$21)^-$K$21)+($G$22+$H$22*'Advanced Outputs'!C$60^$I$22)*$J$22*EXP(-(($L$22*($B310-$M$22))^$K$22))+($G$23+$H$23*'Advanced Outputs'!C$60^$I$23)*$J$23*EXP(-(($L$23*($B310-$M$23))^$K$23))+($G$24+$H$24*'Advanced Outputs'!C$60^$I$24)*$J$24*EXP(-(($L$24*($B310-$M$24))^$K$24))+($G$25+$H$25*'Advanced Outputs'!C$60^$I$25)*$J$25*EXP(-(($L$25*($B310-$M$25))^$K$25))+$G$26))</f>
        <v>0.825394900168192</v>
      </c>
      <c r="E310" s="21">
        <f t="shared" si="4"/>
        <v>0.970527041527465</v>
      </c>
      <c r="F310" s="12"/>
      <c r="G310" s="9"/>
      <c r="H310" s="9"/>
      <c r="I310" s="9"/>
      <c r="J310" s="9"/>
      <c r="K310" s="9"/>
      <c r="L310" s="9"/>
      <c r="M310" s="9"/>
    </row>
    <row r="311" hidden="1" spans="1:13">
      <c r="A311" s="4"/>
      <c r="B311" s="4">
        <v>670</v>
      </c>
      <c r="C311" s="21">
        <f>10^(-(($G$21+$H$21*'Advanced Outputs'!C$61^$I$21)*(($B311/$M$21)^-$K$21)+($G$22+$H$22*'Advanced Outputs'!C$61^$I$22)*$J$22*EXP(-(($L$22*($B311-$M$22))^$K$22))+($G$23+$H$23*'Advanced Outputs'!C$61^$I$23)*$J$23*EXP(-(($L$23*($B311-$M$23))^$K$23))+($G$24+$H$24*'Advanced Outputs'!C$61^$I$24)*$J$24*EXP(-(($L$24*($B311-$M$24))^$K$24))+($G$25+$H$25*'Advanced Outputs'!C$61^$I$25)*$J$25*EXP(-(($L$25*($B311-$M$25))^$K$25))+$G$26))</f>
        <v>0.801496279538874</v>
      </c>
      <c r="D311" s="21">
        <f>10^(-(($G$21+$H$21*'Advanced Outputs'!C$60^$I$21)*(($B311/$M$21)^-$K$21)+($G$22+$H$22*'Advanced Outputs'!C$60^$I$22)*$J$22*EXP(-(($L$22*($B311-$M$22))^$K$22))+($G$23+$H$23*'Advanced Outputs'!C$60^$I$23)*$J$23*EXP(-(($L$23*($B311-$M$23))^$K$23))+($G$24+$H$24*'Advanced Outputs'!C$60^$I$24)*$J$24*EXP(-(($L$24*($B311-$M$24))^$K$24))+($G$25+$H$25*'Advanced Outputs'!C$60^$I$25)*$J$25*EXP(-(($L$25*($B311-$M$25))^$K$25))+$G$26))</f>
        <v>0.825667010211206</v>
      </c>
      <c r="E311" s="21">
        <f t="shared" si="4"/>
        <v>0.970725812738784</v>
      </c>
      <c r="F311" s="12"/>
      <c r="G311" s="9"/>
      <c r="H311" s="9"/>
      <c r="I311" s="9"/>
      <c r="J311" s="9"/>
      <c r="K311" s="9"/>
      <c r="L311" s="9"/>
      <c r="M311" s="9"/>
    </row>
    <row r="312" hidden="1" spans="1:13">
      <c r="A312" s="4"/>
      <c r="B312" s="4">
        <v>671</v>
      </c>
      <c r="C312" s="21">
        <f>10^(-(($G$21+$H$21*'Advanced Outputs'!C$61^$I$21)*(($B312/$M$21)^-$K$21)+($G$22+$H$22*'Advanced Outputs'!C$61^$I$22)*$J$22*EXP(-(($L$22*($B312-$M$22))^$K$22))+($G$23+$H$23*'Advanced Outputs'!C$61^$I$23)*$J$23*EXP(-(($L$23*($B312-$M$23))^$K$23))+($G$24+$H$24*'Advanced Outputs'!C$61^$I$24)*$J$24*EXP(-(($L$24*($B312-$M$24))^$K$24))+($G$25+$H$25*'Advanced Outputs'!C$61^$I$25)*$J$25*EXP(-(($L$25*($B312-$M$25))^$K$25))+$G$26))</f>
        <v>0.801920423454409</v>
      </c>
      <c r="D312" s="21">
        <f>10^(-(($G$21+$H$21*'Advanced Outputs'!C$60^$I$21)*(($B312/$M$21)^-$K$21)+($G$22+$H$22*'Advanced Outputs'!C$60^$I$22)*$J$22*EXP(-(($L$22*($B312-$M$22))^$K$22))+($G$23+$H$23*'Advanced Outputs'!C$60^$I$23)*$J$23*EXP(-(($L$23*($B312-$M$23))^$K$23))+($G$24+$H$24*'Advanced Outputs'!C$60^$I$24)*$J$24*EXP(-(($L$24*($B312-$M$24))^$K$24))+($G$25+$H$25*'Advanced Outputs'!C$60^$I$25)*$J$25*EXP(-(($L$25*($B312-$M$25))^$K$25))+$G$26))</f>
        <v>0.82593688522451</v>
      </c>
      <c r="E312" s="21">
        <f t="shared" si="4"/>
        <v>0.970922158581678</v>
      </c>
      <c r="F312" s="12"/>
      <c r="G312" s="9"/>
      <c r="H312" s="9"/>
      <c r="I312" s="9"/>
      <c r="J312" s="9"/>
      <c r="K312" s="9"/>
      <c r="L312" s="9"/>
      <c r="M312" s="9"/>
    </row>
    <row r="313" hidden="1" spans="1:13">
      <c r="A313" s="4"/>
      <c r="B313" s="4">
        <v>672</v>
      </c>
      <c r="C313" s="21">
        <f>10^(-(($G$21+$H$21*'Advanced Outputs'!C$61^$I$21)*(($B313/$M$21)^-$K$21)+($G$22+$H$22*'Advanced Outputs'!C$61^$I$22)*$J$22*EXP(-(($L$22*($B313-$M$22))^$K$22))+($G$23+$H$23*'Advanced Outputs'!C$61^$I$23)*$J$23*EXP(-(($L$23*($B313-$M$23))^$K$23))+($G$24+$H$24*'Advanced Outputs'!C$61^$I$24)*$J$24*EXP(-(($L$24*($B313-$M$24))^$K$24))+($G$25+$H$25*'Advanced Outputs'!C$61^$I$25)*$J$25*EXP(-(($L$25*($B313-$M$25))^$K$25))+$G$26))</f>
        <v>0.802340572456239</v>
      </c>
      <c r="D313" s="21">
        <f>10^(-(($G$21+$H$21*'Advanced Outputs'!C$60^$I$21)*(($B313/$M$21)^-$K$21)+($G$22+$H$22*'Advanced Outputs'!C$60^$I$22)*$J$22*EXP(-(($L$22*($B313-$M$22))^$K$22))+($G$23+$H$23*'Advanced Outputs'!C$60^$I$23)*$J$23*EXP(-(($L$23*($B313-$M$23))^$K$23))+($G$24+$H$24*'Advanced Outputs'!C$60^$I$24)*$J$24*EXP(-(($L$24*($B313-$M$24))^$K$24))+($G$25+$H$25*'Advanced Outputs'!C$60^$I$25)*$J$25*EXP(-(($L$25*($B313-$M$25))^$K$25))+$G$26))</f>
        <v>0.82620455414278</v>
      </c>
      <c r="E313" s="21">
        <f t="shared" si="4"/>
        <v>0.971116133932109</v>
      </c>
      <c r="F313" s="12"/>
      <c r="G313" s="9"/>
      <c r="H313" s="9"/>
      <c r="I313" s="9"/>
      <c r="J313" s="9"/>
      <c r="K313" s="9"/>
      <c r="L313" s="9"/>
      <c r="M313" s="9"/>
    </row>
    <row r="314" hidden="1" spans="1:13">
      <c r="A314" s="4"/>
      <c r="B314" s="4">
        <v>673</v>
      </c>
      <c r="C314" s="21">
        <f>10^(-(($G$21+$H$21*'Advanced Outputs'!C$61^$I$21)*(($B314/$M$21)^-$K$21)+($G$22+$H$22*'Advanced Outputs'!C$61^$I$22)*$J$22*EXP(-(($L$22*($B314-$M$22))^$K$22))+($G$23+$H$23*'Advanced Outputs'!C$61^$I$23)*$J$23*EXP(-(($L$23*($B314-$M$23))^$K$23))+($G$24+$H$24*'Advanced Outputs'!C$61^$I$24)*$J$24*EXP(-(($L$24*($B314-$M$24))^$K$24))+($G$25+$H$25*'Advanced Outputs'!C$61^$I$25)*$J$25*EXP(-(($L$25*($B314-$M$25))^$K$25))+$G$26))</f>
        <v>0.802756794946263</v>
      </c>
      <c r="D314" s="21">
        <f>10^(-(($G$21+$H$21*'Advanced Outputs'!C$60^$I$21)*(($B314/$M$21)^-$K$21)+($G$22+$H$22*'Advanced Outputs'!C$60^$I$22)*$J$22*EXP(-(($L$22*($B314-$M$22))^$K$22))+($G$23+$H$23*'Advanced Outputs'!C$60^$I$23)*$J$23*EXP(-(($L$23*($B314-$M$23))^$K$23))+($G$24+$H$24*'Advanced Outputs'!C$60^$I$24)*$J$24*EXP(-(($L$24*($B314-$M$24))^$K$24))+($G$25+$H$25*'Advanced Outputs'!C$60^$I$25)*$J$25*EXP(-(($L$25*($B314-$M$25))^$K$25))+$G$26))</f>
        <v>0.826470045315357</v>
      </c>
      <c r="E314" s="21">
        <f t="shared" si="4"/>
        <v>0.971307792093002</v>
      </c>
      <c r="F314" s="12"/>
      <c r="G314" s="9"/>
      <c r="H314" s="9"/>
      <c r="I314" s="9"/>
      <c r="J314" s="9"/>
      <c r="K314" s="9"/>
      <c r="L314" s="9"/>
      <c r="M314" s="9"/>
    </row>
    <row r="315" hidden="1" spans="1:13">
      <c r="A315" s="4"/>
      <c r="B315" s="4">
        <v>674</v>
      </c>
      <c r="C315" s="21">
        <f>10^(-(($G$21+$H$21*'Advanced Outputs'!C$61^$I$21)*(($B315/$M$21)^-$K$21)+($G$22+$H$22*'Advanced Outputs'!C$61^$I$22)*$J$22*EXP(-(($L$22*($B315-$M$22))^$K$22))+($G$23+$H$23*'Advanced Outputs'!C$61^$I$23)*$J$23*EXP(-(($L$23*($B315-$M$23))^$K$23))+($G$24+$H$24*'Advanced Outputs'!C$61^$I$24)*$J$24*EXP(-(($L$24*($B315-$M$24))^$K$24))+($G$25+$H$25*'Advanced Outputs'!C$61^$I$25)*$J$25*EXP(-(($L$25*($B315-$M$25))^$K$25))+$G$26))</f>
        <v>0.803169157614714</v>
      </c>
      <c r="D315" s="21">
        <f>10^(-(($G$21+$H$21*'Advanced Outputs'!C$60^$I$21)*(($B315/$M$21)^-$K$21)+($G$22+$H$22*'Advanced Outputs'!C$60^$I$22)*$J$22*EXP(-(($L$22*($B315-$M$22))^$K$22))+($G$23+$H$23*'Advanced Outputs'!C$60^$I$23)*$J$23*EXP(-(($L$23*($B315-$M$23))^$K$23))+($G$24+$H$24*'Advanced Outputs'!C$60^$I$24)*$J$24*EXP(-(($L$24*($B315-$M$24))^$K$24))+($G$25+$H$25*'Advanced Outputs'!C$60^$I$25)*$J$25*EXP(-(($L$25*($B315-$M$25))^$K$25))+$G$26))</f>
        <v>0.826733386519982</v>
      </c>
      <c r="E315" s="21">
        <f t="shared" si="4"/>
        <v>0.971497184836749</v>
      </c>
      <c r="F315" s="12"/>
      <c r="G315" s="9"/>
      <c r="H315" s="9"/>
      <c r="I315" s="9"/>
      <c r="J315" s="9"/>
      <c r="K315" s="9"/>
      <c r="L315" s="9"/>
      <c r="M315" s="9"/>
    </row>
    <row r="316" hidden="1" spans="1:13">
      <c r="A316" s="4"/>
      <c r="B316" s="4">
        <v>675</v>
      </c>
      <c r="C316" s="21">
        <f>10^(-(($G$21+$H$21*'Advanced Outputs'!C$61^$I$21)*(($B316/$M$21)^-$K$21)+($G$22+$H$22*'Advanced Outputs'!C$61^$I$22)*$J$22*EXP(-(($L$22*($B316-$M$22))^$K$22))+($G$23+$H$23*'Advanced Outputs'!C$61^$I$23)*$J$23*EXP(-(($L$23*($B316-$M$23))^$K$23))+($G$24+$H$24*'Advanced Outputs'!C$61^$I$24)*$J$24*EXP(-(($L$24*($B316-$M$24))^$K$24))+($G$25+$H$25*'Advanced Outputs'!C$61^$I$25)*$J$25*EXP(-(($L$25*($B316-$M$25))^$K$25))+$G$26))</f>
        <v>0.803577725483336</v>
      </c>
      <c r="D316" s="21">
        <f>10^(-(($G$21+$H$21*'Advanced Outputs'!C$60^$I$21)*(($B316/$M$21)^-$K$21)+($G$22+$H$22*'Advanced Outputs'!C$60^$I$22)*$J$22*EXP(-(($L$22*($B316-$M$22))^$K$22))+($G$23+$H$23*'Advanced Outputs'!C$60^$I$23)*$J$23*EXP(-(($L$23*($B316-$M$23))^$K$23))+($G$24+$H$24*'Advanced Outputs'!C$60^$I$24)*$J$24*EXP(-(($L$24*($B316-$M$24))^$K$24))+($G$25+$H$25*'Advanced Outputs'!C$60^$I$25)*$J$25*EXP(-(($L$25*($B316-$M$25))^$K$25))+$G$26))</f>
        <v>0.826994604976267</v>
      </c>
      <c r="E316" s="21">
        <f t="shared" si="4"/>
        <v>0.971684362446835</v>
      </c>
      <c r="F316" s="12"/>
      <c r="G316" s="9"/>
      <c r="H316" s="9"/>
      <c r="I316" s="9"/>
      <c r="J316" s="9"/>
      <c r="K316" s="9"/>
      <c r="L316" s="9"/>
      <c r="M316" s="9"/>
    </row>
    <row r="317" hidden="1" spans="1:13">
      <c r="A317" s="4"/>
      <c r="B317" s="4">
        <v>676</v>
      </c>
      <c r="C317" s="21">
        <f>10^(-(($G$21+$H$21*'Advanced Outputs'!C$61^$I$21)*(($B317/$M$21)^-$K$21)+($G$22+$H$22*'Advanced Outputs'!C$61^$I$22)*$J$22*EXP(-(($L$22*($B317-$M$22))^$K$22))+($G$23+$H$23*'Advanced Outputs'!C$61^$I$23)*$J$23*EXP(-(($L$23*($B317-$M$23))^$K$23))+($G$24+$H$24*'Advanced Outputs'!C$61^$I$24)*$J$24*EXP(-(($L$24*($B317-$M$24))^$K$24))+($G$25+$H$25*'Advanced Outputs'!C$61^$I$25)*$J$25*EXP(-(($L$25*($B317-$M$25))^$K$25))+$G$26))</f>
        <v>0.80398256194778</v>
      </c>
      <c r="D317" s="21">
        <f>10^(-(($G$21+$H$21*'Advanced Outputs'!C$60^$I$21)*(($B317/$M$21)^-$K$21)+($G$22+$H$22*'Advanced Outputs'!C$60^$I$22)*$J$22*EXP(-(($L$22*($B317-$M$22))^$K$22))+($G$23+$H$23*'Advanced Outputs'!C$60^$I$23)*$J$23*EXP(-(($L$23*($B317-$M$23))^$K$23))+($G$24+$H$24*'Advanced Outputs'!C$60^$I$24)*$J$24*EXP(-(($L$24*($B317-$M$24))^$K$24))+($G$25+$H$25*'Advanced Outputs'!C$60^$I$25)*$J$25*EXP(-(($L$25*($B317-$M$25))^$K$25))+$G$26))</f>
        <v>0.827253727358904</v>
      </c>
      <c r="E317" s="21">
        <f t="shared" si="4"/>
        <v>0.971869373758617</v>
      </c>
      <c r="F317" s="12"/>
      <c r="G317" s="9"/>
      <c r="H317" s="9"/>
      <c r="I317" s="9"/>
      <c r="J317" s="9"/>
      <c r="K317" s="9"/>
      <c r="L317" s="9"/>
      <c r="M317" s="9"/>
    </row>
    <row r="318" hidden="1" spans="1:13">
      <c r="A318" s="4"/>
      <c r="B318" s="4">
        <v>677</v>
      </c>
      <c r="C318" s="21">
        <f>10^(-(($G$21+$H$21*'Advanced Outputs'!C$61^$I$21)*(($B318/$M$21)^-$K$21)+($G$22+$H$22*'Advanced Outputs'!C$61^$I$22)*$J$22*EXP(-(($L$22*($B318-$M$22))^$K$22))+($G$23+$H$23*'Advanced Outputs'!C$61^$I$23)*$J$23*EXP(-(($L$23*($B318-$M$23))^$K$23))+($G$24+$H$24*'Advanced Outputs'!C$61^$I$24)*$J$24*EXP(-(($L$24*($B318-$M$24))^$K$24))+($G$25+$H$25*'Advanced Outputs'!C$61^$I$25)*$J$25*EXP(-(($L$25*($B318-$M$25))^$K$25))+$G$26))</f>
        <v>0.804383728819181</v>
      </c>
      <c r="D318" s="21">
        <f>10^(-(($G$21+$H$21*'Advanced Outputs'!C$60^$I$21)*(($B318/$M$21)^-$K$21)+($G$22+$H$22*'Advanced Outputs'!C$60^$I$22)*$J$22*EXP(-(($L$22*($B318-$M$22))^$K$22))+($G$23+$H$23*'Advanced Outputs'!C$60^$I$23)*$J$23*EXP(-(($L$23*($B318-$M$23))^$K$23))+($G$24+$H$24*'Advanced Outputs'!C$60^$I$24)*$J$24*EXP(-(($L$24*($B318-$M$24))^$K$24))+($G$25+$H$25*'Advanced Outputs'!C$60^$I$25)*$J$25*EXP(-(($L$25*($B318-$M$25))^$K$25))+$G$26))</f>
        <v>0.827510779810606</v>
      </c>
      <c r="E318" s="21">
        <f t="shared" si="4"/>
        <v>0.972052266199217</v>
      </c>
      <c r="F318" s="12"/>
      <c r="G318" s="9"/>
      <c r="H318" s="9"/>
      <c r="I318" s="9"/>
      <c r="J318" s="9"/>
      <c r="K318" s="9"/>
      <c r="L318" s="9"/>
      <c r="M318" s="9"/>
    </row>
    <row r="319" hidden="1" spans="1:13">
      <c r="A319" s="4"/>
      <c r="B319" s="4">
        <v>678</v>
      </c>
      <c r="C319" s="21">
        <f>10^(-(($G$21+$H$21*'Advanced Outputs'!C$61^$I$21)*(($B319/$M$21)^-$K$21)+($G$22+$H$22*'Advanced Outputs'!C$61^$I$22)*$J$22*EXP(-(($L$22*($B319-$M$22))^$K$22))+($G$23+$H$23*'Advanced Outputs'!C$61^$I$23)*$J$23*EXP(-(($L$23*($B319-$M$23))^$K$23))+($G$24+$H$24*'Advanced Outputs'!C$61^$I$24)*$J$24*EXP(-(($L$24*($B319-$M$24))^$K$24))+($G$25+$H$25*'Advanced Outputs'!C$61^$I$25)*$J$25*EXP(-(($L$25*($B319-$M$25))^$K$25))+$G$26))</f>
        <v>0.804781286364958</v>
      </c>
      <c r="D319" s="21">
        <f>10^(-(($G$21+$H$21*'Advanced Outputs'!C$60^$I$21)*(($B319/$M$21)^-$K$21)+($G$22+$H$22*'Advanced Outputs'!C$60^$I$22)*$J$22*EXP(-(($L$22*($B319-$M$22))^$K$22))+($G$23+$H$23*'Advanced Outputs'!C$60^$I$23)*$J$23*EXP(-(($L$23*($B319-$M$23))^$K$23))+($G$24+$H$24*'Advanced Outputs'!C$60^$I$24)*$J$24*EXP(-(($L$24*($B319-$M$24))^$K$24))+($G$25+$H$25*'Advanced Outputs'!C$60^$I$25)*$J$25*EXP(-(($L$25*($B319-$M$25))^$K$25))+$G$26))</f>
        <v>0.827765787954787</v>
      </c>
      <c r="E319" s="21">
        <f t="shared" si="4"/>
        <v>0.972233085826585</v>
      </c>
      <c r="F319" s="12"/>
      <c r="G319" s="9"/>
      <c r="H319" s="9"/>
      <c r="I319" s="9"/>
      <c r="J319" s="9"/>
      <c r="K319" s="9"/>
      <c r="L319" s="9"/>
      <c r="M319" s="9"/>
    </row>
    <row r="320" hidden="1" spans="1:13">
      <c r="A320" s="4"/>
      <c r="B320" s="4">
        <v>679</v>
      </c>
      <c r="C320" s="21">
        <f>10^(-(($G$21+$H$21*'Advanced Outputs'!C$61^$I$21)*(($B320/$M$21)^-$K$21)+($G$22+$H$22*'Advanced Outputs'!C$61^$I$22)*$J$22*EXP(-(($L$22*($B320-$M$22))^$K$22))+($G$23+$H$23*'Advanced Outputs'!C$61^$I$23)*$J$23*EXP(-(($L$23*($B320-$M$23))^$K$23))+($G$24+$H$24*'Advanced Outputs'!C$61^$I$24)*$J$24*EXP(-(($L$24*($B320-$M$24))^$K$24))+($G$25+$H$25*'Advanced Outputs'!C$61^$I$25)*$J$25*EXP(-(($L$25*($B320-$M$25))^$K$25))+$G$26))</f>
        <v>0.805175293348806</v>
      </c>
      <c r="D320" s="21">
        <f>10^(-(($G$21+$H$21*'Advanced Outputs'!C$60^$I$21)*(($B320/$M$21)^-$K$21)+($G$22+$H$22*'Advanced Outputs'!C$60^$I$22)*$J$22*EXP(-(($L$22*($B320-$M$22))^$K$22))+($G$23+$H$23*'Advanced Outputs'!C$60^$I$23)*$J$23*EXP(-(($L$23*($B320-$M$23))^$K$23))+($G$24+$H$24*'Advanced Outputs'!C$60^$I$24)*$J$24*EXP(-(($L$24*($B320-$M$24))^$K$24))+($G$25+$H$25*'Advanced Outputs'!C$60^$I$25)*$J$25*EXP(-(($L$25*($B320-$M$25))^$K$25))+$G$26))</f>
        <v>0.828018776907989</v>
      </c>
      <c r="E320" s="21">
        <f t="shared" si="4"/>
        <v>0.972411877367701</v>
      </c>
      <c r="F320" s="12"/>
      <c r="G320" s="9"/>
      <c r="H320" s="9"/>
      <c r="I320" s="9"/>
      <c r="J320" s="9"/>
      <c r="K320" s="9"/>
      <c r="L320" s="9"/>
      <c r="M320" s="9"/>
    </row>
    <row r="321" hidden="1" spans="1:13">
      <c r="A321" s="4"/>
      <c r="B321" s="4">
        <v>680</v>
      </c>
      <c r="C321" s="21">
        <f>10^(-(($G$21+$H$21*'Advanced Outputs'!C$61^$I$21)*(($B321/$M$21)^-$K$21)+($G$22+$H$22*'Advanced Outputs'!C$61^$I$22)*$J$22*EXP(-(($L$22*($B321-$M$22))^$K$22))+($G$23+$H$23*'Advanced Outputs'!C$61^$I$23)*$J$23*EXP(-(($L$23*($B321-$M$23))^$K$23))+($G$24+$H$24*'Advanced Outputs'!C$61^$I$24)*$J$24*EXP(-(($L$24*($B321-$M$24))^$K$24))+($G$25+$H$25*'Advanced Outputs'!C$61^$I$25)*$J$25*EXP(-(($L$25*($B321-$M$25))^$K$25))+$G$26))</f>
        <v>0.805565807069897</v>
      </c>
      <c r="D321" s="21">
        <f>10^(-(($G$21+$H$21*'Advanced Outputs'!C$60^$I$21)*(($B321/$M$21)^-$K$21)+($G$22+$H$22*'Advanced Outputs'!C$60^$I$22)*$J$22*EXP(-(($L$22*($B321-$M$22))^$K$22))+($G$23+$H$23*'Advanced Outputs'!C$60^$I$23)*$J$23*EXP(-(($L$23*($B321-$M$23))^$K$23))+($G$24+$H$24*'Advanced Outputs'!C$60^$I$24)*$J$24*EXP(-(($L$24*($B321-$M$24))^$K$24))+($G$25+$H$25*'Advanced Outputs'!C$60^$I$25)*$J$25*EXP(-(($L$25*($B321-$M$25))^$K$25))+$G$26))</f>
        <v>0.828269771292046</v>
      </c>
      <c r="E321" s="21">
        <f t="shared" si="4"/>
        <v>0.972588684255937</v>
      </c>
      <c r="F321" s="12"/>
      <c r="G321" s="9"/>
      <c r="H321" s="9"/>
      <c r="I321" s="9"/>
      <c r="J321" s="9"/>
      <c r="K321" s="9"/>
      <c r="L321" s="9"/>
      <c r="M321" s="9"/>
    </row>
    <row r="322" hidden="1" spans="1:13">
      <c r="A322" s="4"/>
      <c r="B322" s="4">
        <v>681</v>
      </c>
      <c r="C322" s="21">
        <f>10^(-(($G$21+$H$21*'Advanced Outputs'!C$61^$I$21)*(($B322/$M$21)^-$K$21)+($G$22+$H$22*'Advanced Outputs'!C$61^$I$22)*$J$22*EXP(-(($L$22*($B322-$M$22))^$K$22))+($G$23+$H$23*'Advanced Outputs'!C$61^$I$23)*$J$23*EXP(-(($L$23*($B322-$M$23))^$K$23))+($G$24+$H$24*'Advanced Outputs'!C$61^$I$24)*$J$24*EXP(-(($L$24*($B322-$M$24))^$K$24))+($G$25+$H$25*'Advanced Outputs'!C$61^$I$25)*$J$25*EXP(-(($L$25*($B322-$M$25))^$K$25))+$G$26))</f>
        <v>0.805952883401292</v>
      </c>
      <c r="D322" s="21">
        <f>10^(-(($G$21+$H$21*'Advanced Outputs'!C$60^$I$21)*(($B322/$M$21)^-$K$21)+($G$22+$H$22*'Advanced Outputs'!C$60^$I$22)*$J$22*EXP(-(($L$22*($B322-$M$22))^$K$22))+($G$23+$H$23*'Advanced Outputs'!C$60^$I$23)*$J$23*EXP(-(($L$23*($B322-$M$23))^$K$23))+($G$24+$H$24*'Advanced Outputs'!C$60^$I$24)*$J$24*EXP(-(($L$24*($B322-$M$24))^$K$24))+($G$25+$H$25*'Advanced Outputs'!C$60^$I$25)*$J$25*EXP(-(($L$25*($B322-$M$25))^$K$25))+$G$26))</f>
        <v>0.828518795245993</v>
      </c>
      <c r="E322" s="21">
        <f t="shared" si="4"/>
        <v>0.972763548667594</v>
      </c>
      <c r="F322" s="12"/>
      <c r="G322" s="9"/>
      <c r="H322" s="9"/>
      <c r="I322" s="9"/>
      <c r="J322" s="9"/>
      <c r="K322" s="9"/>
      <c r="L322" s="9"/>
      <c r="M322" s="9"/>
    </row>
    <row r="323" hidden="1" spans="1:13">
      <c r="A323" s="4"/>
      <c r="B323" s="4">
        <v>682</v>
      </c>
      <c r="C323" s="21">
        <f>10^(-(($G$21+$H$21*'Advanced Outputs'!C$61^$I$21)*(($B323/$M$21)^-$K$21)+($G$22+$H$22*'Advanced Outputs'!C$61^$I$22)*$J$22*EXP(-(($L$22*($B323-$M$22))^$K$22))+($G$23+$H$23*'Advanced Outputs'!C$61^$I$23)*$J$23*EXP(-(($L$23*($B323-$M$23))^$K$23))+($G$24+$H$24*'Advanced Outputs'!C$61^$I$24)*$J$24*EXP(-(($L$24*($B323-$M$24))^$K$24))+($G$25+$H$25*'Advanced Outputs'!C$61^$I$25)*$J$25*EXP(-(($L$25*($B323-$M$25))^$K$25))+$G$26))</f>
        <v>0.806336576827557</v>
      </c>
      <c r="D323" s="21">
        <f>10^(-(($G$21+$H$21*'Advanced Outputs'!C$60^$I$21)*(($B323/$M$21)^-$K$21)+($G$22+$H$22*'Advanced Outputs'!C$60^$I$22)*$J$22*EXP(-(($L$22*($B323-$M$22))^$K$22))+($G$23+$H$23*'Advanced Outputs'!C$60^$I$23)*$J$23*EXP(-(($L$23*($B323-$M$23))^$K$23))+($G$24+$H$24*'Advanced Outputs'!C$60^$I$24)*$J$24*EXP(-(($L$24*($B323-$M$24))^$K$24))+($G$25+$H$25*'Advanced Outputs'!C$60^$I$25)*$J$25*EXP(-(($L$25*($B323-$M$25))^$K$25))+$G$26))</f>
        <v>0.828765872437726</v>
      </c>
      <c r="E323" s="21">
        <f t="shared" si="4"/>
        <v>0.972936511557605</v>
      </c>
      <c r="F323" s="12"/>
      <c r="G323" s="9"/>
      <c r="H323" s="9"/>
      <c r="I323" s="9"/>
      <c r="J323" s="9"/>
      <c r="K323" s="9"/>
      <c r="L323" s="9"/>
      <c r="M323" s="9"/>
    </row>
    <row r="324" hidden="1" spans="1:13">
      <c r="A324" s="4"/>
      <c r="B324" s="4">
        <v>683</v>
      </c>
      <c r="C324" s="21">
        <f>10^(-(($G$21+$H$21*'Advanced Outputs'!C$61^$I$21)*(($B324/$M$21)^-$K$21)+($G$22+$H$22*'Advanced Outputs'!C$61^$I$22)*$J$22*EXP(-(($L$22*($B324-$M$22))^$K$22))+($G$23+$H$23*'Advanced Outputs'!C$61^$I$23)*$J$23*EXP(-(($L$23*($B324-$M$23))^$K$23))+($G$24+$H$24*'Advanced Outputs'!C$61^$I$24)*$J$24*EXP(-(($L$24*($B324-$M$24))^$K$24))+($G$25+$H$25*'Advanced Outputs'!C$61^$I$25)*$J$25*EXP(-(($L$25*($B324-$M$25))^$K$25))+$G$26))</f>
        <v>0.806716940481604</v>
      </c>
      <c r="D324" s="21">
        <f>10^(-(($G$21+$H$21*'Advanced Outputs'!C$60^$I$21)*(($B324/$M$21)^-$K$21)+($G$22+$H$22*'Advanced Outputs'!C$60^$I$22)*$J$22*EXP(-(($L$22*($B324-$M$22))^$K$22))+($G$23+$H$23*'Advanced Outputs'!C$60^$I$23)*$J$23*EXP(-(($L$23*($B324-$M$23))^$K$23))+($G$24+$H$24*'Advanced Outputs'!C$60^$I$24)*$J$24*EXP(-(($L$24*($B324-$M$24))^$K$24))+($G$25+$H$25*'Advanced Outputs'!C$60^$I$25)*$J$25*EXP(-(($L$25*($B324-$M$25))^$K$25))+$G$26))</f>
        <v>0.829011026075413</v>
      </c>
      <c r="E324" s="21">
        <f t="shared" si="4"/>
        <v>0.973107612694428</v>
      </c>
      <c r="F324" s="12"/>
      <c r="G324" s="9"/>
      <c r="H324" s="9"/>
      <c r="I324" s="9"/>
      <c r="J324" s="9"/>
      <c r="K324" s="9"/>
      <c r="L324" s="9"/>
      <c r="M324" s="9"/>
    </row>
    <row r="325" hidden="1" spans="1:13">
      <c r="A325" s="4"/>
      <c r="B325" s="4">
        <v>684</v>
      </c>
      <c r="C325" s="21">
        <f>10^(-(($G$21+$H$21*'Advanced Outputs'!C$61^$I$21)*(($B325/$M$21)^-$K$21)+($G$22+$H$22*'Advanced Outputs'!C$61^$I$22)*$J$22*EXP(-(($L$22*($B325-$M$22))^$K$22))+($G$23+$H$23*'Advanced Outputs'!C$61^$I$23)*$J$23*EXP(-(($L$23*($B325-$M$23))^$K$23))+($G$24+$H$24*'Advanced Outputs'!C$61^$I$24)*$J$24*EXP(-(($L$24*($B325-$M$24))^$K$24))+($G$25+$H$25*'Advanced Outputs'!C$61^$I$25)*$J$25*EXP(-(($L$25*($B325-$M$25))^$K$25))+$G$26))</f>
        <v>0.807094026180744</v>
      </c>
      <c r="D325" s="21">
        <f>10^(-(($G$21+$H$21*'Advanced Outputs'!C$60^$I$21)*(($B325/$M$21)^-$K$21)+($G$22+$H$22*'Advanced Outputs'!C$60^$I$22)*$J$22*EXP(-(($L$22*($B325-$M$22))^$K$22))+($G$23+$H$23*'Advanced Outputs'!C$60^$I$23)*$J$23*EXP(-(($L$23*($B325-$M$23))^$K$23))+($G$24+$H$24*'Advanced Outputs'!C$60^$I$24)*$J$24*EXP(-(($L$24*($B325-$M$24))^$K$24))+($G$25+$H$25*'Advanced Outputs'!C$60^$I$25)*$J$25*EXP(-(($L$25*($B325-$M$25))^$K$25))+$G$26))</f>
        <v>0.829254278918649</v>
      </c>
      <c r="E325" s="21">
        <f t="shared" si="4"/>
        <v>0.973276890694128</v>
      </c>
      <c r="F325" s="12"/>
      <c r="G325" s="9"/>
      <c r="H325" s="9"/>
      <c r="I325" s="9"/>
      <c r="J325" s="9"/>
      <c r="K325" s="9"/>
      <c r="L325" s="9"/>
      <c r="M325" s="9"/>
    </row>
    <row r="326" hidden="1" spans="1:13">
      <c r="A326" s="4"/>
      <c r="B326" s="4">
        <v>685</v>
      </c>
      <c r="C326" s="21">
        <f>10^(-(($G$21+$H$21*'Advanced Outputs'!C$61^$I$21)*(($B326/$M$21)^-$K$21)+($G$22+$H$22*'Advanced Outputs'!C$61^$I$22)*$J$22*EXP(-(($L$22*($B326-$M$22))^$K$22))+($G$23+$H$23*'Advanced Outputs'!C$61^$I$23)*$J$23*EXP(-(($L$23*($B326-$M$23))^$K$23))+($G$24+$H$24*'Advanced Outputs'!C$61^$I$24)*$J$24*EXP(-(($L$24*($B326-$M$24))^$K$24))+($G$25+$H$25*'Advanced Outputs'!C$61^$I$25)*$J$25*EXP(-(($L$25*($B326-$M$25))^$K$25))+$G$26))</f>
        <v>0.807467884461973</v>
      </c>
      <c r="D326" s="21">
        <f>10^(-(($G$21+$H$21*'Advanced Outputs'!C$60^$I$21)*(($B326/$M$21)^-$K$21)+($G$22+$H$22*'Advanced Outputs'!C$60^$I$22)*$J$22*EXP(-(($L$22*($B326-$M$22))^$K$22))+($G$23+$H$23*'Advanced Outputs'!C$60^$I$23)*$J$23*EXP(-(($L$23*($B326-$M$23))^$K$23))+($G$24+$H$24*'Advanced Outputs'!C$60^$I$24)*$J$24*EXP(-(($L$24*($B326-$M$24))^$K$24))+($G$25+$H$25*'Advanced Outputs'!C$60^$I$25)*$J$25*EXP(-(($L$25*($B326-$M$25))^$K$25))+$G$26))</f>
        <v>0.829495653289379</v>
      </c>
      <c r="E326" s="21">
        <f t="shared" si="4"/>
        <v>0.973444383053661</v>
      </c>
      <c r="F326" s="12"/>
      <c r="G326" s="9"/>
      <c r="H326" s="9"/>
      <c r="I326" s="9"/>
      <c r="J326" s="9"/>
      <c r="K326" s="9"/>
      <c r="L326" s="9"/>
      <c r="M326" s="9"/>
    </row>
    <row r="327" hidden="1" spans="1:13">
      <c r="A327" s="4"/>
      <c r="B327" s="4">
        <v>686</v>
      </c>
      <c r="C327" s="21">
        <f>10^(-(($G$21+$H$21*'Advanced Outputs'!C$61^$I$21)*(($B327/$M$21)^-$K$21)+($G$22+$H$22*'Advanced Outputs'!C$61^$I$22)*$J$22*EXP(-(($L$22*($B327-$M$22))^$K$22))+($G$23+$H$23*'Advanced Outputs'!C$61^$I$23)*$J$23*EXP(-(($L$23*($B327-$M$23))^$K$23))+($G$24+$H$24*'Advanced Outputs'!C$61^$I$24)*$J$24*EXP(-(($L$24*($B327-$M$24))^$K$24))+($G$25+$H$25*'Advanced Outputs'!C$61^$I$25)*$J$25*EXP(-(($L$25*($B327-$M$25))^$K$25))+$G$26))</f>
        <v>0.807838564616481</v>
      </c>
      <c r="D327" s="21">
        <f>10^(-(($G$21+$H$21*'Advanced Outputs'!C$60^$I$21)*(($B327/$M$21)^-$K$21)+($G$22+$H$22*'Advanced Outputs'!C$60^$I$22)*$J$22*EXP(-(($L$22*($B327-$M$22))^$K$22))+($G$23+$H$23*'Advanced Outputs'!C$60^$I$23)*$J$23*EXP(-(($L$23*($B327-$M$23))^$K$23))+($G$24+$H$24*'Advanced Outputs'!C$60^$I$24)*$J$24*EXP(-(($L$24*($B327-$M$24))^$K$24))+($G$25+$H$25*'Advanced Outputs'!C$60^$I$25)*$J$25*EXP(-(($L$25*($B327-$M$25))^$K$25))+$G$26))</f>
        <v>0.829735171082569</v>
      </c>
      <c r="E327" s="21">
        <f t="shared" si="4"/>
        <v>0.973610126183371</v>
      </c>
      <c r="F327" s="12"/>
      <c r="G327" s="9"/>
      <c r="H327" s="9"/>
      <c r="I327" s="9"/>
      <c r="J327" s="9"/>
      <c r="K327" s="9"/>
      <c r="L327" s="9"/>
      <c r="M327" s="9"/>
    </row>
    <row r="328" hidden="1" spans="1:13">
      <c r="A328" s="4"/>
      <c r="B328" s="4">
        <v>687</v>
      </c>
      <c r="C328" s="21">
        <f>10^(-(($G$21+$H$21*'Advanced Outputs'!C$61^$I$21)*(($B328/$M$21)^-$K$21)+($G$22+$H$22*'Advanced Outputs'!C$61^$I$22)*$J$22*EXP(-(($L$22*($B328-$M$22))^$K$22))+($G$23+$H$23*'Advanced Outputs'!C$61^$I$23)*$J$23*EXP(-(($L$23*($B328-$M$23))^$K$23))+($G$24+$H$24*'Advanced Outputs'!C$61^$I$24)*$J$24*EXP(-(($L$24*($B328-$M$24))^$K$24))+($G$25+$H$25*'Advanced Outputs'!C$61^$I$25)*$J$25*EXP(-(($L$25*($B328-$M$25))^$K$25))+$G$26))</f>
        <v>0.808206114723405</v>
      </c>
      <c r="D328" s="21">
        <f>10^(-(($G$21+$H$21*'Advanced Outputs'!C$60^$I$21)*(($B328/$M$21)^-$K$21)+($G$22+$H$22*'Advanced Outputs'!C$60^$I$22)*$J$22*EXP(-(($L$22*($B328-$M$22))^$K$22))+($G$23+$H$23*'Advanced Outputs'!C$60^$I$23)*$J$23*EXP(-(($L$23*($B328-$M$23))^$K$23))+($G$24+$H$24*'Advanced Outputs'!C$60^$I$24)*$J$24*EXP(-(($L$24*($B328-$M$24))^$K$24))+($G$25+$H$25*'Advanced Outputs'!C$60^$I$25)*$J$25*EXP(-(($L$25*($B328-$M$25))^$K$25))+$G$26))</f>
        <v>0.829972853776644</v>
      </c>
      <c r="E328" s="21">
        <f t="shared" si="4"/>
        <v>0.973774155438707</v>
      </c>
      <c r="F328" s="12"/>
      <c r="G328" s="9"/>
      <c r="H328" s="9"/>
      <c r="I328" s="9"/>
      <c r="J328" s="9"/>
      <c r="K328" s="9"/>
      <c r="L328" s="9"/>
      <c r="M328" s="9"/>
    </row>
    <row r="329" hidden="1" spans="1:13">
      <c r="A329" s="4"/>
      <c r="B329" s="4">
        <v>688</v>
      </c>
      <c r="C329" s="21">
        <f>10^(-(($G$21+$H$21*'Advanced Outputs'!C$61^$I$21)*(($B329/$M$21)^-$K$21)+($G$22+$H$22*'Advanced Outputs'!C$61^$I$22)*$J$22*EXP(-(($L$22*($B329-$M$22))^$K$22))+($G$23+$H$23*'Advanced Outputs'!C$61^$I$23)*$J$23*EXP(-(($L$23*($B329-$M$23))^$K$23))+($G$24+$H$24*'Advanced Outputs'!C$61^$I$24)*$J$24*EXP(-(($L$24*($B329-$M$24))^$K$24))+($G$25+$H$25*'Advanced Outputs'!C$61^$I$25)*$J$25*EXP(-(($L$25*($B329-$M$25))^$K$25))+$G$26))</f>
        <v>0.808570581682825</v>
      </c>
      <c r="D329" s="21">
        <f>10^(-(($G$21+$H$21*'Advanced Outputs'!C$60^$I$21)*(($B329/$M$21)^-$K$21)+($G$22+$H$22*'Advanced Outputs'!C$60^$I$22)*$J$22*EXP(-(($L$22*($B329-$M$22))^$K$22))+($G$23+$H$23*'Advanced Outputs'!C$60^$I$23)*$J$23*EXP(-(($L$23*($B329-$M$23))^$K$23))+($G$24+$H$24*'Advanced Outputs'!C$60^$I$24)*$J$24*EXP(-(($L$24*($B329-$M$24))^$K$24))+($G$25+$H$25*'Advanced Outputs'!C$60^$I$25)*$J$25*EXP(-(($L$25*($B329-$M$25))^$K$25))+$G$26))</f>
        <v>0.830208722443687</v>
      </c>
      <c r="E329" s="21">
        <f t="shared" si="4"/>
        <v>0.973936505151173</v>
      </c>
      <c r="F329" s="12"/>
      <c r="G329" s="9"/>
      <c r="H329" s="9"/>
      <c r="I329" s="9"/>
      <c r="J329" s="9"/>
      <c r="K329" s="9"/>
      <c r="L329" s="9"/>
      <c r="M329" s="9"/>
    </row>
    <row r="330" hidden="1" spans="1:13">
      <c r="A330" s="4"/>
      <c r="B330" s="4">
        <v>689</v>
      </c>
      <c r="C330" s="21">
        <f>10^(-(($G$21+$H$21*'Advanced Outputs'!C$61^$I$21)*(($B330/$M$21)^-$K$21)+($G$22+$H$22*'Advanced Outputs'!C$61^$I$22)*$J$22*EXP(-(($L$22*($B330-$M$22))^$K$22))+($G$23+$H$23*'Advanced Outputs'!C$61^$I$23)*$J$23*EXP(-(($L$23*($B330-$M$23))^$K$23))+($G$24+$H$24*'Advanced Outputs'!C$61^$I$24)*$J$24*EXP(-(($L$24*($B330-$M$24))^$K$24))+($G$25+$H$25*'Advanced Outputs'!C$61^$I$25)*$J$25*EXP(-(($L$25*($B330-$M$25))^$K$25))+$G$26))</f>
        <v>0.808932011248012</v>
      </c>
      <c r="D330" s="21">
        <f>10^(-(($G$21+$H$21*'Advanced Outputs'!C$60^$I$21)*(($B330/$M$21)^-$K$21)+($G$22+$H$22*'Advanced Outputs'!C$60^$I$22)*$J$22*EXP(-(($L$22*($B330-$M$22))^$K$22))+($G$23+$H$23*'Advanced Outputs'!C$60^$I$23)*$J$23*EXP(-(($L$23*($B330-$M$23))^$K$23))+($G$24+$H$24*'Advanced Outputs'!C$60^$I$24)*$J$24*EXP(-(($L$24*($B330-$M$24))^$K$24))+($G$25+$H$25*'Advanced Outputs'!C$60^$I$25)*$J$25*EXP(-(($L$25*($B330-$M$25))^$K$25))+$G$26))</f>
        <v>0.830442797759409</v>
      </c>
      <c r="E330" s="21">
        <f t="shared" si="4"/>
        <v>0.97409720865852</v>
      </c>
      <c r="F330" s="12"/>
      <c r="G330" s="9"/>
      <c r="H330" s="9"/>
      <c r="I330" s="9"/>
      <c r="J330" s="9"/>
      <c r="K330" s="9"/>
      <c r="L330" s="9"/>
      <c r="M330" s="9"/>
    </row>
    <row r="331" hidden="1" spans="1:13">
      <c r="A331" s="4"/>
      <c r="B331" s="4">
        <v>690</v>
      </c>
      <c r="C331" s="21">
        <f>10^(-(($G$21+$H$21*'Advanced Outputs'!C$61^$I$21)*(($B331/$M$21)^-$K$21)+($G$22+$H$22*'Advanced Outputs'!C$61^$I$22)*$J$22*EXP(-(($L$22*($B331-$M$22))^$K$22))+($G$23+$H$23*'Advanced Outputs'!C$61^$I$23)*$J$23*EXP(-(($L$23*($B331-$M$23))^$K$23))+($G$24+$H$24*'Advanced Outputs'!C$61^$I$24)*$J$24*EXP(-(($L$24*($B331-$M$24))^$K$24))+($G$25+$H$25*'Advanced Outputs'!C$61^$I$25)*$J$25*EXP(-(($L$25*($B331-$M$25))^$K$25))+$G$26))</f>
        <v>0.809290448056932</v>
      </c>
      <c r="D331" s="21">
        <f>10^(-(($G$21+$H$21*'Advanced Outputs'!C$60^$I$21)*(($B331/$M$21)^-$K$21)+($G$22+$H$22*'Advanced Outputs'!C$60^$I$22)*$J$22*EXP(-(($L$22*($B331-$M$22))^$K$22))+($G$23+$H$23*'Advanced Outputs'!C$60^$I$23)*$J$23*EXP(-(($L$23*($B331-$M$23))^$K$23))+($G$24+$H$24*'Advanced Outputs'!C$60^$I$24)*$J$24*EXP(-(($L$24*($B331-$M$24))^$K$24))+($G$25+$H$25*'Advanced Outputs'!C$60^$I$25)*$J$25*EXP(-(($L$25*($B331-$M$25))^$K$25))+$G$26))</f>
        <v>0.830675100012883</v>
      </c>
      <c r="E331" s="21">
        <f t="shared" si="4"/>
        <v>0.974256298334187</v>
      </c>
      <c r="F331" s="12"/>
      <c r="G331" s="9"/>
      <c r="H331" s="9"/>
      <c r="I331" s="9"/>
      <c r="J331" s="9"/>
      <c r="K331" s="9"/>
      <c r="L331" s="9"/>
      <c r="M331" s="9"/>
    </row>
    <row r="332" hidden="1" spans="1:13">
      <c r="A332" s="4"/>
      <c r="B332" s="4">
        <v>691</v>
      </c>
      <c r="C332" s="21">
        <f>10^(-(($G$21+$H$21*'Advanced Outputs'!C$61^$I$21)*(($B332/$M$21)^-$K$21)+($G$22+$H$22*'Advanced Outputs'!C$61^$I$22)*$J$22*EXP(-(($L$22*($B332-$M$22))^$K$22))+($G$23+$H$23*'Advanced Outputs'!C$61^$I$23)*$J$23*EXP(-(($L$23*($B332-$M$23))^$K$23))+($G$24+$H$24*'Advanced Outputs'!C$61^$I$24)*$J$24*EXP(-(($L$24*($B332-$M$24))^$K$24))+($G$25+$H$25*'Advanced Outputs'!C$61^$I$25)*$J$25*EXP(-(($L$25*($B332-$M$25))^$K$25))+$G$26))</f>
        <v>0.809645935663026</v>
      </c>
      <c r="D332" s="21">
        <f>10^(-(($G$21+$H$21*'Advanced Outputs'!C$60^$I$21)*(($B332/$M$21)^-$K$21)+($G$22+$H$22*'Advanced Outputs'!C$60^$I$22)*$J$22*EXP(-(($L$22*($B332-$M$22))^$K$22))+($G$23+$H$23*'Advanced Outputs'!C$60^$I$23)*$J$23*EXP(-(($L$23*($B332-$M$23))^$K$23))+($G$24+$H$24*'Advanced Outputs'!C$60^$I$24)*$J$24*EXP(-(($L$24*($B332-$M$24))^$K$24))+($G$25+$H$25*'Advanced Outputs'!C$60^$I$25)*$J$25*EXP(-(($L$25*($B332-$M$25))^$K$25))+$G$26))</f>
        <v>0.830905649116063</v>
      </c>
      <c r="E332" s="21">
        <f t="shared" si="4"/>
        <v>0.974413805616012</v>
      </c>
      <c r="F332" s="12"/>
      <c r="G332" s="9"/>
      <c r="H332" s="9"/>
      <c r="I332" s="9"/>
      <c r="J332" s="9"/>
      <c r="K332" s="9"/>
      <c r="L332" s="9"/>
      <c r="M332" s="9"/>
    </row>
    <row r="333" hidden="1" spans="1:13">
      <c r="A333" s="4"/>
      <c r="B333" s="4">
        <v>692</v>
      </c>
      <c r="C333" s="21">
        <f>10^(-(($G$21+$H$21*'Advanced Outputs'!C$61^$I$21)*(($B333/$M$21)^-$K$21)+($G$22+$H$22*'Advanced Outputs'!C$61^$I$22)*$J$22*EXP(-(($L$22*($B333-$M$22))^$K$22))+($G$23+$H$23*'Advanced Outputs'!C$61^$I$23)*$J$23*EXP(-(($L$23*($B333-$M$23))^$K$23))+($G$24+$H$24*'Advanced Outputs'!C$61^$I$24)*$J$24*EXP(-(($L$24*($B333-$M$24))^$K$24))+($G$25+$H$25*'Advanced Outputs'!C$61^$I$25)*$J$25*EXP(-(($L$25*($B333-$M$25))^$K$25))+$G$26))</f>
        <v>0.809998516565257</v>
      </c>
      <c r="D333" s="21">
        <f>10^(-(($G$21+$H$21*'Advanced Outputs'!C$60^$I$21)*(($B333/$M$21)^-$K$21)+($G$22+$H$22*'Advanced Outputs'!C$60^$I$22)*$J$22*EXP(-(($L$22*($B333-$M$22))^$K$22))+($G$23+$H$23*'Advanced Outputs'!C$60^$I$23)*$J$23*EXP(-(($L$23*($B333-$M$23))^$K$23))+($G$24+$H$24*'Advanced Outputs'!C$60^$I$24)*$J$24*EXP(-(($L$24*($B333-$M$24))^$K$24))+($G$25+$H$25*'Advanced Outputs'!C$60^$I$25)*$J$25*EXP(-(($L$25*($B333-$M$25))^$K$25))+$G$26))</f>
        <v>0.831134464613067</v>
      </c>
      <c r="E333" s="21">
        <f t="shared" si="4"/>
        <v>0.974569761034216</v>
      </c>
      <c r="F333" s="12"/>
      <c r="G333" s="9"/>
      <c r="H333" s="9"/>
      <c r="I333" s="9"/>
      <c r="J333" s="9"/>
      <c r="K333" s="9"/>
      <c r="L333" s="9"/>
      <c r="M333" s="9"/>
    </row>
    <row r="334" hidden="1" spans="1:13">
      <c r="A334" s="4"/>
      <c r="B334" s="4">
        <v>693</v>
      </c>
      <c r="C334" s="21">
        <f>10^(-(($G$21+$H$21*'Advanced Outputs'!C$61^$I$21)*(($B334/$M$21)^-$K$21)+($G$22+$H$22*'Advanced Outputs'!C$61^$I$22)*$J$22*EXP(-(($L$22*($B334-$M$22))^$K$22))+($G$23+$H$23*'Advanced Outputs'!C$61^$I$23)*$J$23*EXP(-(($L$23*($B334-$M$23))^$K$23))+($G$24+$H$24*'Advanced Outputs'!C$61^$I$24)*$J$24*EXP(-(($L$24*($B334-$M$24))^$K$24))+($G$25+$H$25*'Advanced Outputs'!C$61^$I$25)*$J$25*EXP(-(($L$25*($B334-$M$25))^$K$25))+$G$26))</f>
        <v>0.810348232237453</v>
      </c>
      <c r="D334" s="21">
        <f>10^(-(($G$21+$H$21*'Advanced Outputs'!C$60^$I$21)*(($B334/$M$21)^-$K$21)+($G$22+$H$22*'Advanced Outputs'!C$60^$I$22)*$J$22*EXP(-(($L$22*($B334-$M$22))^$K$22))+($G$23+$H$23*'Advanced Outputs'!C$60^$I$23)*$J$23*EXP(-(($L$23*($B334-$M$23))^$K$23))+($G$24+$H$24*'Advanced Outputs'!C$60^$I$24)*$J$24*EXP(-(($L$24*($B334-$M$24))^$K$24))+($G$25+$H$25*'Advanced Outputs'!C$60^$I$25)*$J$25*EXP(-(($L$25*($B334-$M$25))^$K$25))+$G$26))</f>
        <v>0.831361565689248</v>
      </c>
      <c r="E334" s="21">
        <f t="shared" si="4"/>
        <v>0.974724194238672</v>
      </c>
      <c r="F334" s="12"/>
      <c r="G334" s="9"/>
      <c r="H334" s="9"/>
      <c r="I334" s="9"/>
      <c r="J334" s="9"/>
      <c r="K334" s="9"/>
      <c r="L334" s="9"/>
      <c r="M334" s="9"/>
    </row>
    <row r="335" hidden="1" spans="1:13">
      <c r="A335" s="4"/>
      <c r="B335" s="4">
        <v>694</v>
      </c>
      <c r="C335" s="21">
        <f>10^(-(($G$21+$H$21*'Advanced Outputs'!C$61^$I$21)*(($B335/$M$21)^-$K$21)+($G$22+$H$22*'Advanced Outputs'!C$61^$I$22)*$J$22*EXP(-(($L$22*($B335-$M$22))^$K$22))+($G$23+$H$23*'Advanced Outputs'!C$61^$I$23)*$J$23*EXP(-(($L$23*($B335-$M$23))^$K$23))+($G$24+$H$24*'Advanced Outputs'!C$61^$I$24)*$J$24*EXP(-(($L$24*($B335-$M$24))^$K$24))+($G$25+$H$25*'Advanced Outputs'!C$61^$I$25)*$J$25*EXP(-(($L$25*($B335-$M$25))^$K$25))+$G$26))</f>
        <v>0.810695123156933</v>
      </c>
      <c r="D335" s="21">
        <f>10^(-(($G$21+$H$21*'Advanced Outputs'!C$60^$I$21)*(($B335/$M$21)^-$K$21)+($G$22+$H$22*'Advanced Outputs'!C$60^$I$22)*$J$22*EXP(-(($L$22*($B335-$M$22))^$K$22))+($G$23+$H$23*'Advanced Outputs'!C$60^$I$23)*$J$23*EXP(-(($L$23*($B335-$M$23))^$K$23))+($G$24+$H$24*'Advanced Outputs'!C$60^$I$24)*$J$24*EXP(-(($L$24*($B335-$M$24))^$K$24))+($G$25+$H$25*'Advanced Outputs'!C$60^$I$25)*$J$25*EXP(-(($L$25*($B335-$M$25))^$K$25))+$G$26))</f>
        <v>0.831586971180051</v>
      </c>
      <c r="E335" s="21">
        <f t="shared" si="4"/>
        <v>0.974877134025474</v>
      </c>
      <c r="F335" s="12"/>
      <c r="G335" s="9"/>
      <c r="H335" s="9"/>
      <c r="I335" s="9"/>
      <c r="J335" s="9"/>
      <c r="K335" s="9"/>
      <c r="L335" s="9"/>
      <c r="M335" s="9"/>
    </row>
    <row r="336" hidden="1" spans="1:13">
      <c r="A336" s="4"/>
      <c r="B336" s="4">
        <v>695</v>
      </c>
      <c r="C336" s="21">
        <f>10^(-(($G$21+$H$21*'Advanced Outputs'!C$61^$I$21)*(($B336/$M$21)^-$K$21)+($G$22+$H$22*'Advanced Outputs'!C$61^$I$22)*$J$22*EXP(-(($L$22*($B336-$M$22))^$K$22))+($G$23+$H$23*'Advanced Outputs'!C$61^$I$23)*$J$23*EXP(-(($L$23*($B336-$M$23))^$K$23))+($G$24+$H$24*'Advanced Outputs'!C$61^$I$24)*$J$24*EXP(-(($L$24*($B336-$M$24))^$K$24))+($G$25+$H$25*'Advanced Outputs'!C$61^$I$25)*$J$25*EXP(-(($L$25*($B336-$M$25))^$K$25))+$G$26))</f>
        <v>0.811039228832445</v>
      </c>
      <c r="D336" s="21">
        <f>10^(-(($G$21+$H$21*'Advanced Outputs'!C$60^$I$21)*(($B336/$M$21)^-$K$21)+($G$22+$H$22*'Advanced Outputs'!C$60^$I$22)*$J$22*EXP(-(($L$22*($B336-$M$22))^$K$22))+($G$23+$H$23*'Advanced Outputs'!C$60^$I$23)*$J$23*EXP(-(($L$23*($B336-$M$23))^$K$23))+($G$24+$H$24*'Advanced Outputs'!C$60^$I$24)*$J$24*EXP(-(($L$24*($B336-$M$24))^$K$24))+($G$25+$H$25*'Advanced Outputs'!C$60^$I$25)*$J$25*EXP(-(($L$25*($B336-$M$25))^$K$25))+$G$26))</f>
        <v>0.831810699579649</v>
      </c>
      <c r="E336" s="21">
        <f t="shared" si="4"/>
        <v>0.975028608362815</v>
      </c>
      <c r="F336" s="12"/>
      <c r="G336" s="9"/>
      <c r="H336" s="9"/>
      <c r="I336" s="9"/>
      <c r="J336" s="9"/>
      <c r="K336" s="9"/>
      <c r="L336" s="9"/>
      <c r="M336" s="9"/>
    </row>
    <row r="337" hidden="1" spans="1:13">
      <c r="A337" s="4"/>
      <c r="B337" s="4">
        <v>696</v>
      </c>
      <c r="C337" s="21">
        <f>10^(-(($G$21+$H$21*'Advanced Outputs'!C$61^$I$21)*(($B337/$M$21)^-$K$21)+($G$22+$H$22*'Advanced Outputs'!C$61^$I$22)*$J$22*EXP(-(($L$22*($B337-$M$22))^$K$22))+($G$23+$H$23*'Advanced Outputs'!C$61^$I$23)*$J$23*EXP(-(($L$23*($B337-$M$23))^$K$23))+($G$24+$H$24*'Advanced Outputs'!C$61^$I$24)*$J$24*EXP(-(($L$24*($B337-$M$24))^$K$24))+($G$25+$H$25*'Advanced Outputs'!C$61^$I$25)*$J$25*EXP(-(($L$25*($B337-$M$25))^$K$25))+$G$26))</f>
        <v>0.811380587831418</v>
      </c>
      <c r="D337" s="21">
        <f>10^(-(($G$21+$H$21*'Advanced Outputs'!C$60^$I$21)*(($B337/$M$21)^-$K$21)+($G$22+$H$22*'Advanced Outputs'!C$60^$I$22)*$J$22*EXP(-(($L$22*($B337-$M$22))^$K$22))+($G$23+$H$23*'Advanced Outputs'!C$60^$I$23)*$J$23*EXP(-(($L$23*($B337-$M$23))^$K$23))+($G$24+$H$24*'Advanced Outputs'!C$60^$I$24)*$J$24*EXP(-(($L$24*($B337-$M$24))^$K$24))+($G$25+$H$25*'Advanced Outputs'!C$60^$I$25)*$J$25*EXP(-(($L$25*($B337-$M$25))^$K$25))+$G$26))</f>
        <v>0.832032769049378</v>
      </c>
      <c r="E337" s="21">
        <f t="shared" si="4"/>
        <v>0.975178644416186</v>
      </c>
      <c r="F337" s="12"/>
      <c r="G337" s="9"/>
      <c r="H337" s="9"/>
      <c r="I337" s="9"/>
      <c r="J337" s="9"/>
      <c r="K337" s="9"/>
      <c r="L337" s="9"/>
      <c r="M337" s="9"/>
    </row>
    <row r="338" hidden="1" spans="1:13">
      <c r="A338" s="4"/>
      <c r="B338" s="4">
        <v>697</v>
      </c>
      <c r="C338" s="21">
        <f>10^(-(($G$21+$H$21*'Advanced Outputs'!C$61^$I$21)*(($B338/$M$21)^-$K$21)+($G$22+$H$22*'Advanced Outputs'!C$61^$I$22)*$J$22*EXP(-(($L$22*($B338-$M$22))^$K$22))+($G$23+$H$23*'Advanced Outputs'!C$61^$I$23)*$J$23*EXP(-(($L$23*($B338-$M$23))^$K$23))+($G$24+$H$24*'Advanced Outputs'!C$61^$I$24)*$J$24*EXP(-(($L$24*($B338-$M$24))^$K$24))+($G$25+$H$25*'Advanced Outputs'!C$61^$I$25)*$J$25*EXP(-(($L$25*($B338-$M$25))^$K$25))+$G$26))</f>
        <v>0.811719237806532</v>
      </c>
      <c r="D338" s="21">
        <f>10^(-(($G$21+$H$21*'Advanced Outputs'!C$60^$I$21)*(($B338/$M$21)^-$K$21)+($G$22+$H$22*'Advanced Outputs'!C$60^$I$22)*$J$22*EXP(-(($L$22*($B338-$M$22))^$K$22))+($G$23+$H$23*'Advanced Outputs'!C$60^$I$23)*$J$23*EXP(-(($L$23*($B338-$M$23))^$K$23))+($G$24+$H$24*'Advanced Outputs'!C$60^$I$24)*$J$24*EXP(-(($L$24*($B338-$M$24))^$K$24))+($G$25+$H$25*'Advanced Outputs'!C$60^$I$25)*$J$25*EXP(-(($L$25*($B338-$M$25))^$K$25))+$G$26))</f>
        <v>0.83225319742596</v>
      </c>
      <c r="E338" s="21">
        <f t="shared" si="4"/>
        <v>0.975327268572909</v>
      </c>
      <c r="F338" s="12"/>
      <c r="G338" s="9"/>
      <c r="H338" s="9"/>
      <c r="I338" s="9"/>
      <c r="J338" s="9"/>
      <c r="K338" s="9"/>
      <c r="L338" s="9"/>
      <c r="M338" s="9"/>
    </row>
    <row r="339" hidden="1" spans="1:13">
      <c r="A339" s="4"/>
      <c r="B339" s="4">
        <v>698</v>
      </c>
      <c r="C339" s="21">
        <f>10^(-(($G$21+$H$21*'Advanced Outputs'!C$61^$I$21)*(($B339/$M$21)^-$K$21)+($G$22+$H$22*'Advanced Outputs'!C$61^$I$22)*$J$22*EXP(-(($L$22*($B339-$M$22))^$K$22))+($G$23+$H$23*'Advanced Outputs'!C$61^$I$23)*$J$23*EXP(-(($L$23*($B339-$M$23))^$K$23))+($G$24+$H$24*'Advanced Outputs'!C$61^$I$24)*$J$24*EXP(-(($L$24*($B339-$M$24))^$K$24))+($G$25+$H$25*'Advanced Outputs'!C$61^$I$25)*$J$25*EXP(-(($L$25*($B339-$M$25))^$K$25))+$G$26))</f>
        <v>0.81205521552163</v>
      </c>
      <c r="D339" s="21">
        <f>10^(-(($G$21+$H$21*'Advanced Outputs'!C$60^$I$21)*(($B339/$M$21)^-$K$21)+($G$22+$H$22*'Advanced Outputs'!C$60^$I$22)*$J$22*EXP(-(($L$22*($B339-$M$22))^$K$22))+($G$23+$H$23*'Advanced Outputs'!C$60^$I$23)*$J$23*EXP(-(($L$23*($B339-$M$23))^$K$23))+($G$24+$H$24*'Advanced Outputs'!C$60^$I$24)*$J$24*EXP(-(($L$24*($B339-$M$24))^$K$24))+($G$25+$H$25*'Advanced Outputs'!C$60^$I$25)*$J$25*EXP(-(($L$25*($B339-$M$25))^$K$25))+$G$26))</f>
        <v>0.83247200222953</v>
      </c>
      <c r="E339" s="21">
        <f t="shared" si="4"/>
        <v>0.975474506466019</v>
      </c>
      <c r="F339" s="12"/>
      <c r="G339" s="9"/>
      <c r="H339" s="9"/>
      <c r="I339" s="9"/>
      <c r="J339" s="9"/>
      <c r="K339" s="9"/>
      <c r="L339" s="9"/>
      <c r="M339" s="9"/>
    </row>
    <row r="340" hidden="1" spans="1:13">
      <c r="A340" s="4"/>
      <c r="B340" s="4">
        <v>699</v>
      </c>
      <c r="C340" s="21">
        <f>10^(-(($G$21+$H$21*'Advanced Outputs'!C$61^$I$21)*(($B340/$M$21)^-$K$21)+($G$22+$H$22*'Advanced Outputs'!C$61^$I$22)*$J$22*EXP(-(($L$22*($B340-$M$22))^$K$22))+($G$23+$H$23*'Advanced Outputs'!C$61^$I$23)*$J$23*EXP(-(($L$23*($B340-$M$23))^$K$23))+($G$24+$H$24*'Advanced Outputs'!C$61^$I$24)*$J$24*EXP(-(($L$24*($B340-$M$24))^$K$24))+($G$25+$H$25*'Advanced Outputs'!C$61^$I$25)*$J$25*EXP(-(($L$25*($B340-$M$25))^$K$25))+$G$26))</f>
        <v>0.812388556876965</v>
      </c>
      <c r="D340" s="21">
        <f>10^(-(($G$21+$H$21*'Advanced Outputs'!C$60^$I$21)*(($B340/$M$21)^-$K$21)+($G$22+$H$22*'Advanced Outputs'!C$60^$I$22)*$J$22*EXP(-(($L$22*($B340-$M$22))^$K$22))+($G$23+$H$23*'Advanced Outputs'!C$60^$I$23)*$J$23*EXP(-(($L$23*($B340-$M$23))^$K$23))+($G$24+$H$24*'Advanced Outputs'!C$60^$I$24)*$J$24*EXP(-(($L$24*($B340-$M$24))^$K$24))+($G$25+$H$25*'Advanced Outputs'!C$60^$I$25)*$J$25*EXP(-(($L$25*($B340-$M$25))^$K$25))+$G$26))</f>
        <v>0.832689200671456</v>
      </c>
      <c r="E340" s="21">
        <f t="shared" si="4"/>
        <v>0.975620382997496</v>
      </c>
      <c r="F340" s="12"/>
      <c r="G340" s="9"/>
      <c r="H340" s="9"/>
      <c r="I340" s="9"/>
      <c r="J340" s="9"/>
      <c r="K340" s="9"/>
      <c r="L340" s="9"/>
      <c r="M340" s="9"/>
    </row>
    <row r="341" hidden="1" spans="1:13">
      <c r="A341" s="4"/>
      <c r="B341" s="4">
        <v>700</v>
      </c>
      <c r="C341" s="21">
        <f>10^(-(($G$21+$H$21*'Advanced Outputs'!C$61^$I$21)*(($B341/$M$21)^-$K$21)+($G$22+$H$22*'Advanced Outputs'!C$61^$I$22)*$J$22*EXP(-(($L$22*($B341-$M$22))^$K$22))+($G$23+$H$23*'Advanced Outputs'!C$61^$I$23)*$J$23*EXP(-(($L$23*($B341-$M$23))^$K$23))+($G$24+$H$24*'Advanced Outputs'!C$61^$I$24)*$J$24*EXP(-(($L$24*($B341-$M$24))^$K$24))+($G$25+$H$25*'Advanced Outputs'!C$61^$I$25)*$J$25*EXP(-(($L$25*($B341-$M$25))^$K$25))+$G$26))</f>
        <v>0.812719296933811</v>
      </c>
      <c r="D341" s="21">
        <f>10^(-(($G$21+$H$21*'Advanced Outputs'!C$60^$I$21)*(($B341/$M$21)^-$K$21)+($G$22+$H$22*'Advanced Outputs'!C$60^$I$22)*$J$22*EXP(-(($L$22*($B341-$M$22))^$K$22))+($G$23+$H$23*'Advanced Outputs'!C$60^$I$23)*$J$23*EXP(-(($L$23*($B341-$M$23))^$K$23))+($G$24+$H$24*'Advanced Outputs'!C$60^$I$24)*$J$24*EXP(-(($L$24*($B341-$M$24))^$K$24))+($G$25+$H$25*'Advanced Outputs'!C$60^$I$25)*$J$25*EXP(-(($L$25*($B341-$M$25))^$K$25))+$G$26))</f>
        <v>0.832904809661974</v>
      </c>
      <c r="E341" s="21">
        <f t="shared" ref="E341:E404" si="5">C341/D341</f>
        <v>0.97576492236087</v>
      </c>
      <c r="F341" s="12"/>
      <c r="G341" s="9"/>
      <c r="H341" s="9"/>
      <c r="I341" s="9"/>
      <c r="J341" s="9"/>
      <c r="K341" s="9"/>
      <c r="L341" s="9"/>
      <c r="M341" s="9"/>
    </row>
    <row r="342" hidden="1" spans="1:13">
      <c r="A342" s="4"/>
      <c r="B342" s="4">
        <v>701</v>
      </c>
      <c r="C342" s="21">
        <f>10^(-(($G$21+$H$21*'Advanced Outputs'!C$61^$I$21)*(($B342/$M$21)^-$K$21)+($G$22+$H$22*'Advanced Outputs'!C$61^$I$22)*$J$22*EXP(-(($L$22*($B342-$M$22))^$K$22))+($G$23+$H$23*'Advanced Outputs'!C$61^$I$23)*$J$23*EXP(-(($L$23*($B342-$M$23))^$K$23))+($G$24+$H$24*'Advanced Outputs'!C$61^$I$24)*$J$24*EXP(-(($L$24*($B342-$M$24))^$K$24))+($G$25+$H$25*'Advanced Outputs'!C$61^$I$25)*$J$25*EXP(-(($L$25*($B342-$M$25))^$K$25))+$G$26))</f>
        <v>0.813047469938435</v>
      </c>
      <c r="D342" s="21">
        <f>10^(-(($G$21+$H$21*'Advanced Outputs'!C$60^$I$21)*(($B342/$M$21)^-$K$21)+($G$22+$H$22*'Advanced Outputs'!C$60^$I$22)*$J$22*EXP(-(($L$22*($B342-$M$22))^$K$22))+($G$23+$H$23*'Advanced Outputs'!C$60^$I$23)*$J$23*EXP(-(($L$23*($B342-$M$23))^$K$23))+($G$24+$H$24*'Advanced Outputs'!C$60^$I$24)*$J$24*EXP(-(($L$24*($B342-$M$24))^$K$24))+($G$25+$H$25*'Advanced Outputs'!C$60^$I$25)*$J$25*EXP(-(($L$25*($B342-$M$25))^$K$25))+$G$26))</f>
        <v>0.833118845817619</v>
      </c>
      <c r="E342" s="21">
        <f t="shared" si="5"/>
        <v>0.975908148063214</v>
      </c>
      <c r="F342" s="12"/>
      <c r="G342" s="9"/>
      <c r="H342" s="9"/>
      <c r="I342" s="9"/>
      <c r="J342" s="9"/>
      <c r="K342" s="9"/>
      <c r="L342" s="9"/>
      <c r="M342" s="9"/>
    </row>
    <row r="343" hidden="1" spans="1:13">
      <c r="A343" s="4"/>
      <c r="B343" s="4">
        <v>702</v>
      </c>
      <c r="C343" s="21">
        <f>10^(-(($G$21+$H$21*'Advanced Outputs'!C$61^$I$21)*(($B343/$M$21)^-$K$21)+($G$22+$H$22*'Advanced Outputs'!C$61^$I$22)*$J$22*EXP(-(($L$22*($B343-$M$22))^$K$22))+($G$23+$H$23*'Advanced Outputs'!C$61^$I$23)*$J$23*EXP(-(($L$23*($B343-$M$23))^$K$23))+($G$24+$H$24*'Advanced Outputs'!C$61^$I$24)*$J$24*EXP(-(($L$24*($B343-$M$24))^$K$24))+($G$25+$H$25*'Advanced Outputs'!C$61^$I$25)*$J$25*EXP(-(($L$25*($B343-$M$25))^$K$25))+$G$26))</f>
        <v>0.813373109345444</v>
      </c>
      <c r="D343" s="21">
        <f>10^(-(($G$21+$H$21*'Advanced Outputs'!C$60^$I$21)*(($B343/$M$21)^-$K$21)+($G$22+$H$22*'Advanced Outputs'!C$60^$I$22)*$J$22*EXP(-(($L$22*($B343-$M$22))^$K$22))+($G$23+$H$23*'Advanced Outputs'!C$60^$I$23)*$J$23*EXP(-(($L$23*($B343-$M$23))^$K$23))+($G$24+$H$24*'Advanced Outputs'!C$60^$I$24)*$J$24*EXP(-(($L$24*($B343-$M$24))^$K$24))+($G$25+$H$25*'Advanced Outputs'!C$60^$I$25)*$J$25*EXP(-(($L$25*($B343-$M$25))^$K$25))+$G$26))</f>
        <v>0.833331325468485</v>
      </c>
      <c r="E343" s="21">
        <f t="shared" si="5"/>
        <v>0.976050082946515</v>
      </c>
      <c r="F343" s="12"/>
      <c r="G343" s="9"/>
      <c r="H343" s="9"/>
      <c r="I343" s="9"/>
      <c r="J343" s="9"/>
      <c r="K343" s="9"/>
      <c r="L343" s="9"/>
      <c r="M343" s="9"/>
    </row>
    <row r="344" hidden="1" spans="1:13">
      <c r="A344" s="4"/>
      <c r="B344" s="4">
        <v>703</v>
      </c>
      <c r="C344" s="21">
        <f>10^(-(($G$21+$H$21*'Advanced Outputs'!C$61^$I$21)*(($B344/$M$21)^-$K$21)+($G$22+$H$22*'Advanced Outputs'!C$61^$I$22)*$J$22*EXP(-(($L$22*($B344-$M$22))^$K$22))+($G$23+$H$23*'Advanced Outputs'!C$61^$I$23)*$J$23*EXP(-(($L$23*($B344-$M$23))^$K$23))+($G$24+$H$24*'Advanced Outputs'!C$61^$I$24)*$J$24*EXP(-(($L$24*($B344-$M$24))^$K$24))+($G$25+$H$25*'Advanced Outputs'!C$61^$I$25)*$J$25*EXP(-(($L$25*($B344-$M$25))^$K$25))+$G$26))</f>
        <v>0.813696247840522</v>
      </c>
      <c r="D344" s="21">
        <f>10^(-(($G$21+$H$21*'Advanced Outputs'!C$60^$I$21)*(($B344/$M$21)^-$K$21)+($G$22+$H$22*'Advanced Outputs'!C$60^$I$22)*$J$22*EXP(-(($L$22*($B344-$M$22))^$K$22))+($G$23+$H$23*'Advanced Outputs'!C$60^$I$23)*$J$23*EXP(-(($L$23*($B344-$M$23))^$K$23))+($G$24+$H$24*'Advanced Outputs'!C$60^$I$24)*$J$24*EXP(-(($L$24*($B344-$M$24))^$K$24))+($G$25+$H$25*'Advanced Outputs'!C$60^$I$25)*$J$25*EXP(-(($L$25*($B344-$M$25))^$K$25))+$G$26))</f>
        <v>0.833542264665279</v>
      </c>
      <c r="E344" s="21">
        <f t="shared" si="5"/>
        <v>0.976190749208468</v>
      </c>
      <c r="F344" s="12"/>
      <c r="G344" s="9"/>
      <c r="H344" s="9"/>
      <c r="I344" s="9"/>
      <c r="J344" s="9"/>
      <c r="K344" s="9"/>
      <c r="L344" s="9"/>
      <c r="M344" s="9"/>
    </row>
    <row r="345" hidden="1" spans="1:13">
      <c r="A345" s="4"/>
      <c r="B345" s="4">
        <v>704</v>
      </c>
      <c r="C345" s="21">
        <f>10^(-(($G$21+$H$21*'Advanced Outputs'!C$61^$I$21)*(($B345/$M$21)^-$K$21)+($G$22+$H$22*'Advanced Outputs'!C$61^$I$22)*$J$22*EXP(-(($L$22*($B345-$M$22))^$K$22))+($G$23+$H$23*'Advanced Outputs'!C$61^$I$23)*$J$23*EXP(-(($L$23*($B345-$M$23))^$K$23))+($G$24+$H$24*'Advanced Outputs'!C$61^$I$24)*$J$24*EXP(-(($L$24*($B345-$M$24))^$K$24))+($G$25+$H$25*'Advanced Outputs'!C$61^$I$25)*$J$25*EXP(-(($L$25*($B345-$M$25))^$K$25))+$G$26))</f>
        <v>0.814016917362568</v>
      </c>
      <c r="D345" s="21">
        <f>10^(-(($G$21+$H$21*'Advanced Outputs'!C$60^$I$21)*(($B345/$M$21)^-$K$21)+($G$22+$H$22*'Advanced Outputs'!C$60^$I$22)*$J$22*EXP(-(($L$22*($B345-$M$22))^$K$22))+($G$23+$H$23*'Advanced Outputs'!C$60^$I$23)*$J$23*EXP(-(($L$23*($B345-$M$23))^$K$23))+($G$24+$H$24*'Advanced Outputs'!C$60^$I$24)*$J$24*EXP(-(($L$24*($B345-$M$24))^$K$24))+($G$25+$H$25*'Advanced Outputs'!C$60^$I$25)*$J$25*EXP(-(($L$25*($B345-$M$25))^$K$25))+$G$26))</f>
        <v>0.833751679186216</v>
      </c>
      <c r="E345" s="21">
        <f t="shared" si="5"/>
        <v>0.976330168422678</v>
      </c>
      <c r="F345" s="12"/>
      <c r="G345" s="9"/>
      <c r="H345" s="9"/>
      <c r="I345" s="9"/>
      <c r="J345" s="9"/>
      <c r="K345" s="9"/>
      <c r="L345" s="9"/>
      <c r="M345" s="9"/>
    </row>
    <row r="346" hidden="1" spans="1:13">
      <c r="A346" s="4"/>
      <c r="B346" s="4">
        <v>705</v>
      </c>
      <c r="C346" s="21">
        <f>10^(-(($G$21+$H$21*'Advanced Outputs'!C$61^$I$21)*(($B346/$M$21)^-$K$21)+($G$22+$H$22*'Advanced Outputs'!C$61^$I$22)*$J$22*EXP(-(($L$22*($B346-$M$22))^$K$22))+($G$23+$H$23*'Advanced Outputs'!C$61^$I$23)*$J$23*EXP(-(($L$23*($B346-$M$23))^$K$23))+($G$24+$H$24*'Advanced Outputs'!C$61^$I$24)*$J$24*EXP(-(($L$24*($B346-$M$24))^$K$24))+($G$25+$H$25*'Advanced Outputs'!C$61^$I$25)*$J$25*EXP(-(($L$25*($B346-$M$25))^$K$25))+$G$26))</f>
        <v>0.814335149125235</v>
      </c>
      <c r="D346" s="21">
        <f>10^(-(($G$21+$H$21*'Advanced Outputs'!C$60^$I$21)*(($B346/$M$21)^-$K$21)+($G$22+$H$22*'Advanced Outputs'!C$60^$I$22)*$J$22*EXP(-(($L$22*($B346-$M$22))^$K$22))+($G$23+$H$23*'Advanced Outputs'!C$60^$I$23)*$J$23*EXP(-(($L$23*($B346-$M$23))^$K$23))+($G$24+$H$24*'Advanced Outputs'!C$60^$I$24)*$J$24*EXP(-(($L$24*($B346-$M$24))^$K$24))+($G$25+$H$25*'Advanced Outputs'!C$60^$I$25)*$J$25*EXP(-(($L$25*($B346-$M$25))^$K$25))+$G$26))</f>
        <v>0.833959584543718</v>
      </c>
      <c r="E346" s="21">
        <f t="shared" si="5"/>
        <v>0.976468361558288</v>
      </c>
      <c r="F346" s="12"/>
      <c r="G346" s="9"/>
      <c r="H346" s="9"/>
      <c r="I346" s="9"/>
      <c r="J346" s="9"/>
      <c r="K346" s="9"/>
      <c r="L346" s="9"/>
      <c r="M346" s="9"/>
    </row>
    <row r="347" hidden="1" spans="1:13">
      <c r="A347" s="4"/>
      <c r="B347" s="4">
        <v>706</v>
      </c>
      <c r="C347" s="21">
        <f>10^(-(($G$21+$H$21*'Advanced Outputs'!C$61^$I$21)*(($B347/$M$21)^-$K$21)+($G$22+$H$22*'Advanced Outputs'!C$61^$I$22)*$J$22*EXP(-(($L$22*($B347-$M$22))^$K$22))+($G$23+$H$23*'Advanced Outputs'!C$61^$I$23)*$J$23*EXP(-(($L$23*($B347-$M$23))^$K$23))+($G$24+$H$24*'Advanced Outputs'!C$61^$I$24)*$J$24*EXP(-(($L$24*($B347-$M$24))^$K$24))+($G$25+$H$25*'Advanced Outputs'!C$61^$I$25)*$J$25*EXP(-(($L$25*($B347-$M$25))^$K$25))+$G$26))</f>
        <v>0.814650973637895</v>
      </c>
      <c r="D347" s="21">
        <f>10^(-(($G$21+$H$21*'Advanced Outputs'!C$60^$I$21)*(($B347/$M$21)^-$K$21)+($G$22+$H$22*'Advanced Outputs'!C$60^$I$22)*$J$22*EXP(-(($L$22*($B347-$M$22))^$K$22))+($G$23+$H$23*'Advanced Outputs'!C$60^$I$23)*$J$23*EXP(-(($L$23*($B347-$M$23))^$K$23))+($G$24+$H$24*'Advanced Outputs'!C$60^$I$24)*$J$24*EXP(-(($L$24*($B347-$M$24))^$K$24))+($G$25+$H$25*'Advanced Outputs'!C$60^$I$25)*$J$25*EXP(-(($L$25*($B347-$M$25))^$K$25))+$G$26))</f>
        <v>0.834165995990954</v>
      </c>
      <c r="E347" s="21">
        <f t="shared" si="5"/>
        <v>0.976605348999061</v>
      </c>
      <c r="F347" s="12"/>
      <c r="G347" s="9"/>
      <c r="H347" s="9"/>
      <c r="I347" s="9"/>
      <c r="J347" s="9"/>
      <c r="K347" s="9"/>
      <c r="L347" s="9"/>
      <c r="M347" s="9"/>
    </row>
    <row r="348" hidden="1" spans="1:13">
      <c r="A348" s="4"/>
      <c r="B348" s="4">
        <v>707</v>
      </c>
      <c r="C348" s="21">
        <f>10^(-(($G$21+$H$21*'Advanced Outputs'!C$61^$I$21)*(($B348/$M$21)^-$K$21)+($G$22+$H$22*'Advanced Outputs'!C$61^$I$22)*$J$22*EXP(-(($L$22*($B348-$M$22))^$K$22))+($G$23+$H$23*'Advanced Outputs'!C$61^$I$23)*$J$23*EXP(-(($L$23*($B348-$M$23))^$K$23))+($G$24+$H$24*'Advanced Outputs'!C$61^$I$24)*$J$24*EXP(-(($L$24*($B348-$M$24))^$K$24))+($G$25+$H$25*'Advanced Outputs'!C$61^$I$25)*$J$25*EXP(-(($L$25*($B348-$M$25))^$K$25))+$G$26))</f>
        <v>0.814964420726037</v>
      </c>
      <c r="D348" s="21">
        <f>10^(-(($G$21+$H$21*'Advanced Outputs'!C$60^$I$21)*(($B348/$M$21)^-$K$21)+($G$22+$H$22*'Advanced Outputs'!C$60^$I$22)*$J$22*EXP(-(($L$22*($B348-$M$22))^$K$22))+($G$23+$H$23*'Advanced Outputs'!C$60^$I$23)*$J$23*EXP(-(($L$23*($B348-$M$23))^$K$23))+($G$24+$H$24*'Advanced Outputs'!C$60^$I$24)*$J$24*EXP(-(($L$24*($B348-$M$24))^$K$24))+($G$25+$H$25*'Advanced Outputs'!C$60^$I$25)*$J$25*EXP(-(($L$25*($B348-$M$25))^$K$25))+$G$26))</f>
        <v>0.834370928528199</v>
      </c>
      <c r="E348" s="21">
        <f t="shared" si="5"/>
        <v>0.976741150561904</v>
      </c>
      <c r="F348" s="12"/>
      <c r="G348" s="9"/>
      <c r="H348" s="9"/>
      <c r="I348" s="9"/>
      <c r="J348" s="9"/>
      <c r="K348" s="9"/>
      <c r="L348" s="9"/>
      <c r="M348" s="9"/>
    </row>
    <row r="349" hidden="1" spans="1:13">
      <c r="A349" s="4"/>
      <c r="B349" s="4">
        <v>708</v>
      </c>
      <c r="C349" s="21">
        <f>10^(-(($G$21+$H$21*'Advanced Outputs'!C$61^$I$21)*(($B349/$M$21)^-$K$21)+($G$22+$H$22*'Advanced Outputs'!C$61^$I$22)*$J$22*EXP(-(($L$22*($B349-$M$22))^$K$22))+($G$23+$H$23*'Advanced Outputs'!C$61^$I$23)*$J$23*EXP(-(($L$23*($B349-$M$23))^$K$23))+($G$24+$H$24*'Advanced Outputs'!C$61^$I$24)*$J$24*EXP(-(($L$24*($B349-$M$24))^$K$24))+($G$25+$H$25*'Advanced Outputs'!C$61^$I$25)*$J$25*EXP(-(($L$25*($B349-$M$25))^$K$25))+$G$26))</f>
        <v>0.815275519551104</v>
      </c>
      <c r="D349" s="21">
        <f>10^(-(($G$21+$H$21*'Advanced Outputs'!C$60^$I$21)*(($B349/$M$21)^-$K$21)+($G$22+$H$22*'Advanced Outputs'!C$60^$I$22)*$J$22*EXP(-(($L$22*($B349-$M$22))^$K$22))+($G$23+$H$23*'Advanced Outputs'!C$60^$I$23)*$J$23*EXP(-(($L$23*($B349-$M$23))^$K$23))+($G$24+$H$24*'Advanced Outputs'!C$60^$I$24)*$J$24*EXP(-(($L$24*($B349-$M$24))^$K$24))+($G$25+$H$25*'Advanced Outputs'!C$60^$I$25)*$J$25*EXP(-(($L$25*($B349-$M$25))^$K$25))+$G$26))</f>
        <v>0.834574396909031</v>
      </c>
      <c r="E349" s="21">
        <f t="shared" si="5"/>
        <v>0.976875785514865</v>
      </c>
      <c r="F349" s="12"/>
      <c r="G349" s="9"/>
      <c r="H349" s="9"/>
      <c r="I349" s="9"/>
      <c r="J349" s="9"/>
      <c r="K349" s="9"/>
      <c r="L349" s="9"/>
      <c r="M349" s="9"/>
    </row>
    <row r="350" hidden="1" spans="1:13">
      <c r="A350" s="4"/>
      <c r="B350" s="4">
        <v>709</v>
      </c>
      <c r="C350" s="21">
        <f>10^(-(($G$21+$H$21*'Advanced Outputs'!C$61^$I$21)*(($B350/$M$21)^-$K$21)+($G$22+$H$22*'Advanced Outputs'!C$61^$I$22)*$J$22*EXP(-(($L$22*($B350-$M$22))^$K$22))+($G$23+$H$23*'Advanced Outputs'!C$61^$I$23)*$J$23*EXP(-(($L$23*($B350-$M$23))^$K$23))+($G$24+$H$24*'Advanced Outputs'!C$61^$I$24)*$J$24*EXP(-(($L$24*($B350-$M$24))^$K$24))+($G$25+$H$25*'Advanced Outputs'!C$61^$I$25)*$J$25*EXP(-(($L$25*($B350-$M$25))^$K$25))+$G$26))</f>
        <v>0.815584298629783</v>
      </c>
      <c r="D350" s="21">
        <f>10^(-(($G$21+$H$21*'Advanced Outputs'!C$60^$I$21)*(($B350/$M$21)^-$K$21)+($G$22+$H$22*'Advanced Outputs'!C$60^$I$22)*$J$22*EXP(-(($L$22*($B350-$M$22))^$K$22))+($G$23+$H$23*'Advanced Outputs'!C$60^$I$23)*$J$23*EXP(-(($L$23*($B350-$M$23))^$K$23))+($G$24+$H$24*'Advanced Outputs'!C$60^$I$24)*$J$24*EXP(-(($L$24*($B350-$M$24))^$K$24))+($G$25+$H$25*'Advanced Outputs'!C$60^$I$25)*$J$25*EXP(-(($L$25*($B350-$M$25))^$K$25))+$G$26))</f>
        <v>0.834776415646366</v>
      </c>
      <c r="E350" s="21">
        <f t="shared" si="5"/>
        <v>0.9770092725946</v>
      </c>
      <c r="F350" s="12"/>
      <c r="G350" s="9"/>
      <c r="H350" s="9"/>
      <c r="I350" s="9"/>
      <c r="J350" s="9"/>
      <c r="K350" s="9"/>
      <c r="L350" s="9"/>
      <c r="M350" s="9"/>
    </row>
    <row r="351" hidden="1" spans="1:13">
      <c r="A351" s="4"/>
      <c r="B351" s="4">
        <v>710</v>
      </c>
      <c r="C351" s="21">
        <f>10^(-(($G$21+$H$21*'Advanced Outputs'!C$61^$I$21)*(($B351/$M$21)^-$K$21)+($G$22+$H$22*'Advanced Outputs'!C$61^$I$22)*$J$22*EXP(-(($L$22*($B351-$M$22))^$K$22))+($G$23+$H$23*'Advanced Outputs'!C$61^$I$23)*$J$23*EXP(-(($L$23*($B351-$M$23))^$K$23))+($G$24+$H$24*'Advanced Outputs'!C$61^$I$24)*$J$24*EXP(-(($L$24*($B351-$M$24))^$K$24))+($G$25+$H$25*'Advanced Outputs'!C$61^$I$25)*$J$25*EXP(-(($L$25*($B351-$M$25))^$K$25))+$G$26))</f>
        <v>0.815890785852764</v>
      </c>
      <c r="D351" s="21">
        <f>10^(-(($G$21+$H$21*'Advanced Outputs'!C$60^$I$21)*(($B351/$M$21)^-$K$21)+($G$22+$H$22*'Advanced Outputs'!C$60^$I$22)*$J$22*EXP(-(($L$22*($B351-$M$22))^$K$22))+($G$23+$H$23*'Advanced Outputs'!C$60^$I$23)*$J$23*EXP(-(($L$23*($B351-$M$23))^$K$23))+($G$24+$H$24*'Advanced Outputs'!C$60^$I$24)*$J$24*EXP(-(($L$24*($B351-$M$24))^$K$24))+($G$25+$H$25*'Advanced Outputs'!C$60^$I$25)*$J$25*EXP(-(($L$25*($B351-$M$25))^$K$25))+$G$26))</f>
        <v>0.834976999018331</v>
      </c>
      <c r="E351" s="21">
        <f t="shared" si="5"/>
        <v>0.977141630023334</v>
      </c>
      <c r="F351" s="12"/>
      <c r="G351" s="9"/>
      <c r="H351" s="9"/>
      <c r="I351" s="9"/>
      <c r="J351" s="9"/>
      <c r="K351" s="9"/>
      <c r="L351" s="9"/>
      <c r="M351" s="9"/>
    </row>
    <row r="352" hidden="1" spans="1:13">
      <c r="A352" s="4"/>
      <c r="B352" s="4">
        <v>711</v>
      </c>
      <c r="C352" s="21">
        <f>10^(-(($G$21+$H$21*'Advanced Outputs'!C$61^$I$21)*(($B352/$M$21)^-$K$21)+($G$22+$H$22*'Advanced Outputs'!C$61^$I$22)*$J$22*EXP(-(($L$22*($B352-$M$22))^$K$22))+($G$23+$H$23*'Advanced Outputs'!C$61^$I$23)*$J$23*EXP(-(($L$23*($B352-$M$23))^$K$23))+($G$24+$H$24*'Advanced Outputs'!C$61^$I$24)*$J$24*EXP(-(($L$24*($B352-$M$24))^$K$24))+($G$25+$H$25*'Advanced Outputs'!C$61^$I$25)*$J$25*EXP(-(($L$25*($B352-$M$25))^$K$25))+$G$26))</f>
        <v>0.816195008502972</v>
      </c>
      <c r="D352" s="21">
        <f>10^(-(($G$21+$H$21*'Advanced Outputs'!C$60^$I$21)*(($B352/$M$21)^-$K$21)+($G$22+$H$22*'Advanced Outputs'!C$60^$I$22)*$J$22*EXP(-(($L$22*($B352-$M$22))^$K$22))+($G$23+$H$23*'Advanced Outputs'!C$60^$I$23)*$J$23*EXP(-(($L$23*($B352-$M$23))^$K$23))+($G$24+$H$24*'Advanced Outputs'!C$60^$I$24)*$J$24*EXP(-(($L$24*($B352-$M$24))^$K$24))+($G$25+$H$25*'Advanced Outputs'!C$60^$I$25)*$J$25*EXP(-(($L$25*($B352-$M$25))^$K$25))+$G$26))</f>
        <v>0.835176161073981</v>
      </c>
      <c r="E352" s="21">
        <f t="shared" si="5"/>
        <v>0.977272875525326</v>
      </c>
      <c r="F352" s="12"/>
      <c r="G352" s="9"/>
      <c r="H352" s="9"/>
      <c r="I352" s="9"/>
      <c r="J352" s="9"/>
      <c r="K352" s="9"/>
      <c r="L352" s="9"/>
      <c r="M352" s="9"/>
    </row>
    <row r="353" hidden="1" spans="1:13">
      <c r="A353" s="4"/>
      <c r="B353" s="4">
        <v>712</v>
      </c>
      <c r="C353" s="21">
        <f>10^(-(($G$21+$H$21*'Advanced Outputs'!C$61^$I$21)*(($B353/$M$21)^-$K$21)+($G$22+$H$22*'Advanced Outputs'!C$61^$I$22)*$J$22*EXP(-(($L$22*($B353-$M$22))^$K$22))+($G$23+$H$23*'Advanced Outputs'!C$61^$I$23)*$J$23*EXP(-(($L$23*($B353-$M$23))^$K$23))+($G$24+$H$24*'Advanced Outputs'!C$61^$I$24)*$J$24*EXP(-(($L$24*($B353-$M$24))^$K$24))+($G$25+$H$25*'Advanced Outputs'!C$61^$I$25)*$J$25*EXP(-(($L$25*($B353-$M$25))^$K$25))+$G$26))</f>
        <v>0.816496993273285</v>
      </c>
      <c r="D353" s="21">
        <f>10^(-(($G$21+$H$21*'Advanced Outputs'!C$60^$I$21)*(($B353/$M$21)^-$K$21)+($G$22+$H$22*'Advanced Outputs'!C$60^$I$22)*$J$22*EXP(-(($L$22*($B353-$M$22))^$K$22))+($G$23+$H$23*'Advanced Outputs'!C$60^$I$23)*$J$23*EXP(-(($L$23*($B353-$M$23))^$K$23))+($G$24+$H$24*'Advanced Outputs'!C$60^$I$24)*$J$24*EXP(-(($L$24*($B353-$M$24))^$K$24))+($G$25+$H$25*'Advanced Outputs'!C$60^$I$25)*$J$25*EXP(-(($L$25*($B353-$M$25))^$K$25))+$G$26))</f>
        <v>0.835373915638861</v>
      </c>
      <c r="E353" s="21">
        <f t="shared" si="5"/>
        <v>0.977403026342833</v>
      </c>
      <c r="F353" s="12"/>
      <c r="G353" s="9"/>
      <c r="H353" s="9"/>
      <c r="I353" s="9"/>
      <c r="J353" s="9"/>
      <c r="K353" s="9"/>
      <c r="L353" s="9"/>
      <c r="M353" s="9"/>
    </row>
    <row r="354" hidden="1" spans="1:13">
      <c r="A354" s="4"/>
      <c r="B354" s="4">
        <v>713</v>
      </c>
      <c r="C354" s="21">
        <f>10^(-(($G$21+$H$21*'Advanced Outputs'!C$61^$I$21)*(($B354/$M$21)^-$K$21)+($G$22+$H$22*'Advanced Outputs'!C$61^$I$22)*$J$22*EXP(-(($L$22*($B354-$M$22))^$K$22))+($G$23+$H$23*'Advanced Outputs'!C$61^$I$23)*$J$23*EXP(-(($L$23*($B354-$M$23))^$K$23))+($G$24+$H$24*'Advanced Outputs'!C$61^$I$24)*$J$24*EXP(-(($L$24*($B354-$M$24))^$K$24))+($G$25+$H$25*'Advanced Outputs'!C$61^$I$25)*$J$25*EXP(-(($L$25*($B354-$M$25))^$K$25))+$G$26))</f>
        <v>0.816796766283752</v>
      </c>
      <c r="D354" s="21">
        <f>10^(-(($G$21+$H$21*'Advanced Outputs'!C$60^$I$21)*(($B354/$M$21)^-$K$21)+($G$22+$H$22*'Advanced Outputs'!C$60^$I$22)*$J$22*EXP(-(($L$22*($B354-$M$22))^$K$22))+($G$23+$H$23*'Advanced Outputs'!C$60^$I$23)*$J$23*EXP(-(($L$23*($B354-$M$23))^$K$23))+($G$24+$H$24*'Advanced Outputs'!C$60^$I$24)*$J$24*EXP(-(($L$24*($B354-$M$24))^$K$24))+($G$25+$H$25*'Advanced Outputs'!C$60^$I$25)*$J$25*EXP(-(($L$25*($B354-$M$25))^$K$25))+$G$26))</f>
        <v>0.835570276320424</v>
      </c>
      <c r="E354" s="21">
        <f t="shared" si="5"/>
        <v>0.97753209925161</v>
      </c>
      <c r="F354" s="12"/>
      <c r="G354" s="9"/>
      <c r="H354" s="9"/>
      <c r="I354" s="9"/>
      <c r="J354" s="9"/>
      <c r="K354" s="9"/>
      <c r="L354" s="9"/>
      <c r="M354" s="9"/>
    </row>
    <row r="355" hidden="1" spans="1:13">
      <c r="A355" s="4"/>
      <c r="B355" s="4">
        <v>714</v>
      </c>
      <c r="C355" s="21">
        <f>10^(-(($G$21+$H$21*'Advanced Outputs'!C$61^$I$21)*(($B355/$M$21)^-$K$21)+($G$22+$H$22*'Advanced Outputs'!C$61^$I$22)*$J$22*EXP(-(($L$22*($B355-$M$22))^$K$22))+($G$23+$H$23*'Advanced Outputs'!C$61^$I$23)*$J$23*EXP(-(($L$23*($B355-$M$23))^$K$23))+($G$24+$H$24*'Advanced Outputs'!C$61^$I$24)*$J$24*EXP(-(($L$24*($B355-$M$24))^$K$24))+($G$25+$H$25*'Advanced Outputs'!C$61^$I$25)*$J$25*EXP(-(($L$25*($B355-$M$25))^$K$25))+$G$26))</f>
        <v>0.817094353098321</v>
      </c>
      <c r="D355" s="21">
        <f>10^(-(($G$21+$H$21*'Advanced Outputs'!C$60^$I$21)*(($B355/$M$21)^-$K$21)+($G$22+$H$22*'Advanced Outputs'!C$60^$I$22)*$J$22*EXP(-(($L$22*($B355-$M$22))^$K$22))+($G$23+$H$23*'Advanced Outputs'!C$60^$I$23)*$J$23*EXP(-(($L$23*($B355-$M$23))^$K$23))+($G$24+$H$24*'Advanced Outputs'!C$60^$I$24)*$J$24*EXP(-(($L$24*($B355-$M$24))^$K$24))+($G$25+$H$25*'Advanced Outputs'!C$60^$I$25)*$J$25*EXP(-(($L$25*($B355-$M$25))^$K$25))+$G$26))</f>
        <v>0.835765256513298</v>
      </c>
      <c r="E355" s="21">
        <f t="shared" si="5"/>
        <v>0.97766011057594</v>
      </c>
      <c r="F355" s="12"/>
      <c r="G355" s="9"/>
      <c r="H355" s="9"/>
      <c r="I355" s="9"/>
      <c r="J355" s="9"/>
      <c r="K355" s="9"/>
      <c r="L355" s="9"/>
      <c r="M355" s="9"/>
    </row>
    <row r="356" hidden="1" spans="1:13">
      <c r="A356" s="4"/>
      <c r="B356" s="4">
        <v>715</v>
      </c>
      <c r="C356" s="21">
        <f>10^(-(($G$21+$H$21*'Advanced Outputs'!C$61^$I$21)*(($B356/$M$21)^-$K$21)+($G$22+$H$22*'Advanced Outputs'!C$61^$I$22)*$J$22*EXP(-(($L$22*($B356-$M$22))^$K$22))+($G$23+$H$23*'Advanced Outputs'!C$61^$I$23)*$J$23*EXP(-(($L$23*($B356-$M$23))^$K$23))+($G$24+$H$24*'Advanced Outputs'!C$61^$I$24)*$J$24*EXP(-(($L$24*($B356-$M$24))^$K$24))+($G$25+$H$25*'Advanced Outputs'!C$61^$I$25)*$J$25*EXP(-(($L$25*($B356-$M$25))^$K$25))+$G$26))</f>
        <v>0.817389778741081</v>
      </c>
      <c r="D356" s="21">
        <f>10^(-(($G$21+$H$21*'Advanced Outputs'!C$60^$I$21)*(($B356/$M$21)^-$K$21)+($G$22+$H$22*'Advanced Outputs'!C$60^$I$22)*$J$22*EXP(-(($L$22*($B356-$M$22))^$K$22))+($G$23+$H$23*'Advanced Outputs'!C$60^$I$23)*$J$23*EXP(-(($L$23*($B356-$M$23))^$K$23))+($G$24+$H$24*'Advanced Outputs'!C$60^$I$24)*$J$24*EXP(-(($L$24*($B356-$M$24))^$K$24))+($G$25+$H$25*'Advanced Outputs'!C$60^$I$25)*$J$25*EXP(-(($L$25*($B356-$M$25))^$K$25))+$G$26))</f>
        <v>0.835958869404413</v>
      </c>
      <c r="E356" s="21">
        <f t="shared" si="5"/>
        <v>0.977787076203209</v>
      </c>
      <c r="F356" s="12"/>
      <c r="G356" s="9"/>
      <c r="H356" s="9"/>
      <c r="I356" s="9"/>
      <c r="J356" s="9"/>
      <c r="K356" s="9"/>
      <c r="L356" s="9"/>
      <c r="M356" s="9"/>
    </row>
    <row r="357" hidden="1" spans="1:13">
      <c r="A357" s="4"/>
      <c r="B357" s="4">
        <v>716</v>
      </c>
      <c r="C357" s="21">
        <f>10^(-(($G$21+$H$21*'Advanced Outputs'!C$61^$I$21)*(($B357/$M$21)^-$K$21)+($G$22+$H$22*'Advanced Outputs'!C$61^$I$22)*$J$22*EXP(-(($L$22*($B357-$M$22))^$K$22))+($G$23+$H$23*'Advanced Outputs'!C$61^$I$23)*$J$23*EXP(-(($L$23*($B357-$M$23))^$K$23))+($G$24+$H$24*'Advanced Outputs'!C$61^$I$24)*$J$24*EXP(-(($L$24*($B357-$M$24))^$K$24))+($G$25+$H$25*'Advanced Outputs'!C$61^$I$25)*$J$25*EXP(-(($L$25*($B357-$M$25))^$K$25))+$G$26))</f>
        <v>0.817683067712044</v>
      </c>
      <c r="D357" s="21">
        <f>10^(-(($G$21+$H$21*'Advanced Outputs'!C$60^$I$21)*(($B357/$M$21)^-$K$21)+($G$22+$H$22*'Advanced Outputs'!C$60^$I$22)*$J$22*EXP(-(($L$22*($B357-$M$22))^$K$22))+($G$23+$H$23*'Advanced Outputs'!C$60^$I$23)*$J$23*EXP(-(($L$23*($B357-$M$23))^$K$23))+($G$24+$H$24*'Advanced Outputs'!C$60^$I$24)*$J$24*EXP(-(($L$24*($B357-$M$24))^$K$24))+($G$25+$H$25*'Advanced Outputs'!C$60^$I$25)*$J$25*EXP(-(($L$25*($B357-$M$25))^$K$25))+$G$26))</f>
        <v>0.836151127977983</v>
      </c>
      <c r="E357" s="21">
        <f t="shared" si="5"/>
        <v>0.977913011598037</v>
      </c>
      <c r="F357" s="12"/>
      <c r="G357" s="9"/>
      <c r="H357" s="9"/>
      <c r="I357" s="9"/>
      <c r="J357" s="9"/>
      <c r="K357" s="9"/>
      <c r="L357" s="9"/>
      <c r="M357" s="9"/>
    </row>
    <row r="358" hidden="1" spans="1:13">
      <c r="A358" s="4"/>
      <c r="B358" s="4">
        <v>717</v>
      </c>
      <c r="C358" s="21">
        <f>10^(-(($G$21+$H$21*'Advanced Outputs'!C$61^$I$21)*(($B358/$M$21)^-$K$21)+($G$22+$H$22*'Advanced Outputs'!C$61^$I$22)*$J$22*EXP(-(($L$22*($B358-$M$22))^$K$22))+($G$23+$H$23*'Advanced Outputs'!C$61^$I$23)*$J$23*EXP(-(($L$23*($B358-$M$23))^$K$23))+($G$24+$H$24*'Advanced Outputs'!C$61^$I$24)*$J$24*EXP(-(($L$24*($B358-$M$24))^$K$24))+($G$25+$H$25*'Advanced Outputs'!C$61^$I$25)*$J$25*EXP(-(($L$25*($B358-$M$25))^$K$25))+$G$26))</f>
        <v>0.817974244002458</v>
      </c>
      <c r="D358" s="21">
        <f>10^(-(($G$21+$H$21*'Advanced Outputs'!C$60^$I$21)*(($B358/$M$21)^-$K$21)+($G$22+$H$22*'Advanced Outputs'!C$60^$I$22)*$J$22*EXP(-(($L$22*($B358-$M$22))^$K$22))+($G$23+$H$23*'Advanced Outputs'!C$60^$I$23)*$J$23*EXP(-(($L$23*($B358-$M$23))^$K$23))+($G$24+$H$24*'Advanced Outputs'!C$60^$I$24)*$J$24*EXP(-(($L$24*($B358-$M$24))^$K$24))+($G$25+$H$25*'Advanced Outputs'!C$60^$I$25)*$J$25*EXP(-(($L$25*($B358-$M$25))^$K$25))+$G$26))</f>
        <v>0.836342045020362</v>
      </c>
      <c r="E358" s="21">
        <f t="shared" si="5"/>
        <v>0.978037931815976</v>
      </c>
      <c r="F358" s="12"/>
      <c r="G358" s="9"/>
      <c r="H358" s="9"/>
      <c r="I358" s="9"/>
      <c r="J358" s="9"/>
      <c r="K358" s="9"/>
      <c r="L358" s="9"/>
      <c r="M358" s="9"/>
    </row>
    <row r="359" hidden="1" spans="1:13">
      <c r="A359" s="4"/>
      <c r="B359" s="4">
        <v>718</v>
      </c>
      <c r="C359" s="21">
        <f>10^(-(($G$21+$H$21*'Advanced Outputs'!C$61^$I$21)*(($B359/$M$21)^-$K$21)+($G$22+$H$22*'Advanced Outputs'!C$61^$I$22)*$J$22*EXP(-(($L$22*($B359-$M$22))^$K$22))+($G$23+$H$23*'Advanced Outputs'!C$61^$I$23)*$J$23*EXP(-(($L$23*($B359-$M$23))^$K$23))+($G$24+$H$24*'Advanced Outputs'!C$61^$I$24)*$J$24*EXP(-(($L$24*($B359-$M$24))^$K$24))+($G$25+$H$25*'Advanced Outputs'!C$61^$I$25)*$J$25*EXP(-(($L$25*($B359-$M$25))^$K$25))+$G$26))</f>
        <v>0.81826333110968</v>
      </c>
      <c r="D359" s="21">
        <f>10^(-(($G$21+$H$21*'Advanced Outputs'!C$60^$I$21)*(($B359/$M$21)^-$K$21)+($G$22+$H$22*'Advanced Outputs'!C$60^$I$22)*$J$22*EXP(-(($L$22*($B359-$M$22))^$K$22))+($G$23+$H$23*'Advanced Outputs'!C$60^$I$23)*$J$23*EXP(-(($L$23*($B359-$M$23))^$K$23))+($G$24+$H$24*'Advanced Outputs'!C$60^$I$24)*$J$24*EXP(-(($L$24*($B359-$M$24))^$K$24))+($G$25+$H$25*'Advanced Outputs'!C$60^$I$25)*$J$25*EXP(-(($L$25*($B359-$M$25))^$K$25))+$G$26))</f>
        <v>0.836531633124757</v>
      </c>
      <c r="E359" s="21">
        <f t="shared" si="5"/>
        <v>0.978161851516794</v>
      </c>
      <c r="F359" s="12"/>
      <c r="G359" s="9"/>
      <c r="H359" s="9"/>
      <c r="I359" s="9"/>
      <c r="J359" s="9"/>
      <c r="K359" s="9"/>
      <c r="L359" s="9"/>
      <c r="M359" s="9"/>
    </row>
    <row r="360" hidden="1" spans="1:13">
      <c r="A360" s="4"/>
      <c r="B360" s="4">
        <v>719</v>
      </c>
      <c r="C360" s="21">
        <f>10^(-(($G$21+$H$21*'Advanced Outputs'!C$61^$I$21)*(($B360/$M$21)^-$K$21)+($G$22+$H$22*'Advanced Outputs'!C$61^$I$22)*$J$22*EXP(-(($L$22*($B360-$M$22))^$K$22))+($G$23+$H$23*'Advanced Outputs'!C$61^$I$23)*$J$23*EXP(-(($L$23*($B360-$M$23))^$K$23))+($G$24+$H$24*'Advanced Outputs'!C$61^$I$24)*$J$24*EXP(-(($L$24*($B360-$M$24))^$K$24))+($G$25+$H$25*'Advanced Outputs'!C$61^$I$25)*$J$25*EXP(-(($L$25*($B360-$M$25))^$K$25))+$G$26))</f>
        <v>0.818550352051604</v>
      </c>
      <c r="D360" s="21">
        <f>10^(-(($G$21+$H$21*'Advanced Outputs'!C$60^$I$21)*(($B360/$M$21)^-$K$21)+($G$22+$H$22*'Advanced Outputs'!C$60^$I$22)*$J$22*EXP(-(($L$22*($B360-$M$22))^$K$22))+($G$23+$H$23*'Advanced Outputs'!C$60^$I$23)*$J$23*EXP(-(($L$23*($B360-$M$23))^$K$23))+($G$24+$H$24*'Advanced Outputs'!C$60^$I$24)*$J$24*EXP(-(($L$24*($B360-$M$24))^$K$24))+($G$25+$H$25*'Advanced Outputs'!C$60^$I$25)*$J$25*EXP(-(($L$25*($B360-$M$25))^$K$25))+$G$26))</f>
        <v>0.836719904695817</v>
      </c>
      <c r="E360" s="21">
        <f t="shared" si="5"/>
        <v>0.978284784977335</v>
      </c>
      <c r="F360" s="12"/>
      <c r="G360" s="9"/>
      <c r="H360" s="9"/>
      <c r="I360" s="9"/>
      <c r="J360" s="9"/>
      <c r="K360" s="9"/>
      <c r="L360" s="9"/>
      <c r="M360" s="9"/>
    </row>
    <row r="361" hidden="1" spans="1:13">
      <c r="A361" s="4"/>
      <c r="B361" s="4">
        <v>720</v>
      </c>
      <c r="C361" s="21">
        <f>10^(-(($G$21+$H$21*'Advanced Outputs'!C$61^$I$21)*(($B361/$M$21)^-$K$21)+($G$22+$H$22*'Advanced Outputs'!C$61^$I$22)*$J$22*EXP(-(($L$22*($B361-$M$22))^$K$22))+($G$23+$H$23*'Advanced Outputs'!C$61^$I$23)*$J$23*EXP(-(($L$23*($B361-$M$23))^$K$23))+($G$24+$H$24*'Advanced Outputs'!C$61^$I$24)*$J$24*EXP(-(($L$24*($B361-$M$24))^$K$24))+($G$25+$H$25*'Advanced Outputs'!C$61^$I$25)*$J$25*EXP(-(($L$25*($B361-$M$25))^$K$25))+$G$26))</f>
        <v>0.818835329380672</v>
      </c>
      <c r="D361" s="21">
        <f>10^(-(($G$21+$H$21*'Advanced Outputs'!C$60^$I$21)*(($B361/$M$21)^-$K$21)+($G$22+$H$22*'Advanced Outputs'!C$60^$I$22)*$J$22*EXP(-(($L$22*($B361-$M$22))^$K$22))+($G$23+$H$23*'Advanced Outputs'!C$60^$I$23)*$J$23*EXP(-(($L$23*($B361-$M$23))^$K$23))+($G$24+$H$24*'Advanced Outputs'!C$60^$I$24)*$J$24*EXP(-(($L$24*($B361-$M$24))^$K$24))+($G$25+$H$25*'Advanced Outputs'!C$60^$I$25)*$J$25*EXP(-(($L$25*($B361-$M$25))^$K$25))+$G$26))</f>
        <v>0.836906871954092</v>
      </c>
      <c r="E361" s="21">
        <f t="shared" si="5"/>
        <v>0.978406746103991</v>
      </c>
      <c r="F361" s="12"/>
      <c r="G361" s="9"/>
      <c r="H361" s="9"/>
      <c r="I361" s="9"/>
      <c r="J361" s="9"/>
      <c r="K361" s="9"/>
      <c r="L361" s="9"/>
      <c r="M361" s="9"/>
    </row>
    <row r="362" hidden="1" spans="1:13">
      <c r="A362" s="4"/>
      <c r="B362" s="4">
        <v>721</v>
      </c>
      <c r="C362" s="21">
        <f>10^(-(($G$21+$H$21*'Advanced Outputs'!C$61^$I$21)*(($B362/$M$21)^-$K$21)+($G$22+$H$22*'Advanced Outputs'!C$61^$I$22)*$J$22*EXP(-(($L$22*($B362-$M$22))^$K$22))+($G$23+$H$23*'Advanced Outputs'!C$61^$I$23)*$J$23*EXP(-(($L$23*($B362-$M$23))^$K$23))+($G$24+$H$24*'Advanced Outputs'!C$61^$I$24)*$J$24*EXP(-(($L$24*($B362-$M$24))^$K$24))+($G$25+$H$25*'Advanced Outputs'!C$61^$I$25)*$J$25*EXP(-(($L$25*($B362-$M$25))^$K$25))+$G$26))</f>
        <v>0.819118285197458</v>
      </c>
      <c r="D362" s="21">
        <f>10^(-(($G$21+$H$21*'Advanced Outputs'!C$60^$I$21)*(($B362/$M$21)^-$K$21)+($G$22+$H$22*'Advanced Outputs'!C$60^$I$22)*$J$22*EXP(-(($L$22*($B362-$M$22))^$K$22))+($G$23+$H$23*'Advanced Outputs'!C$60^$I$23)*$J$23*EXP(-(($L$23*($B362-$M$23))^$K$23))+($G$24+$H$24*'Advanced Outputs'!C$60^$I$24)*$J$24*EXP(-(($L$24*($B362-$M$24))^$K$24))+($G$25+$H$25*'Advanced Outputs'!C$60^$I$25)*$J$25*EXP(-(($L$25*($B362-$M$25))^$K$25))+$G$26))</f>
        <v>0.837092546940367</v>
      </c>
      <c r="E362" s="21">
        <f t="shared" si="5"/>
        <v>0.978527748444773</v>
      </c>
      <c r="F362" s="12"/>
      <c r="G362" s="9"/>
      <c r="H362" s="9"/>
      <c r="I362" s="9"/>
      <c r="J362" s="9"/>
      <c r="K362" s="9"/>
      <c r="L362" s="9"/>
      <c r="M362" s="9"/>
    </row>
    <row r="363" hidden="1" spans="1:13">
      <c r="A363" s="4"/>
      <c r="B363" s="4">
        <v>722</v>
      </c>
      <c r="C363" s="21">
        <f>10^(-(($G$21+$H$21*'Advanced Outputs'!C$61^$I$21)*(($B363/$M$21)^-$K$21)+($G$22+$H$22*'Advanced Outputs'!C$61^$I$22)*$J$22*EXP(-(($L$22*($B363-$M$22))^$K$22))+($G$23+$H$23*'Advanced Outputs'!C$61^$I$23)*$J$23*EXP(-(($L$23*($B363-$M$23))^$K$23))+($G$24+$H$24*'Advanced Outputs'!C$61^$I$24)*$J$24*EXP(-(($L$24*($B363-$M$24))^$K$24))+($G$25+$H$25*'Advanced Outputs'!C$61^$I$25)*$J$25*EXP(-(($L$25*($B363-$M$25))^$K$25))+$G$26))</f>
        <v>0.819399241163848</v>
      </c>
      <c r="D363" s="21">
        <f>10^(-(($G$21+$H$21*'Advanced Outputs'!C$60^$I$21)*(($B363/$M$21)^-$K$21)+($G$22+$H$22*'Advanced Outputs'!C$60^$I$22)*$J$22*EXP(-(($L$22*($B363-$M$22))^$K$22))+($G$23+$H$23*'Advanced Outputs'!C$60^$I$23)*$J$23*EXP(-(($L$23*($B363-$M$23))^$K$23))+($G$24+$H$24*'Advanced Outputs'!C$60^$I$24)*$J$24*EXP(-(($L$24*($B363-$M$24))^$K$24))+($G$25+$H$25*'Advanced Outputs'!C$60^$I$25)*$J$25*EXP(-(($L$25*($B363-$M$25))^$K$25))+$G$26))</f>
        <v>0.837276941519884</v>
      </c>
      <c r="E363" s="21">
        <f t="shared" si="5"/>
        <v>0.978647805201009</v>
      </c>
      <c r="F363" s="12"/>
      <c r="G363" s="9"/>
      <c r="H363" s="9"/>
      <c r="I363" s="9"/>
      <c r="J363" s="9"/>
      <c r="K363" s="9"/>
      <c r="L363" s="9"/>
      <c r="M363" s="9"/>
    </row>
    <row r="364" hidden="1" spans="1:13">
      <c r="A364" s="4"/>
      <c r="B364" s="4">
        <v>723</v>
      </c>
      <c r="C364" s="21">
        <f>10^(-(($G$21+$H$21*'Advanced Outputs'!C$61^$I$21)*(($B364/$M$21)^-$K$21)+($G$22+$H$22*'Advanced Outputs'!C$61^$I$22)*$J$22*EXP(-(($L$22*($B364-$M$22))^$K$22))+($G$23+$H$23*'Advanced Outputs'!C$61^$I$23)*$J$23*EXP(-(($L$23*($B364-$M$23))^$K$23))+($G$24+$H$24*'Advanced Outputs'!C$61^$I$24)*$J$24*EXP(-(($L$24*($B364-$M$24))^$K$24))+($G$25+$H$25*'Advanced Outputs'!C$61^$I$25)*$J$25*EXP(-(($L$25*($B364-$M$25))^$K$25))+$G$26))</f>
        <v>0.819678218515831</v>
      </c>
      <c r="D364" s="21">
        <f>10^(-(($G$21+$H$21*'Advanced Outputs'!C$60^$I$21)*(($B364/$M$21)^-$K$21)+($G$22+$H$22*'Advanced Outputs'!C$60^$I$22)*$J$22*EXP(-(($L$22*($B364-$M$22))^$K$22))+($G$23+$H$23*'Advanced Outputs'!C$60^$I$23)*$J$23*EXP(-(($L$23*($B364-$M$23))^$K$23))+($G$24+$H$24*'Advanced Outputs'!C$60^$I$24)*$J$24*EXP(-(($L$24*($B364-$M$24))^$K$24))+($G$25+$H$25*'Advanced Outputs'!C$60^$I$25)*$J$25*EXP(-(($L$25*($B364-$M$25))^$K$25))+$G$26))</f>
        <v>0.837460067386437</v>
      </c>
      <c r="E364" s="21">
        <f t="shared" si="5"/>
        <v>0.978766929238669</v>
      </c>
      <c r="F364" s="12"/>
      <c r="G364" s="9"/>
      <c r="H364" s="9"/>
      <c r="I364" s="9"/>
      <c r="J364" s="9"/>
      <c r="K364" s="9"/>
      <c r="L364" s="9"/>
      <c r="M364" s="9"/>
    </row>
    <row r="365" hidden="1" spans="1:13">
      <c r="A365" s="4"/>
      <c r="B365" s="4">
        <v>724</v>
      </c>
      <c r="C365" s="21">
        <f>10^(-(($G$21+$H$21*'Advanced Outputs'!C$61^$I$21)*(($B365/$M$21)^-$K$21)+($G$22+$H$22*'Advanced Outputs'!C$61^$I$22)*$J$22*EXP(-(($L$22*($B365-$M$22))^$K$22))+($G$23+$H$23*'Advanced Outputs'!C$61^$I$23)*$J$23*EXP(-(($L$23*($B365-$M$23))^$K$23))+($G$24+$H$24*'Advanced Outputs'!C$61^$I$24)*$J$24*EXP(-(($L$24*($B365-$M$24))^$K$24))+($G$25+$H$25*'Advanced Outputs'!C$61^$I$25)*$J$25*EXP(-(($L$25*($B365-$M$25))^$K$25))+$G$26))</f>
        <v>0.819955238075891</v>
      </c>
      <c r="D365" s="21">
        <f>10^(-(($G$21+$H$21*'Advanced Outputs'!C$60^$I$21)*(($B365/$M$21)^-$K$21)+($G$22+$H$22*'Advanced Outputs'!C$60^$I$22)*$J$22*EXP(-(($L$22*($B365-$M$22))^$K$22))+($G$23+$H$23*'Advanced Outputs'!C$60^$I$23)*$J$23*EXP(-(($L$23*($B365-$M$23))^$K$23))+($G$24+$H$24*'Advanced Outputs'!C$60^$I$24)*$J$24*EXP(-(($L$24*($B365-$M$24))^$K$24))+($G$25+$H$25*'Advanced Outputs'!C$60^$I$25)*$J$25*EXP(-(($L$25*($B365-$M$25))^$K$25))+$G$26))</f>
        <v>0.837641936066353</v>
      </c>
      <c r="E365" s="21">
        <f t="shared" si="5"/>
        <v>0.978885133099328</v>
      </c>
      <c r="F365" s="12"/>
      <c r="G365" s="9"/>
      <c r="H365" s="9"/>
      <c r="I365" s="9"/>
      <c r="J365" s="9"/>
      <c r="K365" s="9"/>
      <c r="L365" s="9"/>
      <c r="M365" s="9"/>
    </row>
    <row r="366" hidden="1" spans="1:13">
      <c r="A366" s="4"/>
      <c r="B366" s="4">
        <v>725</v>
      </c>
      <c r="C366" s="21">
        <f>10^(-(($G$21+$H$21*'Advanced Outputs'!C$61^$I$21)*(($B366/$M$21)^-$K$21)+($G$22+$H$22*'Advanced Outputs'!C$61^$I$22)*$J$22*EXP(-(($L$22*($B366-$M$22))^$K$22))+($G$23+$H$23*'Advanced Outputs'!C$61^$I$23)*$J$23*EXP(-(($L$23*($B366-$M$23))^$K$23))+($G$24+$H$24*'Advanced Outputs'!C$61^$I$24)*$J$24*EXP(-(($L$24*($B366-$M$24))^$K$24))+($G$25+$H$25*'Advanced Outputs'!C$61^$I$25)*$J$25*EXP(-(($L$25*($B366-$M$25))^$K$25))+$G$26))</f>
        <v>0.820230320265029</v>
      </c>
      <c r="D366" s="21">
        <f>10^(-(($G$21+$H$21*'Advanced Outputs'!C$60^$I$21)*(($B366/$M$21)^-$K$21)+($G$22+$H$22*'Advanced Outputs'!C$60^$I$22)*$J$22*EXP(-(($L$22*($B366-$M$22))^$K$22))+($G$23+$H$23*'Advanced Outputs'!C$60^$I$23)*$J$23*EXP(-(($L$23*($B366-$M$23))^$K$23))+($G$24+$H$24*'Advanced Outputs'!C$60^$I$24)*$J$24*EXP(-(($L$24*($B366-$M$24))^$K$24))+($G$25+$H$25*'Advanced Outputs'!C$60^$I$25)*$J$25*EXP(-(($L$25*($B366-$M$25))^$K$25))+$G$26))</f>
        <v>0.83782255892237</v>
      </c>
      <c r="E366" s="21">
        <f t="shared" si="5"/>
        <v>0.979002429010782</v>
      </c>
      <c r="F366" s="12"/>
      <c r="G366" s="9"/>
      <c r="H366" s="9"/>
      <c r="I366" s="9"/>
      <c r="J366" s="9"/>
      <c r="K366" s="9"/>
      <c r="L366" s="9"/>
      <c r="M366" s="9"/>
    </row>
    <row r="367" hidden="1" spans="1:13">
      <c r="A367" s="4"/>
      <c r="B367" s="4">
        <v>726</v>
      </c>
      <c r="C367" s="21">
        <f>10^(-(($G$21+$H$21*'Advanced Outputs'!C$61^$I$21)*(($B367/$M$21)^-$K$21)+($G$22+$H$22*'Advanced Outputs'!C$61^$I$22)*$J$22*EXP(-(($L$22*($B367-$M$22))^$K$22))+($G$23+$H$23*'Advanced Outputs'!C$61^$I$23)*$J$23*EXP(-(($L$23*($B367-$M$23))^$K$23))+($G$24+$H$24*'Advanced Outputs'!C$61^$I$24)*$J$24*EXP(-(($L$24*($B367-$M$24))^$K$24))+($G$25+$H$25*'Advanced Outputs'!C$61^$I$25)*$J$25*EXP(-(($L$25*($B367-$M$25))^$K$25))+$G$26))</f>
        <v>0.820503485114422</v>
      </c>
      <c r="D367" s="21">
        <f>10^(-(($G$21+$H$21*'Advanced Outputs'!C$60^$I$21)*(($B367/$M$21)^-$K$21)+($G$22+$H$22*'Advanced Outputs'!C$60^$I$22)*$J$22*EXP(-(($L$22*($B367-$M$22))^$K$22))+($G$23+$H$23*'Advanced Outputs'!C$60^$I$23)*$J$23*EXP(-(($L$23*($B367-$M$23))^$K$23))+($G$24+$H$24*'Advanced Outputs'!C$60^$I$24)*$J$24*EXP(-(($L$24*($B367-$M$24))^$K$24))+($G$25+$H$25*'Advanced Outputs'!C$60^$I$25)*$J$25*EXP(-(($L$25*($B367-$M$25))^$K$25))+$G$26))</f>
        <v>0.838001947157394</v>
      </c>
      <c r="E367" s="21">
        <f t="shared" si="5"/>
        <v>0.97911882889732</v>
      </c>
      <c r="F367" s="12"/>
      <c r="G367" s="9"/>
      <c r="H367" s="9"/>
      <c r="I367" s="9"/>
      <c r="J367" s="9"/>
      <c r="K367" s="9"/>
      <c r="L367" s="9"/>
      <c r="M367" s="9"/>
    </row>
    <row r="368" hidden="1" spans="1:13">
      <c r="A368" s="4"/>
      <c r="B368" s="4">
        <v>727</v>
      </c>
      <c r="C368" s="21">
        <f>10^(-(($G$21+$H$21*'Advanced Outputs'!C$61^$I$21)*(($B368/$M$21)^-$K$21)+($G$22+$H$22*'Advanced Outputs'!C$61^$I$22)*$J$22*EXP(-(($L$22*($B368-$M$22))^$K$22))+($G$23+$H$23*'Advanced Outputs'!C$61^$I$23)*$J$23*EXP(-(($L$23*($B368-$M$23))^$K$23))+($G$24+$H$24*'Advanced Outputs'!C$61^$I$24)*$J$24*EXP(-(($L$24*($B368-$M$24))^$K$24))+($G$25+$H$25*'Advanced Outputs'!C$61^$I$25)*$J$25*EXP(-(($L$25*($B368-$M$25))^$K$25))+$G$26))</f>
        <v>0.820774752276712</v>
      </c>
      <c r="D368" s="21">
        <f>10^(-(($G$21+$H$21*'Advanced Outputs'!C$60^$I$21)*(($B368/$M$21)^-$K$21)+($G$22+$H$22*'Advanced Outputs'!C$60^$I$22)*$J$22*EXP(-(($L$22*($B368-$M$22))^$K$22))+($G$23+$H$23*'Advanced Outputs'!C$60^$I$23)*$J$23*EXP(-(($L$23*($B368-$M$23))^$K$23))+($G$24+$H$24*'Advanced Outputs'!C$60^$I$24)*$J$24*EXP(-(($L$24*($B368-$M$24))^$K$24))+($G$25+$H$25*'Advanced Outputs'!C$60^$I$25)*$J$25*EXP(-(($L$25*($B368-$M$25))^$K$25))+$G$26))</f>
        <v>0.83818011181816</v>
      </c>
      <c r="E368" s="21">
        <f t="shared" si="5"/>
        <v>0.979234344389666</v>
      </c>
      <c r="F368" s="12"/>
      <c r="G368" s="9"/>
      <c r="H368" s="9"/>
      <c r="I368" s="9"/>
      <c r="J368" s="9"/>
      <c r="K368" s="9"/>
      <c r="L368" s="9"/>
      <c r="M368" s="9"/>
    </row>
    <row r="369" hidden="1" spans="1:13">
      <c r="A369" s="4"/>
      <c r="B369" s="4">
        <v>728</v>
      </c>
      <c r="C369" s="21">
        <f>10^(-(($G$21+$H$21*'Advanced Outputs'!C$61^$I$21)*(($B369/$M$21)^-$K$21)+($G$22+$H$22*'Advanced Outputs'!C$61^$I$22)*$J$22*EXP(-(($L$22*($B369-$M$22))^$K$22))+($G$23+$H$23*'Advanced Outputs'!C$61^$I$23)*$J$23*EXP(-(($L$23*($B369-$M$23))^$K$23))+($G$24+$H$24*'Advanced Outputs'!C$61^$I$24)*$J$24*EXP(-(($L$24*($B369-$M$24))^$K$24))+($G$25+$H$25*'Advanced Outputs'!C$61^$I$25)*$J$25*EXP(-(($L$25*($B369-$M$25))^$K$25))+$G$26))</f>
        <v>0.82104414103696</v>
      </c>
      <c r="D369" s="21">
        <f>10^(-(($G$21+$H$21*'Advanced Outputs'!C$60^$I$21)*(($B369/$M$21)^-$K$21)+($G$22+$H$22*'Advanced Outputs'!C$60^$I$22)*$J$22*EXP(-(($L$22*($B369-$M$22))^$K$22))+($G$23+$H$23*'Advanced Outputs'!C$60^$I$23)*$J$23*EXP(-(($L$23*($B369-$M$23))^$K$23))+($G$24+$H$24*'Advanced Outputs'!C$60^$I$24)*$J$24*EXP(-(($L$24*($B369-$M$24))^$K$24))+($G$25+$H$25*'Advanced Outputs'!C$60^$I$25)*$J$25*EXP(-(($L$25*($B369-$M$25))^$K$25))+$G$26))</f>
        <v>0.838357063798784</v>
      </c>
      <c r="E369" s="21">
        <f t="shared" si="5"/>
        <v>0.979348986834589</v>
      </c>
      <c r="F369" s="12"/>
      <c r="G369" s="9"/>
      <c r="H369" s="9"/>
      <c r="I369" s="9"/>
      <c r="J369" s="9"/>
      <c r="K369" s="9"/>
      <c r="L369" s="9"/>
      <c r="M369" s="9"/>
    </row>
    <row r="370" hidden="1" spans="1:13">
      <c r="A370" s="4"/>
      <c r="B370" s="4">
        <v>729</v>
      </c>
      <c r="C370" s="21">
        <f>10^(-(($G$21+$H$21*'Advanced Outputs'!C$61^$I$21)*(($B370/$M$21)^-$K$21)+($G$22+$H$22*'Advanced Outputs'!C$61^$I$22)*$J$22*EXP(-(($L$22*($B370-$M$22))^$K$22))+($G$23+$H$23*'Advanced Outputs'!C$61^$I$23)*$J$23*EXP(-(($L$23*($B370-$M$23))^$K$23))+($G$24+$H$24*'Advanced Outputs'!C$61^$I$24)*$J$24*EXP(-(($L$24*($B370-$M$24))^$K$24))+($G$25+$H$25*'Advanced Outputs'!C$61^$I$25)*$J$25*EXP(-(($L$25*($B370-$M$25))^$K$25))+$G$26))</f>
        <v>0.821311670323248</v>
      </c>
      <c r="D370" s="21">
        <f>10^(-(($G$21+$H$21*'Advanced Outputs'!C$60^$I$21)*(($B370/$M$21)^-$K$21)+($G$22+$H$22*'Advanced Outputs'!C$60^$I$22)*$J$22*EXP(-(($L$22*($B370-$M$22))^$K$22))+($G$23+$H$23*'Advanced Outputs'!C$60^$I$23)*$J$23*EXP(-(($L$23*($B370-$M$23))^$K$23))+($G$24+$H$24*'Advanced Outputs'!C$60^$I$24)*$J$24*EXP(-(($L$24*($B370-$M$24))^$K$24))+($G$25+$H$25*'Advanced Outputs'!C$60^$I$25)*$J$25*EXP(-(($L$25*($B370-$M$25))^$K$25))+$G$26))</f>
        <v>0.838532813844215</v>
      </c>
      <c r="E370" s="21">
        <f t="shared" si="5"/>
        <v>0.979462767304218</v>
      </c>
      <c r="F370" s="12"/>
      <c r="G370" s="9"/>
      <c r="H370" s="9"/>
      <c r="I370" s="9"/>
      <c r="J370" s="9"/>
      <c r="K370" s="9"/>
      <c r="L370" s="9"/>
      <c r="M370" s="9"/>
    </row>
    <row r="371" hidden="1" spans="1:13">
      <c r="A371" s="4"/>
      <c r="B371" s="4">
        <v>730</v>
      </c>
      <c r="C371" s="21">
        <f>10^(-(($G$21+$H$21*'Advanced Outputs'!C$61^$I$21)*(($B371/$M$21)^-$K$21)+($G$22+$H$22*'Advanced Outputs'!C$61^$I$22)*$J$22*EXP(-(($L$22*($B371-$M$22))^$K$22))+($G$23+$H$23*'Advanced Outputs'!C$61^$I$23)*$J$23*EXP(-(($L$23*($B371-$M$23))^$K$23))+($G$24+$H$24*'Advanced Outputs'!C$61^$I$24)*$J$24*EXP(-(($L$24*($B371-$M$24))^$K$24))+($G$25+$H$25*'Advanced Outputs'!C$61^$I$25)*$J$25*EXP(-(($L$25*($B371-$M$25))^$K$25))+$G$26))</f>
        <v>0.821577358716965</v>
      </c>
      <c r="D371" s="21">
        <f>10^(-(($G$21+$H$21*'Advanced Outputs'!C$60^$I$21)*(($B371/$M$21)^-$K$21)+($G$22+$H$22*'Advanced Outputs'!C$60^$I$22)*$J$22*EXP(-(($L$22*($B371-$M$22))^$K$22))+($G$23+$H$23*'Advanced Outputs'!C$60^$I$23)*$J$23*EXP(-(($L$23*($B371-$M$23))^$K$23))+($G$24+$H$24*'Advanced Outputs'!C$60^$I$24)*$J$24*EXP(-(($L$24*($B371-$M$24))^$K$24))+($G$25+$H$25*'Advanced Outputs'!C$60^$I$25)*$J$25*EXP(-(($L$25*($B371-$M$25))^$K$25))+$G$26))</f>
        <v>0.838707372553594</v>
      </c>
      <c r="E371" s="21">
        <f t="shared" si="5"/>
        <v>0.979575696605034</v>
      </c>
      <c r="F371" s="12"/>
      <c r="G371" s="9"/>
      <c r="H371" s="9"/>
      <c r="I371" s="9"/>
      <c r="J371" s="9"/>
      <c r="K371" s="9"/>
      <c r="L371" s="9"/>
      <c r="M371" s="9"/>
    </row>
    <row r="372" hidden="1" spans="1:13">
      <c r="A372" s="4"/>
      <c r="B372" s="4">
        <v>731</v>
      </c>
      <c r="C372" s="21">
        <f>10^(-(($G$21+$H$21*'Advanced Outputs'!C$61^$I$21)*(($B372/$M$21)^-$K$21)+($G$22+$H$22*'Advanced Outputs'!C$61^$I$22)*$J$22*EXP(-(($L$22*($B372-$M$22))^$K$22))+($G$23+$H$23*'Advanced Outputs'!C$61^$I$23)*$J$23*EXP(-(($L$23*($B372-$M$23))^$K$23))+($G$24+$H$24*'Advanced Outputs'!C$61^$I$24)*$J$24*EXP(-(($L$24*($B372-$M$24))^$K$24))+($G$25+$H$25*'Advanced Outputs'!C$61^$I$25)*$J$25*EXP(-(($L$25*($B372-$M$25))^$K$25))+$G$26))</f>
        <v>0.821841224462757</v>
      </c>
      <c r="D372" s="21">
        <f>10^(-(($G$21+$H$21*'Advanced Outputs'!C$60^$I$21)*(($B372/$M$21)^-$K$21)+($G$22+$H$22*'Advanced Outputs'!C$60^$I$22)*$J$22*EXP(-(($L$22*($B372-$M$22))^$K$22))+($G$23+$H$23*'Advanced Outputs'!C$60^$I$23)*$J$23*EXP(-(($L$23*($B372-$M$23))^$K$23))+($G$24+$H$24*'Advanced Outputs'!C$60^$I$24)*$J$24*EXP(-(($L$24*($B372-$M$24))^$K$24))+($G$25+$H$25*'Advanced Outputs'!C$60^$I$25)*$J$25*EXP(-(($L$25*($B372-$M$25))^$K$25))+$G$26))</f>
        <v>0.838880750383508</v>
      </c>
      <c r="E372" s="21">
        <f t="shared" si="5"/>
        <v>0.979687785286573</v>
      </c>
      <c r="F372" s="12"/>
      <c r="G372" s="9"/>
      <c r="H372" s="9"/>
      <c r="I372" s="9"/>
      <c r="J372" s="9"/>
      <c r="K372" s="9"/>
      <c r="L372" s="9"/>
      <c r="M372" s="9"/>
    </row>
    <row r="373" hidden="1" spans="1:13">
      <c r="A373" s="4"/>
      <c r="B373" s="4">
        <v>732</v>
      </c>
      <c r="C373" s="21">
        <f>10^(-(($G$21+$H$21*'Advanced Outputs'!C$61^$I$21)*(($B373/$M$21)^-$K$21)+($G$22+$H$22*'Advanced Outputs'!C$61^$I$22)*$J$22*EXP(-(($L$22*($B373-$M$22))^$K$22))+($G$23+$H$23*'Advanced Outputs'!C$61^$I$23)*$J$23*EXP(-(($L$23*($B373-$M$23))^$K$23))+($G$24+$H$24*'Advanced Outputs'!C$61^$I$24)*$J$24*EXP(-(($L$24*($B373-$M$24))^$K$24))+($G$25+$H$25*'Advanced Outputs'!C$61^$I$25)*$J$25*EXP(-(($L$25*($B373-$M$25))^$K$25))+$G$26))</f>
        <v>0.822103285478177</v>
      </c>
      <c r="D373" s="21">
        <f>10^(-(($G$21+$H$21*'Advanced Outputs'!C$60^$I$21)*(($B373/$M$21)^-$K$21)+($G$22+$H$22*'Advanced Outputs'!C$60^$I$22)*$J$22*EXP(-(($L$22*($B373-$M$22))^$K$22))+($G$23+$H$23*'Advanced Outputs'!C$60^$I$23)*$J$23*EXP(-(($L$23*($B373-$M$23))^$K$23))+($G$24+$H$24*'Advanced Outputs'!C$60^$I$24)*$J$24*EXP(-(($L$24*($B373-$M$24))^$K$24))+($G$25+$H$25*'Advanced Outputs'!C$60^$I$25)*$J$25*EXP(-(($L$25*($B373-$M$25))^$K$25))+$G$26))</f>
        <v>0.839052957651162</v>
      </c>
      <c r="E373" s="21">
        <f t="shared" si="5"/>
        <v>0.979799043649838</v>
      </c>
      <c r="F373" s="12"/>
      <c r="G373" s="9"/>
      <c r="H373" s="9"/>
      <c r="I373" s="9"/>
      <c r="J373" s="9"/>
      <c r="K373" s="9"/>
      <c r="L373" s="9"/>
      <c r="M373" s="9"/>
    </row>
    <row r="374" hidden="1" spans="1:13">
      <c r="A374" s="4"/>
      <c r="B374" s="4">
        <v>733</v>
      </c>
      <c r="C374" s="21">
        <f>10^(-(($G$21+$H$21*'Advanced Outputs'!C$61^$I$21)*(($B374/$M$21)^-$K$21)+($G$22+$H$22*'Advanced Outputs'!C$61^$I$22)*$J$22*EXP(-(($L$22*($B374-$M$22))^$K$22))+($G$23+$H$23*'Advanced Outputs'!C$61^$I$23)*$J$23*EXP(-(($L$23*($B374-$M$23))^$K$23))+($G$24+$H$24*'Advanced Outputs'!C$61^$I$24)*$J$24*EXP(-(($L$24*($B374-$M$24))^$K$24))+($G$25+$H$25*'Advanced Outputs'!C$61^$I$25)*$J$25*EXP(-(($L$25*($B374-$M$25))^$K$25))+$G$26))</f>
        <v>0.822363559363023</v>
      </c>
      <c r="D374" s="21">
        <f>10^(-(($G$21+$H$21*'Advanced Outputs'!C$60^$I$21)*(($B374/$M$21)^-$K$21)+($G$22+$H$22*'Advanced Outputs'!C$60^$I$22)*$J$22*EXP(-(($L$22*($B374-$M$22))^$K$22))+($G$23+$H$23*'Advanced Outputs'!C$60^$I$23)*$J$23*EXP(-(($L$23*($B374-$M$23))^$K$23))+($G$24+$H$24*'Advanced Outputs'!C$60^$I$24)*$J$24*EXP(-(($L$24*($B374-$M$24))^$K$24))+($G$25+$H$25*'Advanced Outputs'!C$60^$I$25)*$J$25*EXP(-(($L$25*($B374-$M$25))^$K$25))+$G$26))</f>
        <v>0.839224004537454</v>
      </c>
      <c r="E374" s="21">
        <f t="shared" si="5"/>
        <v>0.979909481755442</v>
      </c>
      <c r="F374" s="12"/>
      <c r="G374" s="9"/>
      <c r="H374" s="9"/>
      <c r="I374" s="9"/>
      <c r="J374" s="9"/>
      <c r="K374" s="9"/>
      <c r="L374" s="9"/>
      <c r="M374" s="9"/>
    </row>
    <row r="375" hidden="1" spans="1:13">
      <c r="A375" s="4"/>
      <c r="B375" s="4">
        <v>734</v>
      </c>
      <c r="C375" s="21">
        <f>10^(-(($G$21+$H$21*'Advanced Outputs'!C$61^$I$21)*(($B375/$M$21)^-$K$21)+($G$22+$H$22*'Advanced Outputs'!C$61^$I$22)*$J$22*EXP(-(($L$22*($B375-$M$22))^$K$22))+($G$23+$H$23*'Advanced Outputs'!C$61^$I$23)*$J$23*EXP(-(($L$23*($B375-$M$23))^$K$23))+($G$24+$H$24*'Advanced Outputs'!C$61^$I$24)*$J$24*EXP(-(($L$24*($B375-$M$24))^$K$24))+($G$25+$H$25*'Advanced Outputs'!C$61^$I$25)*$J$25*EXP(-(($L$25*($B375-$M$25))^$K$25))+$G$26))</f>
        <v>0.822622063408384</v>
      </c>
      <c r="D375" s="21">
        <f>10^(-(($G$21+$H$21*'Advanced Outputs'!C$60^$I$21)*(($B375/$M$21)^-$K$21)+($G$22+$H$22*'Advanced Outputs'!C$60^$I$22)*$J$22*EXP(-(($L$22*($B375-$M$22))^$K$22))+($G$23+$H$23*'Advanced Outputs'!C$60^$I$23)*$J$23*EXP(-(($L$23*($B375-$M$23))^$K$23))+($G$24+$H$24*'Advanced Outputs'!C$60^$I$24)*$J$24*EXP(-(($L$24*($B375-$M$24))^$K$24))+($G$25+$H$25*'Advanced Outputs'!C$60^$I$25)*$J$25*EXP(-(($L$25*($B375-$M$25))^$K$25))+$G$26))</f>
        <v>0.839393901089962</v>
      </c>
      <c r="E375" s="21">
        <f t="shared" si="5"/>
        <v>0.98001910943146</v>
      </c>
      <c r="F375" s="12"/>
      <c r="G375" s="9"/>
      <c r="H375" s="9"/>
      <c r="I375" s="9"/>
      <c r="J375" s="9"/>
      <c r="K375" s="9"/>
      <c r="L375" s="9"/>
      <c r="M375" s="9"/>
    </row>
    <row r="376" hidden="1" spans="1:13">
      <c r="A376" s="4"/>
      <c r="B376" s="4">
        <v>735</v>
      </c>
      <c r="C376" s="21">
        <f>10^(-(($G$21+$H$21*'Advanced Outputs'!C$61^$I$21)*(($B376/$M$21)^-$K$21)+($G$22+$H$22*'Advanced Outputs'!C$61^$I$22)*$J$22*EXP(-(($L$22*($B376-$M$22))^$K$22))+($G$23+$H$23*'Advanced Outputs'!C$61^$I$23)*$J$23*EXP(-(($L$23*($B376-$M$23))^$K$23))+($G$24+$H$24*'Advanced Outputs'!C$61^$I$24)*$J$24*EXP(-(($L$24*($B376-$M$24))^$K$24))+($G$25+$H$25*'Advanced Outputs'!C$61^$I$25)*$J$25*EXP(-(($L$25*($B376-$M$25))^$K$25))+$G$26))</f>
        <v>0.822878814605396</v>
      </c>
      <c r="D376" s="21">
        <f>10^(-(($G$21+$H$21*'Advanced Outputs'!C$60^$I$21)*(($B376/$M$21)^-$K$21)+($G$22+$H$22*'Advanced Outputs'!C$60^$I$22)*$J$22*EXP(-(($L$22*($B376-$M$22))^$K$22))+($G$23+$H$23*'Advanced Outputs'!C$60^$I$23)*$J$23*EXP(-(($L$23*($B376-$M$23))^$K$23))+($G$24+$H$24*'Advanced Outputs'!C$60^$I$24)*$J$24*EXP(-(($L$24*($B376-$M$24))^$K$24))+($G$25+$H$25*'Advanced Outputs'!C$60^$I$25)*$J$25*EXP(-(($L$25*($B376-$M$25))^$K$25))+$G$26))</f>
        <v>0.839562657225852</v>
      </c>
      <c r="E376" s="21">
        <f t="shared" si="5"/>
        <v>0.980127936281034</v>
      </c>
      <c r="F376" s="12"/>
      <c r="G376" s="9"/>
      <c r="H376" s="9"/>
      <c r="I376" s="9"/>
      <c r="J376" s="9"/>
      <c r="K376" s="9"/>
      <c r="L376" s="9"/>
      <c r="M376" s="9"/>
    </row>
    <row r="377" hidden="1" spans="1:13">
      <c r="A377" s="4"/>
      <c r="B377" s="4">
        <v>736</v>
      </c>
      <c r="C377" s="21">
        <f>10^(-(($G$21+$H$21*'Advanced Outputs'!C$61^$I$21)*(($B377/$M$21)^-$K$21)+($G$22+$H$22*'Advanced Outputs'!C$61^$I$22)*$J$22*EXP(-(($L$22*($B377-$M$22))^$K$22))+($G$23+$H$23*'Advanced Outputs'!C$61^$I$23)*$J$23*EXP(-(($L$23*($B377-$M$23))^$K$23))+($G$24+$H$24*'Advanced Outputs'!C$61^$I$24)*$J$24*EXP(-(($L$24*($B377-$M$24))^$K$24))+($G$25+$H$25*'Advanced Outputs'!C$61^$I$25)*$J$25*EXP(-(($L$25*($B377-$M$25))^$K$25))+$G$26))</f>
        <v>0.823133829653725</v>
      </c>
      <c r="D377" s="21">
        <f>10^(-(($G$21+$H$21*'Advanced Outputs'!C$60^$I$21)*(($B377/$M$21)^-$K$21)+($G$22+$H$22*'Advanced Outputs'!C$60^$I$22)*$J$22*EXP(-(($L$22*($B377-$M$22))^$K$22))+($G$23+$H$23*'Advanced Outputs'!C$60^$I$23)*$J$23*EXP(-(($L$23*($B377-$M$23))^$K$23))+($G$24+$H$24*'Advanced Outputs'!C$60^$I$24)*$J$24*EXP(-(($L$24*($B377-$M$24))^$K$24))+($G$25+$H$25*'Advanced Outputs'!C$60^$I$25)*$J$25*EXP(-(($L$25*($B377-$M$25))^$K$25))+$G$26))</f>
        <v>0.839730282734694</v>
      </c>
      <c r="E377" s="21">
        <f t="shared" si="5"/>
        <v>0.980235971689719</v>
      </c>
      <c r="F377" s="12"/>
      <c r="G377" s="9"/>
      <c r="H377" s="9"/>
      <c r="I377" s="9"/>
      <c r="J377" s="9"/>
      <c r="K377" s="9"/>
      <c r="L377" s="9"/>
      <c r="M377" s="9"/>
    </row>
    <row r="378" hidden="1" spans="1:13">
      <c r="A378" s="4"/>
      <c r="B378" s="4">
        <v>737</v>
      </c>
      <c r="C378" s="21">
        <f>10^(-(($G$21+$H$21*'Advanced Outputs'!C$61^$I$21)*(($B378/$M$21)^-$K$21)+($G$22+$H$22*'Advanced Outputs'!C$61^$I$22)*$J$22*EXP(-(($L$22*($B378-$M$22))^$K$22))+($G$23+$H$23*'Advanced Outputs'!C$61^$I$23)*$J$23*EXP(-(($L$23*($B378-$M$23))^$K$23))+($G$24+$H$24*'Advanced Outputs'!C$61^$I$24)*$J$24*EXP(-(($L$24*($B378-$M$24))^$K$24))+($G$25+$H$25*'Advanced Outputs'!C$61^$I$25)*$J$25*EXP(-(($L$25*($B378-$M$25))^$K$25))+$G$26))</f>
        <v>0.823387124969775</v>
      </c>
      <c r="D378" s="21">
        <f>10^(-(($G$21+$H$21*'Advanced Outputs'!C$60^$I$21)*(($B378/$M$21)^-$K$21)+($G$22+$H$22*'Advanced Outputs'!C$60^$I$22)*$J$22*EXP(-(($L$22*($B378-$M$22))^$K$22))+($G$23+$H$23*'Advanced Outputs'!C$60^$I$23)*$J$23*EXP(-(($L$23*($B378-$M$23))^$K$23))+($G$24+$H$24*'Advanced Outputs'!C$60^$I$24)*$J$24*EXP(-(($L$24*($B378-$M$24))^$K$24))+($G$25+$H$25*'Advanced Outputs'!C$60^$I$25)*$J$25*EXP(-(($L$25*($B378-$M$25))^$K$25))+$G$26))</f>
        <v>0.839896787281207</v>
      </c>
      <c r="E378" s="21">
        <f t="shared" si="5"/>
        <v>0.980343224832572</v>
      </c>
      <c r="F378" s="12"/>
      <c r="G378" s="9"/>
      <c r="H378" s="9"/>
      <c r="I378" s="9"/>
      <c r="J378" s="9"/>
      <c r="K378" s="9"/>
      <c r="L378" s="9"/>
      <c r="M378" s="9"/>
    </row>
    <row r="379" hidden="1" spans="1:13">
      <c r="A379" s="4"/>
      <c r="B379" s="4">
        <v>738</v>
      </c>
      <c r="C379" s="21">
        <f>10^(-(($G$21+$H$21*'Advanced Outputs'!C$61^$I$21)*(($B379/$M$21)^-$K$21)+($G$22+$H$22*'Advanced Outputs'!C$61^$I$22)*$J$22*EXP(-(($L$22*($B379-$M$22))^$K$22))+($G$23+$H$23*'Advanced Outputs'!C$61^$I$23)*$J$23*EXP(-(($L$23*($B379-$M$23))^$K$23))+($G$24+$H$24*'Advanced Outputs'!C$61^$I$24)*$J$24*EXP(-(($L$24*($B379-$M$24))^$K$24))+($G$25+$H$25*'Advanced Outputs'!C$61^$I$25)*$J$25*EXP(-(($L$25*($B379-$M$25))^$K$25))+$G$26))</f>
        <v>0.823638716694626</v>
      </c>
      <c r="D379" s="21">
        <f>10^(-(($G$21+$H$21*'Advanced Outputs'!C$60^$I$21)*(($B379/$M$21)^-$K$21)+($G$22+$H$22*'Advanced Outputs'!C$60^$I$22)*$J$22*EXP(-(($L$22*($B379-$M$22))^$K$22))+($G$23+$H$23*'Advanced Outputs'!C$60^$I$23)*$J$23*EXP(-(($L$23*($B379-$M$23))^$K$23))+($G$24+$H$24*'Advanced Outputs'!C$60^$I$24)*$J$24*EXP(-(($L$24*($B379-$M$24))^$K$24))+($G$25+$H$25*'Advanced Outputs'!C$60^$I$25)*$J$25*EXP(-(($L$25*($B379-$M$25))^$K$25))+$G$26))</f>
        <v>0.840062180407915</v>
      </c>
      <c r="E379" s="21">
        <f t="shared" si="5"/>
        <v>0.98044970468101</v>
      </c>
      <c r="F379" s="12"/>
      <c r="G379" s="9"/>
      <c r="H379" s="9"/>
      <c r="I379" s="9"/>
      <c r="J379" s="9"/>
      <c r="K379" s="9"/>
      <c r="L379" s="9"/>
      <c r="M379" s="9"/>
    </row>
    <row r="380" hidden="1" spans="1:13">
      <c r="A380" s="4"/>
      <c r="B380" s="4">
        <v>739</v>
      </c>
      <c r="C380" s="21">
        <f>10^(-(($G$21+$H$21*'Advanced Outputs'!C$61^$I$21)*(($B380/$M$21)^-$K$21)+($G$22+$H$22*'Advanced Outputs'!C$61^$I$22)*$J$22*EXP(-(($L$22*($B380-$M$22))^$K$22))+($G$23+$H$23*'Advanced Outputs'!C$61^$I$23)*$J$23*EXP(-(($L$23*($B380-$M$23))^$K$23))+($G$24+$H$24*'Advanced Outputs'!C$61^$I$24)*$J$24*EXP(-(($L$24*($B380-$M$24))^$K$24))+($G$25+$H$25*'Advanced Outputs'!C$61^$I$25)*$J$25*EXP(-(($L$25*($B380-$M$25))^$K$25))+$G$26))</f>
        <v>0.823888620701731</v>
      </c>
      <c r="D380" s="21">
        <f>10^(-(($G$21+$H$21*'Advanced Outputs'!C$60^$I$21)*(($B380/$M$21)^-$K$21)+($G$22+$H$22*'Advanced Outputs'!C$60^$I$22)*$J$22*EXP(-(($L$22*($B380-$M$22))^$K$22))+($G$23+$H$23*'Advanced Outputs'!C$60^$I$23)*$J$23*EXP(-(($L$23*($B380-$M$23))^$K$23))+($G$24+$H$24*'Advanced Outputs'!C$60^$I$24)*$J$24*EXP(-(($L$24*($B380-$M$24))^$K$24))+($G$25+$H$25*'Advanced Outputs'!C$60^$I$25)*$J$25*EXP(-(($L$25*($B380-$M$25))^$K$25))+$G$26))</f>
        <v>0.840226471537738</v>
      </c>
      <c r="E380" s="21">
        <f t="shared" si="5"/>
        <v>0.980555420009434</v>
      </c>
      <c r="F380" s="12"/>
      <c r="G380" s="9"/>
      <c r="H380" s="9"/>
      <c r="I380" s="9"/>
      <c r="J380" s="9"/>
      <c r="K380" s="9"/>
      <c r="L380" s="9"/>
      <c r="M380" s="9"/>
    </row>
    <row r="381" hidden="1" spans="1:13">
      <c r="A381" s="4"/>
      <c r="B381" s="4">
        <v>740</v>
      </c>
      <c r="C381" s="21">
        <f>10^(-(($G$21+$H$21*'Advanced Outputs'!C$61^$I$21)*(($B381/$M$21)^-$K$21)+($G$22+$H$22*'Advanced Outputs'!C$61^$I$22)*$J$22*EXP(-(($L$22*($B381-$M$22))^$K$22))+($G$23+$H$23*'Advanced Outputs'!C$61^$I$23)*$J$23*EXP(-(($L$23*($B381-$M$23))^$K$23))+($G$24+$H$24*'Advanced Outputs'!C$61^$I$24)*$J$24*EXP(-(($L$24*($B381-$M$24))^$K$24))+($G$25+$H$25*'Advanced Outputs'!C$61^$I$25)*$J$25*EXP(-(($L$25*($B381-$M$25))^$K$25))+$G$26))</f>
        <v>0.824136852604353</v>
      </c>
      <c r="D381" s="21">
        <f>10^(-(($G$21+$H$21*'Advanced Outputs'!C$60^$I$21)*(($B381/$M$21)^-$K$21)+($G$22+$H$22*'Advanced Outputs'!C$60^$I$22)*$J$22*EXP(-(($L$22*($B381-$M$22))^$K$22))+($G$23+$H$23*'Advanced Outputs'!C$60^$I$23)*$J$23*EXP(-(($L$23*($B381-$M$23))^$K$23))+($G$24+$H$24*'Advanced Outputs'!C$60^$I$24)*$J$24*EXP(-(($L$24*($B381-$M$24))^$K$24))+($G$25+$H$25*'Advanced Outputs'!C$60^$I$25)*$J$25*EXP(-(($L$25*($B381-$M$25))^$K$25))+$G$26))</f>
        <v>0.8403896699765</v>
      </c>
      <c r="E381" s="21">
        <f t="shared" si="5"/>
        <v>0.980660379401615</v>
      </c>
      <c r="F381" s="12"/>
      <c r="G381" s="9"/>
      <c r="H381" s="9"/>
      <c r="I381" s="9"/>
      <c r="J381" s="9"/>
      <c r="K381" s="9"/>
      <c r="L381" s="9"/>
      <c r="M381" s="9"/>
    </row>
    <row r="382" hidden="1" spans="1:13">
      <c r="A382" s="4"/>
      <c r="B382" s="4">
        <v>741</v>
      </c>
      <c r="C382" s="21">
        <f>10^(-(($G$21+$H$21*'Advanced Outputs'!C$61^$I$21)*(($B382/$M$21)^-$K$21)+($G$22+$H$22*'Advanced Outputs'!C$61^$I$22)*$J$22*EXP(-(($L$22*($B382-$M$22))^$K$22))+($G$23+$H$23*'Advanced Outputs'!C$61^$I$23)*$J$23*EXP(-(($L$23*($B382-$M$23))^$K$23))+($G$24+$H$24*'Advanced Outputs'!C$61^$I$24)*$J$24*EXP(-(($L$24*($B382-$M$24))^$K$24))+($G$25+$H$25*'Advanced Outputs'!C$61^$I$25)*$J$25*EXP(-(($L$25*($B382-$M$25))^$K$25))+$G$26))</f>
        <v>0.824383427762762</v>
      </c>
      <c r="D382" s="21">
        <f>10^(-(($G$21+$H$21*'Advanced Outputs'!C$60^$I$21)*(($B382/$M$21)^-$K$21)+($G$22+$H$22*'Advanced Outputs'!C$60^$I$22)*$J$22*EXP(-(($L$22*($B382-$M$22))^$K$22))+($G$23+$H$23*'Advanced Outputs'!C$60^$I$23)*$J$23*EXP(-(($L$23*($B382-$M$23))^$K$23))+($G$24+$H$24*'Advanced Outputs'!C$60^$I$24)*$J$24*EXP(-(($L$24*($B382-$M$24))^$K$24))+($G$25+$H$25*'Advanced Outputs'!C$60^$I$25)*$J$25*EXP(-(($L$25*($B382-$M$25))^$K$25))+$G$26))</f>
        <v>0.84055178491537</v>
      </c>
      <c r="E382" s="21">
        <f t="shared" si="5"/>
        <v>0.980764591256879</v>
      </c>
      <c r="F382" s="12"/>
      <c r="G382" s="9"/>
      <c r="H382" s="9"/>
      <c r="I382" s="9"/>
      <c r="J382" s="9"/>
      <c r="K382" s="9"/>
      <c r="L382" s="9"/>
      <c r="M382" s="9"/>
    </row>
    <row r="383" hidden="1" spans="1:13">
      <c r="A383" s="4"/>
      <c r="B383" s="4">
        <v>742</v>
      </c>
      <c r="C383" s="21">
        <f>10^(-(($G$21+$H$21*'Advanced Outputs'!C$61^$I$21)*(($B383/$M$21)^-$K$21)+($G$22+$H$22*'Advanced Outputs'!C$61^$I$22)*$J$22*EXP(-(($L$22*($B383-$M$22))^$K$22))+($G$23+$H$23*'Advanced Outputs'!C$61^$I$23)*$J$23*EXP(-(($L$23*($B383-$M$23))^$K$23))+($G$24+$H$24*'Advanced Outputs'!C$61^$I$24)*$J$24*EXP(-(($L$24*($B383-$M$24))^$K$24))+($G$25+$H$25*'Advanced Outputs'!C$61^$I$25)*$J$25*EXP(-(($L$25*($B383-$M$25))^$K$25))+$G$26))</f>
        <v>0.824628361291209</v>
      </c>
      <c r="D383" s="21">
        <f>10^(-(($G$21+$H$21*'Advanced Outputs'!C$60^$I$21)*(($B383/$M$21)^-$K$21)+($G$22+$H$22*'Advanced Outputs'!C$60^$I$22)*$J$22*EXP(-(($L$22*($B383-$M$22))^$K$22))+($G$23+$H$23*'Advanced Outputs'!C$60^$I$23)*$J$23*EXP(-(($L$23*($B383-$M$23))^$K$23))+($G$24+$H$24*'Advanced Outputs'!C$60^$I$24)*$J$24*EXP(-(($L$24*($B383-$M$24))^$K$24))+($G$25+$H$25*'Advanced Outputs'!C$60^$I$25)*$J$25*EXP(-(($L$25*($B383-$M$25))^$K$25))+$G$26))</f>
        <v>0.84071282543323</v>
      </c>
      <c r="E383" s="21">
        <f t="shared" si="5"/>
        <v>0.980868063796062</v>
      </c>
      <c r="F383" s="12"/>
      <c r="G383" s="9"/>
      <c r="H383" s="9"/>
      <c r="I383" s="9"/>
      <c r="J383" s="9"/>
      <c r="K383" s="9"/>
      <c r="L383" s="9"/>
      <c r="M383" s="9"/>
    </row>
    <row r="384" hidden="1" spans="1:13">
      <c r="A384" s="4"/>
      <c r="B384" s="4">
        <v>743</v>
      </c>
      <c r="C384" s="21">
        <f>10^(-(($G$21+$H$21*'Advanced Outputs'!C$61^$I$21)*(($B384/$M$21)^-$K$21)+($G$22+$H$22*'Advanced Outputs'!C$61^$I$22)*$J$22*EXP(-(($L$22*($B384-$M$22))^$K$22))+($G$23+$H$23*'Advanced Outputs'!C$61^$I$23)*$J$23*EXP(-(($L$23*($B384-$M$23))^$K$23))+($G$24+$H$24*'Advanced Outputs'!C$61^$I$24)*$J$24*EXP(-(($L$24*($B384-$M$24))^$K$24))+($G$25+$H$25*'Advanced Outputs'!C$61^$I$25)*$J$25*EXP(-(($L$25*($B384-$M$25))^$K$25))+$G$26))</f>
        <v>0.824871668064656</v>
      </c>
      <c r="D384" s="21">
        <f>10^(-(($G$21+$H$21*'Advanced Outputs'!C$60^$I$21)*(($B384/$M$21)^-$K$21)+($G$22+$H$22*'Advanced Outputs'!C$60^$I$22)*$J$22*EXP(-(($L$22*($B384-$M$22))^$K$22))+($G$23+$H$23*'Advanced Outputs'!C$60^$I$23)*$J$23*EXP(-(($L$23*($B384-$M$23))^$K$23))+($G$24+$H$24*'Advanced Outputs'!C$60^$I$24)*$J$24*EXP(-(($L$24*($B384-$M$24))^$K$24))+($G$25+$H$25*'Advanced Outputs'!C$60^$I$25)*$J$25*EXP(-(($L$25*($B384-$M$25))^$K$25))+$G$26))</f>
        <v>0.840872800498982</v>
      </c>
      <c r="E384" s="21">
        <f t="shared" si="5"/>
        <v>0.98097080506727</v>
      </c>
      <c r="F384" s="12"/>
      <c r="G384" s="9"/>
      <c r="H384" s="9"/>
      <c r="I384" s="9"/>
      <c r="J384" s="9"/>
      <c r="K384" s="9"/>
      <c r="L384" s="9"/>
      <c r="M384" s="9"/>
    </row>
    <row r="385" hidden="1" spans="1:13">
      <c r="A385" s="4"/>
      <c r="B385" s="4">
        <v>744</v>
      </c>
      <c r="C385" s="21">
        <f>10^(-(($G$21+$H$21*'Advanced Outputs'!C$61^$I$21)*(($B385/$M$21)^-$K$21)+($G$22+$H$22*'Advanced Outputs'!C$61^$I$22)*$J$22*EXP(-(($L$22*($B385-$M$22))^$K$22))+($G$23+$H$23*'Advanced Outputs'!C$61^$I$23)*$J$23*EXP(-(($L$23*($B385-$M$23))^$K$23))+($G$24+$H$24*'Advanced Outputs'!C$61^$I$24)*$J$24*EXP(-(($L$24*($B385-$M$24))^$K$24))+($G$25+$H$25*'Advanced Outputs'!C$61^$I$25)*$J$25*EXP(-(($L$25*($B385-$M$25))^$K$25))+$G$26))</f>
        <v>0.825113362725302</v>
      </c>
      <c r="D385" s="21">
        <f>10^(-(($G$21+$H$21*'Advanced Outputs'!C$60^$I$21)*(($B385/$M$21)^-$K$21)+($G$22+$H$22*'Advanced Outputs'!C$60^$I$22)*$J$22*EXP(-(($L$22*($B385-$M$22))^$K$22))+($G$23+$H$23*'Advanced Outputs'!C$60^$I$23)*$J$23*EXP(-(($L$23*($B385-$M$23))^$K$23))+($G$24+$H$24*'Advanced Outputs'!C$60^$I$24)*$J$24*EXP(-(($L$24*($B385-$M$24))^$K$24))+($G$25+$H$25*'Advanced Outputs'!C$60^$I$25)*$J$25*EXP(-(($L$25*($B385-$M$25))^$K$25))+$G$26))</f>
        <v>0.841031718973778</v>
      </c>
      <c r="E385" s="21">
        <f t="shared" si="5"/>
        <v>0.981072822951434</v>
      </c>
      <c r="F385" s="12"/>
      <c r="G385" s="9"/>
      <c r="H385" s="9"/>
      <c r="I385" s="9"/>
      <c r="J385" s="9"/>
      <c r="K385" s="9"/>
      <c r="L385" s="9"/>
      <c r="M385" s="9"/>
    </row>
    <row r="386" hidden="1" spans="1:13">
      <c r="A386" s="4"/>
      <c r="B386" s="4">
        <v>745</v>
      </c>
      <c r="C386" s="21">
        <f>10^(-(($G$21+$H$21*'Advanced Outputs'!C$61^$I$21)*(($B386/$M$21)^-$K$21)+($G$22+$H$22*'Advanced Outputs'!C$61^$I$22)*$J$22*EXP(-(($L$22*($B386-$M$22))^$K$22))+($G$23+$H$23*'Advanced Outputs'!C$61^$I$23)*$J$23*EXP(-(($L$23*($B386-$M$23))^$K$23))+($G$24+$H$24*'Advanced Outputs'!C$61^$I$24)*$J$24*EXP(-(($L$24*($B386-$M$24))^$K$24))+($G$25+$H$25*'Advanced Outputs'!C$61^$I$25)*$J$25*EXP(-(($L$25*($B386-$M$25))^$K$25))+$G$26))</f>
        <v>0.825353459688886</v>
      </c>
      <c r="D386" s="21">
        <f>10^(-(($G$21+$H$21*'Advanced Outputs'!C$60^$I$21)*(($B386/$M$21)^-$K$21)+($G$22+$H$22*'Advanced Outputs'!C$60^$I$22)*$J$22*EXP(-(($L$22*($B386-$M$22))^$K$22))+($G$23+$H$23*'Advanced Outputs'!C$60^$I$23)*$J$23*EXP(-(($L$23*($B386-$M$23))^$K$23))+($G$24+$H$24*'Advanced Outputs'!C$60^$I$24)*$J$24*EXP(-(($L$24*($B386-$M$24))^$K$24))+($G$25+$H$25*'Advanced Outputs'!C$60^$I$25)*$J$25*EXP(-(($L$25*($B386-$M$25))^$K$25))+$G$26))</f>
        <v>0.841189589613198</v>
      </c>
      <c r="E386" s="21">
        <f t="shared" si="5"/>
        <v>0.981174125167677</v>
      </c>
      <c r="F386" s="12"/>
      <c r="G386" s="9"/>
      <c r="H386" s="9"/>
      <c r="I386" s="9"/>
      <c r="J386" s="9"/>
      <c r="K386" s="9"/>
      <c r="L386" s="9"/>
      <c r="M386" s="9"/>
    </row>
    <row r="387" hidden="1" spans="1:13">
      <c r="A387" s="4"/>
      <c r="B387" s="4">
        <v>746</v>
      </c>
      <c r="C387" s="21">
        <f>10^(-(($G$21+$H$21*'Advanced Outputs'!C$61^$I$21)*(($B387/$M$21)^-$K$21)+($G$22+$H$22*'Advanced Outputs'!C$61^$I$22)*$J$22*EXP(-(($L$22*($B387-$M$22))^$K$22))+($G$23+$H$23*'Advanced Outputs'!C$61^$I$23)*$J$23*EXP(-(($L$23*($B387-$M$23))^$K$23))+($G$24+$H$24*'Advanced Outputs'!C$61^$I$24)*$J$24*EXP(-(($L$24*($B387-$M$24))^$K$24))+($G$25+$H$25*'Advanced Outputs'!C$61^$I$25)*$J$25*EXP(-(($L$25*($B387-$M$25))^$K$25))+$G$26))</f>
        <v>0.825591973150788</v>
      </c>
      <c r="D387" s="21">
        <f>10^(-(($G$21+$H$21*'Advanced Outputs'!C$60^$I$21)*(($B387/$M$21)^-$K$21)+($G$22+$H$22*'Advanced Outputs'!C$60^$I$22)*$J$22*EXP(-(($L$22*($B387-$M$22))^$K$22))+($G$23+$H$23*'Advanced Outputs'!C$60^$I$23)*$J$23*EXP(-(($L$23*($B387-$M$23))^$K$23))+($G$24+$H$24*'Advanced Outputs'!C$60^$I$24)*$J$24*EXP(-(($L$24*($B387-$M$24))^$K$24))+($G$25+$H$25*'Advanced Outputs'!C$60^$I$25)*$J$25*EXP(-(($L$25*($B387-$M$25))^$K$25))+$G$26))</f>
        <v>0.841346421069354</v>
      </c>
      <c r="E387" s="21">
        <f t="shared" si="5"/>
        <v>0.981274719278484</v>
      </c>
      <c r="F387" s="12"/>
      <c r="G387" s="9"/>
      <c r="H387" s="9"/>
      <c r="I387" s="9"/>
      <c r="J387" s="9"/>
      <c r="K387" s="9"/>
      <c r="L387" s="9"/>
      <c r="M387" s="9"/>
    </row>
    <row r="388" hidden="1" spans="1:13">
      <c r="A388" s="4"/>
      <c r="B388" s="4">
        <v>747</v>
      </c>
      <c r="C388" s="21">
        <f>10^(-(($G$21+$H$21*'Advanced Outputs'!C$61^$I$21)*(($B388/$M$21)^-$K$21)+($G$22+$H$22*'Advanced Outputs'!C$61^$I$22)*$J$22*EXP(-(($L$22*($B388-$M$22))^$K$22))+($G$23+$H$23*'Advanced Outputs'!C$61^$I$23)*$J$23*EXP(-(($L$23*($B388-$M$23))^$K$23))+($G$24+$H$24*'Advanced Outputs'!C$61^$I$24)*$J$24*EXP(-(($L$24*($B388-$M$24))^$K$24))+($G$25+$H$25*'Advanced Outputs'!C$61^$I$25)*$J$25*EXP(-(($L$25*($B388-$M$25))^$K$25))+$G$26))</f>
        <v>0.825828917091925</v>
      </c>
      <c r="D388" s="21">
        <f>10^(-(($G$21+$H$21*'Advanced Outputs'!C$60^$I$21)*(($B388/$M$21)^-$K$21)+($G$22+$H$22*'Advanced Outputs'!C$60^$I$22)*$J$22*EXP(-(($L$22*($B388-$M$22))^$K$22))+($G$23+$H$23*'Advanced Outputs'!C$60^$I$23)*$J$23*EXP(-(($L$23*($B388-$M$23))^$K$23))+($G$24+$H$24*'Advanced Outputs'!C$60^$I$24)*$J$24*EXP(-(($L$24*($B388-$M$24))^$K$24))+($G$25+$H$25*'Advanced Outputs'!C$60^$I$25)*$J$25*EXP(-(($L$25*($B388-$M$25))^$K$25))+$G$26))</f>
        <v>0.841502221892948</v>
      </c>
      <c r="E388" s="21">
        <f t="shared" si="5"/>
        <v>0.981374612694703</v>
      </c>
      <c r="F388" s="12"/>
      <c r="G388" s="9"/>
      <c r="H388" s="9"/>
      <c r="I388" s="9"/>
      <c r="J388" s="9"/>
      <c r="K388" s="9"/>
      <c r="L388" s="9"/>
      <c r="M388" s="9"/>
    </row>
    <row r="389" hidden="1" spans="1:13">
      <c r="A389" s="4"/>
      <c r="B389" s="4">
        <v>748</v>
      </c>
      <c r="C389" s="21">
        <f>10^(-(($G$21+$H$21*'Advanced Outputs'!C$61^$I$21)*(($B389/$M$21)^-$K$21)+($G$22+$H$22*'Advanced Outputs'!C$61^$I$22)*$J$22*EXP(-(($L$22*($B389-$M$22))^$K$22))+($G$23+$H$23*'Advanced Outputs'!C$61^$I$23)*$J$23*EXP(-(($L$23*($B389-$M$23))^$K$23))+($G$24+$H$24*'Advanced Outputs'!C$61^$I$24)*$J$24*EXP(-(($L$24*($B389-$M$24))^$K$24))+($G$25+$H$25*'Advanced Outputs'!C$61^$I$25)*$J$25*EXP(-(($L$25*($B389-$M$25))^$K$25))+$G$26))</f>
        <v>0.826064305284458</v>
      </c>
      <c r="D389" s="21">
        <f>10^(-(($G$21+$H$21*'Advanced Outputs'!C$60^$I$21)*(($B389/$M$21)^-$K$21)+($G$22+$H$22*'Advanced Outputs'!C$60^$I$22)*$J$22*EXP(-(($L$22*($B389-$M$22))^$K$22))+($G$23+$H$23*'Advanced Outputs'!C$60^$I$23)*$J$23*EXP(-(($L$23*($B389-$M$23))^$K$23))+($G$24+$H$24*'Advanced Outputs'!C$60^$I$24)*$J$24*EXP(-(($L$24*($B389-$M$24))^$K$24))+($G$25+$H$25*'Advanced Outputs'!C$60^$I$25)*$J$25*EXP(-(($L$25*($B389-$M$25))^$K$25))+$G$26))</f>
        <v>0.84165700053526</v>
      </c>
      <c r="E389" s="21">
        <f t="shared" si="5"/>
        <v>0.981473812680361</v>
      </c>
      <c r="F389" s="12"/>
      <c r="G389" s="9"/>
      <c r="H389" s="9"/>
      <c r="I389" s="9"/>
      <c r="J389" s="9"/>
      <c r="K389" s="9"/>
      <c r="L389" s="9"/>
      <c r="M389" s="9"/>
    </row>
    <row r="390" hidden="1" spans="1:13">
      <c r="A390" s="4"/>
      <c r="B390" s="4">
        <v>749</v>
      </c>
      <c r="C390" s="21">
        <f>10^(-(($G$21+$H$21*'Advanced Outputs'!C$61^$I$21)*(($B390/$M$21)^-$K$21)+($G$22+$H$22*'Advanced Outputs'!C$61^$I$22)*$J$22*EXP(-(($L$22*($B390-$M$22))^$K$22))+($G$23+$H$23*'Advanced Outputs'!C$61^$I$23)*$J$23*EXP(-(($L$23*($B390-$M$23))^$K$23))+($G$24+$H$24*'Advanced Outputs'!C$61^$I$24)*$J$24*EXP(-(($L$24*($B390-$M$24))^$K$24))+($G$25+$H$25*'Advanced Outputs'!C$61^$I$25)*$J$25*EXP(-(($L$25*($B390-$M$25))^$K$25))+$G$26))</f>
        <v>0.826298151297311</v>
      </c>
      <c r="D390" s="21">
        <f>10^(-(($G$21+$H$21*'Advanced Outputs'!C$60^$I$21)*(($B390/$M$21)^-$K$21)+($G$22+$H$22*'Advanced Outputs'!C$60^$I$22)*$J$22*EXP(-(($L$22*($B390-$M$22))^$K$22))+($G$23+$H$23*'Advanced Outputs'!C$60^$I$23)*$J$23*EXP(-(($L$23*($B390-$M$23))^$K$23))+($G$24+$H$24*'Advanced Outputs'!C$60^$I$24)*$J$24*EXP(-(($L$24*($B390-$M$24))^$K$24))+($G$25+$H$25*'Advanced Outputs'!C$60^$I$25)*$J$25*EXP(-(($L$25*($B390-$M$25))^$K$25))+$G$26))</f>
        <v>0.841810765350082</v>
      </c>
      <c r="E390" s="21">
        <f t="shared" si="5"/>
        <v>0.981572326357315</v>
      </c>
      <c r="F390" s="12"/>
      <c r="G390" s="9"/>
      <c r="H390" s="9"/>
      <c r="I390" s="9"/>
      <c r="J390" s="9"/>
      <c r="K390" s="9"/>
      <c r="L390" s="9"/>
      <c r="M390" s="9"/>
    </row>
    <row r="391" hidden="1" spans="1:13">
      <c r="A391" s="4"/>
      <c r="B391" s="4">
        <v>750</v>
      </c>
      <c r="C391" s="21">
        <f>10^(-(($G$21+$H$21*'Advanced Outputs'!C$61^$I$21)*(($B391/$M$21)^-$K$21)+($G$22+$H$22*'Advanced Outputs'!C$61^$I$22)*$J$22*EXP(-(($L$22*($B391-$M$22))^$K$22))+($G$23+$H$23*'Advanced Outputs'!C$61^$I$23)*$J$23*EXP(-(($L$23*($B391-$M$23))^$K$23))+($G$24+$H$24*'Advanced Outputs'!C$61^$I$24)*$J$24*EXP(-(($L$24*($B391-$M$24))^$K$24))+($G$25+$H$25*'Advanced Outputs'!C$61^$I$25)*$J$25*EXP(-(($L$25*($B391-$M$25))^$K$25))+$G$26))</f>
        <v>0.8265304685015</v>
      </c>
      <c r="D391" s="21">
        <f>10^(-(($G$21+$H$21*'Advanced Outputs'!C$60^$I$21)*(($B391/$M$21)^-$K$21)+($G$22+$H$22*'Advanced Outputs'!C$60^$I$22)*$J$22*EXP(-(($L$22*($B391-$M$22))^$K$22))+($G$23+$H$23*'Advanced Outputs'!C$60^$I$23)*$J$23*EXP(-(($L$23*($B391-$M$23))^$K$23))+($G$24+$H$24*'Advanced Outputs'!C$60^$I$24)*$J$24*EXP(-(($L$24*($B391-$M$24))^$K$24))+($G$25+$H$25*'Advanced Outputs'!C$60^$I$25)*$J$25*EXP(-(($L$25*($B391-$M$25))^$K$25))+$G$26))</f>
        <v>0.841963524595601</v>
      </c>
      <c r="E391" s="21">
        <f t="shared" si="5"/>
        <v>0.981670160709737</v>
      </c>
      <c r="F391" s="12"/>
      <c r="G391" s="9"/>
      <c r="H391" s="9"/>
      <c r="I391" s="9"/>
      <c r="J391" s="9"/>
      <c r="K391" s="9"/>
      <c r="L391" s="9"/>
      <c r="M391" s="9"/>
    </row>
    <row r="392" hidden="1" spans="1:13">
      <c r="A392" s="4"/>
      <c r="B392" s="4">
        <v>751</v>
      </c>
      <c r="C392" s="21">
        <f>10^(-(($G$21+$H$21*'Advanced Outputs'!C$61^$I$21)*(($B392/$M$21)^-$K$21)+($G$22+$H$22*'Advanced Outputs'!C$61^$I$22)*$J$22*EXP(-(($L$22*($B392-$M$22))^$K$22))+($G$23+$H$23*'Advanced Outputs'!C$61^$I$23)*$J$23*EXP(-(($L$23*($B392-$M$23))^$K$23))+($G$24+$H$24*'Advanced Outputs'!C$61^$I$24)*$J$24*EXP(-(($L$24*($B392-$M$24))^$K$24))+($G$25+$H$25*'Advanced Outputs'!C$61^$I$25)*$J$25*EXP(-(($L$25*($B392-$M$25))^$K$25))+$G$26))</f>
        <v>0.826761270075293</v>
      </c>
      <c r="D392" s="21">
        <f>10^(-(($G$21+$H$21*'Advanced Outputs'!C$60^$I$21)*(($B392/$M$21)^-$K$21)+($G$22+$H$22*'Advanced Outputs'!C$60^$I$22)*$J$22*EXP(-(($L$22*($B392-$M$22))^$K$22))+($G$23+$H$23*'Advanced Outputs'!C$60^$I$23)*$J$23*EXP(-(($L$23*($B392-$M$23))^$K$23))+($G$24+$H$24*'Advanced Outputs'!C$60^$I$24)*$J$24*EXP(-(($L$24*($B392-$M$24))^$K$24))+($G$25+$H$25*'Advanced Outputs'!C$60^$I$25)*$J$25*EXP(-(($L$25*($B392-$M$25))^$K$25))+$G$26))</f>
        <v>0.842115286436226</v>
      </c>
      <c r="E392" s="21">
        <f t="shared" si="5"/>
        <v>0.981767322588443</v>
      </c>
      <c r="F392" s="12"/>
      <c r="G392" s="9"/>
      <c r="H392" s="9"/>
      <c r="I392" s="9"/>
      <c r="J392" s="9"/>
      <c r="K392" s="9"/>
      <c r="L392" s="9"/>
      <c r="M392" s="9"/>
    </row>
    <row r="393" hidden="1" spans="1:13">
      <c r="A393" s="4"/>
      <c r="B393" s="4">
        <v>752</v>
      </c>
      <c r="C393" s="21">
        <f>10^(-(($G$21+$H$21*'Advanced Outputs'!C$61^$I$21)*(($B393/$M$21)^-$K$21)+($G$22+$H$22*'Advanced Outputs'!C$61^$I$22)*$J$22*EXP(-(($L$22*($B393-$M$22))^$K$22))+($G$23+$H$23*'Advanced Outputs'!C$61^$I$23)*$J$23*EXP(-(($L$23*($B393-$M$23))^$K$23))+($G$24+$H$24*'Advanced Outputs'!C$61^$I$24)*$J$24*EXP(-(($L$24*($B393-$M$24))^$K$24))+($G$25+$H$25*'Advanced Outputs'!C$61^$I$25)*$J$25*EXP(-(($L$25*($B393-$M$25))^$K$25))+$G$26))</f>
        <v>0.826990569009201</v>
      </c>
      <c r="D393" s="21">
        <f>10^(-(($G$21+$H$21*'Advanced Outputs'!C$60^$I$21)*(($B393/$M$21)^-$K$21)+($G$22+$H$22*'Advanced Outputs'!C$60^$I$22)*$J$22*EXP(-(($L$22*($B393-$M$22))^$K$22))+($G$23+$H$23*'Advanced Outputs'!C$60^$I$23)*$J$23*EXP(-(($L$23*($B393-$M$23))^$K$23))+($G$24+$H$24*'Advanced Outputs'!C$60^$I$24)*$J$24*EXP(-(($L$24*($B393-$M$24))^$K$24))+($G$25+$H$25*'Advanced Outputs'!C$60^$I$25)*$J$25*EXP(-(($L$25*($B393-$M$25))^$K$25))+$G$26))</f>
        <v>0.842266058944364</v>
      </c>
      <c r="E393" s="21">
        <f t="shared" si="5"/>
        <v>0.981863818715064</v>
      </c>
      <c r="F393" s="12"/>
      <c r="G393" s="9"/>
      <c r="H393" s="9"/>
      <c r="I393" s="9"/>
      <c r="J393" s="9"/>
      <c r="K393" s="9"/>
      <c r="L393" s="9"/>
      <c r="M393" s="9"/>
    </row>
    <row r="394" hidden="1" spans="1:13">
      <c r="A394" s="4"/>
      <c r="B394" s="4">
        <v>753</v>
      </c>
      <c r="C394" s="21">
        <f>10^(-(($G$21+$H$21*'Advanced Outputs'!C$61^$I$21)*(($B394/$M$21)^-$K$21)+($G$22+$H$22*'Advanced Outputs'!C$61^$I$22)*$J$22*EXP(-(($L$22*($B394-$M$22))^$K$22))+($G$23+$H$23*'Advanced Outputs'!C$61^$I$23)*$J$23*EXP(-(($L$23*($B394-$M$23))^$K$23))+($G$24+$H$24*'Advanced Outputs'!C$61^$I$24)*$J$24*EXP(-(($L$24*($B394-$M$24))^$K$24))+($G$25+$H$25*'Advanced Outputs'!C$61^$I$25)*$J$25*EXP(-(($L$25*($B394-$M$25))^$K$25))+$G$26))</f>
        <v>0.827218378110793</v>
      </c>
      <c r="D394" s="21">
        <f>10^(-(($G$21+$H$21*'Advanced Outputs'!C$60^$I$21)*(($B394/$M$21)^-$K$21)+($G$22+$H$22*'Advanced Outputs'!C$60^$I$22)*$J$22*EXP(-(($L$22*($B394-$M$22))^$K$22))+($G$23+$H$23*'Advanced Outputs'!C$60^$I$23)*$J$23*EXP(-(($L$23*($B394-$M$23))^$K$23))+($G$24+$H$24*'Advanced Outputs'!C$60^$I$24)*$J$24*EXP(-(($L$24*($B394-$M$24))^$K$24))+($G$25+$H$25*'Advanced Outputs'!C$60^$I$25)*$J$25*EXP(-(($L$25*($B394-$M$25))^$K$25))+$G$26))</f>
        <v>0.842415850102145</v>
      </c>
      <c r="E394" s="21">
        <f t="shared" si="5"/>
        <v>0.981959655686073</v>
      </c>
      <c r="F394" s="12"/>
      <c r="G394" s="9"/>
      <c r="H394" s="9"/>
      <c r="I394" s="9"/>
      <c r="J394" s="9"/>
      <c r="K394" s="9"/>
      <c r="L394" s="9"/>
      <c r="M394" s="9"/>
    </row>
    <row r="395" hidden="1" spans="1:13">
      <c r="A395" s="4"/>
      <c r="B395" s="4">
        <v>754</v>
      </c>
      <c r="C395" s="21">
        <f>10^(-(($G$21+$H$21*'Advanced Outputs'!C$61^$I$21)*(($B395/$M$21)^-$K$21)+($G$22+$H$22*'Advanced Outputs'!C$61^$I$22)*$J$22*EXP(-(($L$22*($B395-$M$22))^$K$22))+($G$23+$H$23*'Advanced Outputs'!C$61^$I$23)*$J$23*EXP(-(($L$23*($B395-$M$23))^$K$23))+($G$24+$H$24*'Advanced Outputs'!C$61^$I$24)*$J$24*EXP(-(($L$24*($B395-$M$24))^$K$24))+($G$25+$H$25*'Advanced Outputs'!C$61^$I$25)*$J$25*EXP(-(($L$25*($B395-$M$25))^$K$25))+$G$26))</f>
        <v>0.827444710009363</v>
      </c>
      <c r="D395" s="21">
        <f>10^(-(($G$21+$H$21*'Advanced Outputs'!C$60^$I$21)*(($B395/$M$21)^-$K$21)+($G$22+$H$22*'Advanced Outputs'!C$60^$I$22)*$J$22*EXP(-(($L$22*($B395-$M$22))^$K$22))+($G$23+$H$23*'Advanced Outputs'!C$60^$I$23)*$J$23*EXP(-(($L$23*($B395-$M$23))^$K$23))+($G$24+$H$24*'Advanced Outputs'!C$60^$I$24)*$J$24*EXP(-(($L$24*($B395-$M$24))^$K$24))+($G$25+$H$25*'Advanced Outputs'!C$60^$I$25)*$J$25*EXP(-(($L$25*($B395-$M$25))^$K$25))+$G$26))</f>
        <v>0.842564667803099</v>
      </c>
      <c r="E395" s="21">
        <f t="shared" si="5"/>
        <v>0.982054839976663</v>
      </c>
      <c r="F395" s="12"/>
      <c r="G395" s="9"/>
      <c r="H395" s="9"/>
      <c r="I395" s="9"/>
      <c r="J395" s="9"/>
      <c r="K395" s="9"/>
      <c r="L395" s="9"/>
      <c r="M395" s="9"/>
    </row>
    <row r="396" hidden="1" spans="1:13">
      <c r="A396" s="4"/>
      <c r="B396" s="4">
        <v>755</v>
      </c>
      <c r="C396" s="21">
        <f>10^(-(($G$21+$H$21*'Advanced Outputs'!C$61^$I$21)*(($B396/$M$21)^-$K$21)+($G$22+$H$22*'Advanced Outputs'!C$61^$I$22)*$J$22*EXP(-(($L$22*($B396-$M$22))^$K$22))+($G$23+$H$23*'Advanced Outputs'!C$61^$I$23)*$J$23*EXP(-(($L$23*($B396-$M$23))^$K$23))+($G$24+$H$24*'Advanced Outputs'!C$61^$I$24)*$J$24*EXP(-(($L$24*($B396-$M$24))^$K$24))+($G$25+$H$25*'Advanced Outputs'!C$61^$I$25)*$J$25*EXP(-(($L$25*($B396-$M$25))^$K$25))+$G$26))</f>
        <v>0.827669577160435</v>
      </c>
      <c r="D396" s="21">
        <f>10^(-(($G$21+$H$21*'Advanced Outputs'!C$60^$I$21)*(($B396/$M$21)^-$K$21)+($G$22+$H$22*'Advanced Outputs'!C$60^$I$22)*$J$22*EXP(-(($L$22*($B396-$M$22))^$K$22))+($G$23+$H$23*'Advanced Outputs'!C$60^$I$23)*$J$23*EXP(-(($L$23*($B396-$M$23))^$K$23))+($G$24+$H$24*'Advanced Outputs'!C$60^$I$24)*$J$24*EXP(-(($L$24*($B396-$M$24))^$K$24))+($G$25+$H$25*'Advanced Outputs'!C$60^$I$25)*$J$25*EXP(-(($L$25*($B396-$M$25))^$K$25))+$G$26))</f>
        <v>0.842712519853788</v>
      </c>
      <c r="E396" s="21">
        <f t="shared" si="5"/>
        <v>0.982149377944494</v>
      </c>
      <c r="F396" s="12"/>
      <c r="G396" s="9"/>
      <c r="H396" s="9"/>
      <c r="I396" s="9"/>
      <c r="J396" s="9"/>
      <c r="K396" s="9"/>
      <c r="L396" s="9"/>
      <c r="M396" s="9"/>
    </row>
    <row r="397" hidden="1" spans="1:13">
      <c r="A397" s="4"/>
      <c r="B397" s="4">
        <v>756</v>
      </c>
      <c r="C397" s="21">
        <f>10^(-(($G$21+$H$21*'Advanced Outputs'!C$61^$I$21)*(($B397/$M$21)^-$K$21)+($G$22+$H$22*'Advanced Outputs'!C$61^$I$22)*$J$22*EXP(-(($L$22*($B397-$M$22))^$K$22))+($G$23+$H$23*'Advanced Outputs'!C$61^$I$23)*$J$23*EXP(-(($L$23*($B397-$M$23))^$K$23))+($G$24+$H$24*'Advanced Outputs'!C$61^$I$24)*$J$24*EXP(-(($L$24*($B397-$M$24))^$K$24))+($G$25+$H$25*'Advanced Outputs'!C$61^$I$25)*$J$25*EXP(-(($L$25*($B397-$M$25))^$K$25))+$G$26))</f>
        <v>0.827892991850118</v>
      </c>
      <c r="D397" s="21">
        <f>10^(-(($G$21+$H$21*'Advanced Outputs'!C$60^$I$21)*(($B397/$M$21)^-$K$21)+($G$22+$H$22*'Advanced Outputs'!C$60^$I$22)*$J$22*EXP(-(($L$22*($B397-$M$22))^$K$22))+($G$23+$H$23*'Advanced Outputs'!C$60^$I$23)*$J$23*EXP(-(($L$23*($B397-$M$23))^$K$23))+($G$24+$H$24*'Advanced Outputs'!C$60^$I$24)*$J$24*EXP(-(($L$24*($B397-$M$24))^$K$24))+($G$25+$H$25*'Advanced Outputs'!C$60^$I$25)*$J$25*EXP(-(($L$25*($B397-$M$25))^$K$25))+$G$26))</f>
        <v>0.842859413975387</v>
      </c>
      <c r="E397" s="21">
        <f t="shared" si="5"/>
        <v>0.982243275833298</v>
      </c>
      <c r="F397" s="12"/>
      <c r="G397" s="9"/>
      <c r="H397" s="9"/>
      <c r="I397" s="9"/>
      <c r="J397" s="9"/>
      <c r="K397" s="9"/>
      <c r="L397" s="9"/>
      <c r="M397" s="9"/>
    </row>
    <row r="398" hidden="1" spans="1:13">
      <c r="A398" s="4"/>
      <c r="B398" s="4">
        <v>757</v>
      </c>
      <c r="C398" s="21">
        <f>10^(-(($G$21+$H$21*'Advanced Outputs'!C$61^$I$21)*(($B398/$M$21)^-$K$21)+($G$22+$H$22*'Advanced Outputs'!C$61^$I$22)*$J$22*EXP(-(($L$22*($B398-$M$22))^$K$22))+($G$23+$H$23*'Advanced Outputs'!C$61^$I$23)*$J$23*EXP(-(($L$23*($B398-$M$23))^$K$23))+($G$24+$H$24*'Advanced Outputs'!C$61^$I$24)*$J$24*EXP(-(($L$24*($B398-$M$24))^$K$24))+($G$25+$H$25*'Advanced Outputs'!C$61^$I$25)*$J$25*EXP(-(($L$25*($B398-$M$25))^$K$25))+$G$26))</f>
        <v>0.828114966199322</v>
      </c>
      <c r="D398" s="21">
        <f>10^(-(($G$21+$H$21*'Advanced Outputs'!C$60^$I$21)*(($B398/$M$21)^-$K$21)+($G$22+$H$22*'Advanced Outputs'!C$60^$I$22)*$J$22*EXP(-(($L$22*($B398-$M$22))^$K$22))+($G$23+$H$23*'Advanced Outputs'!C$60^$I$23)*$J$23*EXP(-(($L$23*($B398-$M$23))^$K$23))+($G$24+$H$24*'Advanced Outputs'!C$60^$I$24)*$J$24*EXP(-(($L$24*($B398-$M$24))^$K$24))+($G$25+$H$25*'Advanced Outputs'!C$60^$I$25)*$J$25*EXP(-(($L$25*($B398-$M$25))^$K$25))+$G$26))</f>
        <v>0.843005357805232</v>
      </c>
      <c r="E398" s="21">
        <f t="shared" si="5"/>
        <v>0.982336539776358</v>
      </c>
      <c r="F398" s="12"/>
      <c r="G398" s="9"/>
      <c r="H398" s="9"/>
      <c r="I398" s="9"/>
      <c r="J398" s="9"/>
      <c r="K398" s="9"/>
      <c r="L398" s="9"/>
      <c r="M398" s="9"/>
    </row>
    <row r="399" hidden="1" spans="1:13">
      <c r="A399" s="4"/>
      <c r="B399" s="4">
        <v>758</v>
      </c>
      <c r="C399" s="21">
        <f>10^(-(($G$21+$H$21*'Advanced Outputs'!C$61^$I$21)*(($B399/$M$21)^-$K$21)+($G$22+$H$22*'Advanced Outputs'!C$61^$I$22)*$J$22*EXP(-(($L$22*($B399-$M$22))^$K$22))+($G$23+$H$23*'Advanced Outputs'!C$61^$I$23)*$J$23*EXP(-(($L$23*($B399-$M$23))^$K$23))+($G$24+$H$24*'Advanced Outputs'!C$61^$I$24)*$J$24*EXP(-(($L$24*($B399-$M$24))^$K$24))+($G$25+$H$25*'Advanced Outputs'!C$61^$I$25)*$J$25*EXP(-(($L$25*($B399-$M$25))^$K$25))+$G$26))</f>
        <v>0.828335512167827</v>
      </c>
      <c r="D399" s="21">
        <f>10^(-(($G$21+$H$21*'Advanced Outputs'!C$60^$I$21)*(($B399/$M$21)^-$K$21)+($G$22+$H$22*'Advanced Outputs'!C$60^$I$22)*$J$22*EXP(-(($L$22*($B399-$M$22))^$K$22))+($G$23+$H$23*'Advanced Outputs'!C$60^$I$23)*$J$23*EXP(-(($L$23*($B399-$M$23))^$K$23))+($G$24+$H$24*'Advanced Outputs'!C$60^$I$24)*$J$24*EXP(-(($L$24*($B399-$M$24))^$K$24))+($G$25+$H$25*'Advanced Outputs'!C$60^$I$25)*$J$25*EXP(-(($L$25*($B399-$M$25))^$K$25))+$G$26))</f>
        <v>0.843150358898308</v>
      </c>
      <c r="E399" s="21">
        <f t="shared" si="5"/>
        <v>0.982429175799867</v>
      </c>
      <c r="F399" s="12"/>
      <c r="G399" s="9"/>
      <c r="H399" s="9"/>
      <c r="I399" s="9"/>
      <c r="J399" s="9"/>
      <c r="K399" s="9"/>
      <c r="L399" s="9"/>
      <c r="M399" s="9"/>
    </row>
    <row r="400" hidden="1" spans="1:13">
      <c r="A400" s="4"/>
      <c r="B400" s="4">
        <v>759</v>
      </c>
      <c r="C400" s="21">
        <f>10^(-(($G$21+$H$21*'Advanced Outputs'!C$61^$I$21)*(($B400/$M$21)^-$K$21)+($G$22+$H$22*'Advanced Outputs'!C$61^$I$22)*$J$22*EXP(-(($L$22*($B400-$M$22))^$K$22))+($G$23+$H$23*'Advanced Outputs'!C$61^$I$23)*$J$23*EXP(-(($L$23*($B400-$M$23))^$K$23))+($G$24+$H$24*'Advanced Outputs'!C$61^$I$24)*$J$24*EXP(-(($L$24*($B400-$M$24))^$K$24))+($G$25+$H$25*'Advanced Outputs'!C$61^$I$25)*$J$25*EXP(-(($L$25*($B400-$M$25))^$K$25))+$G$26))</f>
        <v>0.828554641558219</v>
      </c>
      <c r="D400" s="21">
        <f>10^(-(($G$21+$H$21*'Advanced Outputs'!C$60^$I$21)*(($B400/$M$21)^-$K$21)+($G$22+$H$22*'Advanced Outputs'!C$60^$I$22)*$J$22*EXP(-(($L$22*($B400-$M$22))^$K$22))+($G$23+$H$23*'Advanced Outputs'!C$60^$I$23)*$J$23*EXP(-(($L$23*($B400-$M$23))^$K$23))+($G$24+$H$24*'Advanced Outputs'!C$60^$I$24)*$J$24*EXP(-(($L$24*($B400-$M$24))^$K$24))+($G$25+$H$25*'Advanced Outputs'!C$60^$I$25)*$J$25*EXP(-(($L$25*($B400-$M$25))^$K$25))+$G$26))</f>
        <v>0.843294424728715</v>
      </c>
      <c r="E400" s="21">
        <f t="shared" si="5"/>
        <v>0.982521189826154</v>
      </c>
      <c r="F400" s="12"/>
      <c r="G400" s="9"/>
      <c r="H400" s="9"/>
      <c r="I400" s="9"/>
      <c r="J400" s="9"/>
      <c r="K400" s="9"/>
      <c r="L400" s="9"/>
      <c r="M400" s="9"/>
    </row>
    <row r="401" hidden="1" spans="1:13">
      <c r="A401" s="4"/>
      <c r="B401" s="4">
        <v>760</v>
      </c>
      <c r="C401" s="21">
        <f>10^(-(($G$21+$H$21*'Advanced Outputs'!C$61^$I$21)*(($B401/$M$21)^-$K$21)+($G$22+$H$22*'Advanced Outputs'!C$61^$I$22)*$J$22*EXP(-(($L$22*($B401-$M$22))^$K$22))+($G$23+$H$23*'Advanced Outputs'!C$61^$I$23)*$J$23*EXP(-(($L$23*($B401-$M$23))^$K$23))+($G$24+$H$24*'Advanced Outputs'!C$61^$I$24)*$J$24*EXP(-(($L$24*($B401-$M$24))^$K$24))+($G$25+$H$25*'Advanced Outputs'!C$61^$I$25)*$J$25*EXP(-(($L$25*($B401-$M$25))^$K$25))+$G$26))</f>
        <v>0.828772366019698</v>
      </c>
      <c r="D401" s="21">
        <f>10^(-(($G$21+$H$21*'Advanced Outputs'!C$60^$I$21)*(($B401/$M$21)^-$K$21)+($G$22+$H$22*'Advanced Outputs'!C$60^$I$22)*$J$22*EXP(-(($L$22*($B401-$M$22))^$K$22))+($G$23+$H$23*'Advanced Outputs'!C$60^$I$23)*$J$23*EXP(-(($L$23*($B401-$M$23))^$K$23))+($G$24+$H$24*'Advanced Outputs'!C$60^$I$24)*$J$24*EXP(-(($L$24*($B401-$M$24))^$K$24))+($G$25+$H$25*'Advanced Outputs'!C$60^$I$25)*$J$25*EXP(-(($L$25*($B401-$M$25))^$K$25))+$G$26))</f>
        <v>0.843437562691077</v>
      </c>
      <c r="E401" s="21">
        <f t="shared" si="5"/>
        <v>0.982612587676806</v>
      </c>
      <c r="F401" s="12"/>
      <c r="G401" s="9"/>
      <c r="H401" s="9"/>
      <c r="I401" s="9"/>
      <c r="J401" s="9"/>
      <c r="K401" s="9"/>
      <c r="L401" s="9"/>
      <c r="M401" s="9"/>
    </row>
    <row r="402" hidden="1" spans="1:13">
      <c r="A402" s="4"/>
      <c r="B402" s="4">
        <v>761</v>
      </c>
      <c r="C402" s="21">
        <f>10^(-(($G$21+$H$21*'Advanced Outputs'!C$61^$I$21)*(($B402/$M$21)^-$K$21)+($G$22+$H$22*'Advanced Outputs'!C$61^$I$22)*$J$22*EXP(-(($L$22*($B402-$M$22))^$K$22))+($G$23+$H$23*'Advanced Outputs'!C$61^$I$23)*$J$23*EXP(-(($L$23*($B402-$M$23))^$K$23))+($G$24+$H$24*'Advanced Outputs'!C$61^$I$24)*$J$24*EXP(-(($L$24*($B402-$M$24))^$K$24))+($G$25+$H$25*'Advanced Outputs'!C$61^$I$25)*$J$25*EXP(-(($L$25*($B402-$M$25))^$K$25))+$G$26))</f>
        <v>0.828988697051753</v>
      </c>
      <c r="D402" s="21">
        <f>10^(-(($G$21+$H$21*'Advanced Outputs'!C$60^$I$21)*(($B402/$M$21)^-$K$21)+($G$22+$H$22*'Advanced Outputs'!C$60^$I$22)*$J$22*EXP(-(($L$22*($B402-$M$22))^$K$22))+($G$23+$H$23*'Advanced Outputs'!C$60^$I$23)*$J$23*EXP(-(($L$23*($B402-$M$23))^$K$23))+($G$24+$H$24*'Advanced Outputs'!C$60^$I$24)*$J$24*EXP(-(($L$24*($B402-$M$24))^$K$24))+($G$25+$H$25*'Advanced Outputs'!C$60^$I$25)*$J$25*EXP(-(($L$25*($B402-$M$25))^$K$25))+$G$26))</f>
        <v>0.843579780101924</v>
      </c>
      <c r="E402" s="21">
        <f t="shared" si="5"/>
        <v>0.982703375075671</v>
      </c>
      <c r="F402" s="12"/>
      <c r="G402" s="9"/>
      <c r="H402" s="9"/>
      <c r="I402" s="9"/>
      <c r="J402" s="9"/>
      <c r="K402" s="9"/>
      <c r="L402" s="9"/>
      <c r="M402" s="9"/>
    </row>
    <row r="403" hidden="1" spans="1:13">
      <c r="A403" s="4"/>
      <c r="B403" s="4">
        <v>762</v>
      </c>
      <c r="C403" s="21">
        <f>10^(-(($G$21+$H$21*'Advanced Outputs'!C$61^$I$21)*(($B403/$M$21)^-$K$21)+($G$22+$H$22*'Advanced Outputs'!C$61^$I$22)*$J$22*EXP(-(($L$22*($B403-$M$22))^$K$22))+($G$23+$H$23*'Advanced Outputs'!C$61^$I$23)*$J$23*EXP(-(($L$23*($B403-$M$23))^$K$23))+($G$24+$H$24*'Advanced Outputs'!C$61^$I$24)*$J$24*EXP(-(($L$24*($B403-$M$24))^$K$24))+($G$25+$H$25*'Advanced Outputs'!C$61^$I$25)*$J$25*EXP(-(($L$25*($B403-$M$25))^$K$25))+$G$26))</f>
        <v>0.829203646007723</v>
      </c>
      <c r="D403" s="21">
        <f>10^(-(($G$21+$H$21*'Advanced Outputs'!C$60^$I$21)*(($B403/$M$21)^-$K$21)+($G$22+$H$22*'Advanced Outputs'!C$60^$I$22)*$J$22*EXP(-(($L$22*($B403-$M$22))^$K$22))+($G$23+$H$23*'Advanced Outputs'!C$60^$I$23)*$J$23*EXP(-(($L$23*($B403-$M$23))^$K$23))+($G$24+$H$24*'Advanced Outputs'!C$60^$I$24)*$J$24*EXP(-(($L$24*($B403-$M$24))^$K$24))+($G$25+$H$25*'Advanced Outputs'!C$60^$I$25)*$J$25*EXP(-(($L$25*($B403-$M$25))^$K$25))+$G$26))</f>
        <v>0.843721084201031</v>
      </c>
      <c r="E403" s="21">
        <f t="shared" si="5"/>
        <v>0.98279355765175</v>
      </c>
      <c r="F403" s="12"/>
      <c r="G403" s="9"/>
      <c r="H403" s="9"/>
      <c r="I403" s="9"/>
      <c r="J403" s="9"/>
      <c r="K403" s="9"/>
      <c r="L403" s="9"/>
      <c r="M403" s="9"/>
    </row>
    <row r="404" hidden="1" spans="1:13">
      <c r="A404" s="4"/>
      <c r="B404" s="4">
        <v>763</v>
      </c>
      <c r="C404" s="21">
        <f>10^(-(($G$21+$H$21*'Advanced Outputs'!C$61^$I$21)*(($B404/$M$21)^-$K$21)+($G$22+$H$22*'Advanced Outputs'!C$61^$I$22)*$J$22*EXP(-(($L$22*($B404-$M$22))^$K$22))+($G$23+$H$23*'Advanced Outputs'!C$61^$I$23)*$J$23*EXP(-(($L$23*($B404-$M$23))^$K$23))+($G$24+$H$24*'Advanced Outputs'!C$61^$I$24)*$J$24*EXP(-(($L$24*($B404-$M$24))^$K$24))+($G$25+$H$25*'Advanced Outputs'!C$61^$I$25)*$J$25*EXP(-(($L$25*($B404-$M$25))^$K$25))+$G$26))</f>
        <v>0.829417224098232</v>
      </c>
      <c r="D404" s="21">
        <f>10^(-(($G$21+$H$21*'Advanced Outputs'!C$60^$I$21)*(($B404/$M$21)^-$K$21)+($G$22+$H$22*'Advanced Outputs'!C$60^$I$22)*$J$22*EXP(-(($L$22*($B404-$M$22))^$K$22))+($G$23+$H$23*'Advanced Outputs'!C$60^$I$23)*$J$23*EXP(-(($L$23*($B404-$M$23))^$K$23))+($G$24+$H$24*'Advanced Outputs'!C$60^$I$24)*$J$24*EXP(-(($L$24*($B404-$M$24))^$K$24))+($G$25+$H$25*'Advanced Outputs'!C$60^$I$25)*$J$25*EXP(-(($L$25*($B404-$M$25))^$K$25))+$G$26))</f>
        <v>0.843861482152721</v>
      </c>
      <c r="E404" s="21">
        <f t="shared" si="5"/>
        <v>0.982883140941993</v>
      </c>
      <c r="F404" s="12"/>
      <c r="G404" s="9"/>
      <c r="H404" s="9"/>
      <c r="I404" s="9"/>
      <c r="J404" s="9"/>
      <c r="K404" s="9"/>
      <c r="L404" s="9"/>
      <c r="M404" s="9"/>
    </row>
    <row r="405" hidden="1" spans="1:13">
      <c r="A405" s="4"/>
      <c r="B405" s="4">
        <v>764</v>
      </c>
      <c r="C405" s="21">
        <f>10^(-(($G$21+$H$21*'Advanced Outputs'!C$61^$I$21)*(($B405/$M$21)^-$K$21)+($G$22+$H$22*'Advanced Outputs'!C$61^$I$22)*$J$22*EXP(-(($L$22*($B405-$M$22))^$K$22))+($G$23+$H$23*'Advanced Outputs'!C$61^$I$23)*$J$23*EXP(-(($L$23*($B405-$M$23))^$K$23))+($G$24+$H$24*'Advanced Outputs'!C$61^$I$24)*$J$24*EXP(-(($L$24*($B405-$M$24))^$K$24))+($G$25+$H$25*'Advanced Outputs'!C$61^$I$25)*$J$25*EXP(-(($L$25*($B405-$M$25))^$K$25))+$G$26))</f>
        <v>0.829629442394512</v>
      </c>
      <c r="D405" s="21">
        <f>10^(-(($G$21+$H$21*'Advanced Outputs'!C$60^$I$21)*(($B405/$M$21)^-$K$21)+($G$22+$H$22*'Advanced Outputs'!C$60^$I$22)*$J$22*EXP(-(($L$22*($B405-$M$22))^$K$22))+($G$23+$H$23*'Advanced Outputs'!C$60^$I$23)*$J$23*EXP(-(($L$23*($B405-$M$23))^$K$23))+($G$24+$H$24*'Advanced Outputs'!C$60^$I$24)*$J$24*EXP(-(($L$24*($B405-$M$24))^$K$24))+($G$25+$H$25*'Advanced Outputs'!C$60^$I$25)*$J$25*EXP(-(($L$25*($B405-$M$25))^$K$25))+$G$26))</f>
        <v>0.844000981047133</v>
      </c>
      <c r="E405" s="21">
        <f t="shared" ref="E405:E421" si="6">C405/D405</f>
        <v>0.982972130393983</v>
      </c>
      <c r="F405" s="12"/>
      <c r="G405" s="9"/>
      <c r="H405" s="9"/>
      <c r="I405" s="9"/>
      <c r="J405" s="9"/>
      <c r="K405" s="9"/>
      <c r="L405" s="9"/>
      <c r="M405" s="9"/>
    </row>
    <row r="406" hidden="1" spans="1:13">
      <c r="A406" s="4"/>
      <c r="B406" s="4">
        <v>765</v>
      </c>
      <c r="C406" s="21">
        <f>10^(-(($G$21+$H$21*'Advanced Outputs'!C$61^$I$21)*(($B406/$M$21)^-$K$21)+($G$22+$H$22*'Advanced Outputs'!C$61^$I$22)*$J$22*EXP(-(($L$22*($B406-$M$22))^$K$22))+($G$23+$H$23*'Advanced Outputs'!C$61^$I$23)*$J$23*EXP(-(($L$23*($B406-$M$23))^$K$23))+($G$24+$H$24*'Advanced Outputs'!C$61^$I$24)*$J$24*EXP(-(($L$24*($B406-$M$24))^$K$24))+($G$25+$H$25*'Advanced Outputs'!C$61^$I$25)*$J$25*EXP(-(($L$25*($B406-$M$25))^$K$25))+$G$26))</f>
        <v>0.829840311831619</v>
      </c>
      <c r="D406" s="21">
        <f>10^(-(($G$21+$H$21*'Advanced Outputs'!C$60^$I$21)*(($B406/$M$21)^-$K$21)+($G$22+$H$22*'Advanced Outputs'!C$60^$I$22)*$J$22*EXP(-(($L$22*($B406-$M$22))^$K$22))+($G$23+$H$23*'Advanced Outputs'!C$60^$I$23)*$J$23*EXP(-(($L$23*($B406-$M$23))^$K$23))+($G$24+$H$24*'Advanced Outputs'!C$60^$I$24)*$J$24*EXP(-(($L$24*($B406-$M$24))^$K$24))+($G$25+$H$25*'Advanced Outputs'!C$60^$I$25)*$J$25*EXP(-(($L$25*($B406-$M$25))^$K$25))+$G$26))</f>
        <v>0.844139587901456</v>
      </c>
      <c r="E406" s="21">
        <f t="shared" si="6"/>
        <v>0.983060531368532</v>
      </c>
      <c r="F406" s="12"/>
      <c r="G406" s="9"/>
      <c r="H406" s="9"/>
      <c r="I406" s="9"/>
      <c r="J406" s="9"/>
      <c r="K406" s="9"/>
      <c r="L406" s="9"/>
      <c r="M406" s="9"/>
    </row>
    <row r="407" hidden="1" spans="1:13">
      <c r="A407" s="4"/>
      <c r="B407" s="4">
        <v>766</v>
      </c>
      <c r="C407" s="21">
        <f>10^(-(($G$21+$H$21*'Advanced Outputs'!C$61^$I$21)*(($B407/$M$21)^-$K$21)+($G$22+$H$22*'Advanced Outputs'!C$61^$I$22)*$J$22*EXP(-(($L$22*($B407-$M$22))^$K$22))+($G$23+$H$23*'Advanced Outputs'!C$61^$I$23)*$J$23*EXP(-(($L$23*($B407-$M$23))^$K$23))+($G$24+$H$24*'Advanced Outputs'!C$61^$I$24)*$J$24*EXP(-(($L$24*($B407-$M$24))^$K$24))+($G$25+$H$25*'Advanced Outputs'!C$61^$I$25)*$J$25*EXP(-(($L$25*($B407-$M$25))^$K$25))+$G$26))</f>
        <v>0.83004984321154</v>
      </c>
      <c r="D407" s="21">
        <f>10^(-(($G$21+$H$21*'Advanced Outputs'!C$60^$I$21)*(($B407/$M$21)^-$K$21)+($G$22+$H$22*'Advanced Outputs'!C$60^$I$22)*$J$22*EXP(-(($L$22*($B407-$M$22))^$K$22))+($G$23+$H$23*'Advanced Outputs'!C$60^$I$23)*$J$23*EXP(-(($L$23*($B407-$M$23))^$K$23))+($G$24+$H$24*'Advanced Outputs'!C$60^$I$24)*$J$24*EXP(-(($L$24*($B407-$M$24))^$K$24))+($G$25+$H$25*'Advanced Outputs'!C$60^$I$25)*$J$25*EXP(-(($L$25*($B407-$M$25))^$K$25))+$G$26))</f>
        <v>0.844277309661132</v>
      </c>
      <c r="E407" s="21">
        <f t="shared" si="6"/>
        <v>0.983148349142176</v>
      </c>
      <c r="F407" s="12"/>
      <c r="G407" s="9"/>
      <c r="H407" s="9"/>
      <c r="I407" s="9"/>
      <c r="J407" s="9"/>
      <c r="K407" s="9"/>
      <c r="L407" s="9"/>
      <c r="M407" s="9"/>
    </row>
    <row r="408" hidden="1" spans="1:13">
      <c r="A408" s="4"/>
      <c r="B408" s="4">
        <v>767</v>
      </c>
      <c r="C408" s="21">
        <f>10^(-(($G$21+$H$21*'Advanced Outputs'!C$61^$I$21)*(($B408/$M$21)^-$K$21)+($G$22+$H$22*'Advanced Outputs'!C$61^$I$22)*$J$22*EXP(-(($L$22*($B408-$M$22))^$K$22))+($G$23+$H$23*'Advanced Outputs'!C$61^$I$23)*$J$23*EXP(-(($L$23*($B408-$M$23))^$K$23))+($G$24+$H$24*'Advanced Outputs'!C$61^$I$24)*$J$24*EXP(-(($L$24*($B408-$M$24))^$K$24))+($G$25+$H$25*'Advanced Outputs'!C$61^$I$25)*$J$25*EXP(-(($L$25*($B408-$M$25))^$K$25))+$G$26))</f>
        <v>0.830258047206195</v>
      </c>
      <c r="D408" s="21">
        <f>10^(-(($G$21+$H$21*'Advanced Outputs'!C$60^$I$21)*(($B408/$M$21)^-$K$21)+($G$22+$H$22*'Advanced Outputs'!C$60^$I$22)*$J$22*EXP(-(($L$22*($B408-$M$22))^$K$22))+($G$23+$H$23*'Advanced Outputs'!C$60^$I$23)*$J$23*EXP(-(($L$23*($B408-$M$23))^$K$23))+($G$24+$H$24*'Advanced Outputs'!C$60^$I$24)*$J$24*EXP(-(($L$24*($B408-$M$24))^$K$24))+($G$25+$H$25*'Advanced Outputs'!C$60^$I$25)*$J$25*EXP(-(($L$25*($B408-$M$25))^$K$25))+$G$26))</f>
        <v>0.844414153201023</v>
      </c>
      <c r="E408" s="21">
        <f t="shared" si="6"/>
        <v>0.983235588909582</v>
      </c>
      <c r="F408" s="12"/>
      <c r="G408" s="9"/>
      <c r="H408" s="9"/>
      <c r="I408" s="9"/>
      <c r="J408" s="9"/>
      <c r="K408" s="9"/>
      <c r="L408" s="9"/>
      <c r="M408" s="9"/>
    </row>
    <row r="409" hidden="1" spans="1:13">
      <c r="A409" s="4"/>
      <c r="B409" s="4">
        <v>768</v>
      </c>
      <c r="C409" s="21">
        <f>10^(-(($G$21+$H$21*'Advanced Outputs'!C$61^$I$21)*(($B409/$M$21)^-$K$21)+($G$22+$H$22*'Advanced Outputs'!C$61^$I$22)*$J$22*EXP(-(($L$22*($B409-$M$22))^$K$22))+($G$23+$H$23*'Advanced Outputs'!C$61^$I$23)*$J$23*EXP(-(($L$23*($B409-$M$23))^$K$23))+($G$24+$H$24*'Advanced Outputs'!C$61^$I$24)*$J$24*EXP(-(($L$24*($B409-$M$24))^$K$24))+($G$25+$H$25*'Advanced Outputs'!C$61^$I$25)*$J$25*EXP(-(($L$25*($B409-$M$25))^$K$25))+$G$26))</f>
        <v>0.830464934360343</v>
      </c>
      <c r="D409" s="21">
        <f>10^(-(($G$21+$H$21*'Advanced Outputs'!C$60^$I$21)*(($B409/$M$21)^-$K$21)+($G$22+$H$22*'Advanced Outputs'!C$60^$I$22)*$J$22*EXP(-(($L$22*($B409-$M$22))^$K$22))+($G$23+$H$23*'Advanced Outputs'!C$60^$I$23)*$J$23*EXP(-(($L$23*($B409-$M$23))^$K$23))+($G$24+$H$24*'Advanced Outputs'!C$60^$I$24)*$J$24*EXP(-(($L$24*($B409-$M$24))^$K$24))+($G$25+$H$25*'Advanced Outputs'!C$60^$I$25)*$J$25*EXP(-(($L$25*($B409-$M$25))^$K$25))+$G$26))</f>
        <v>0.84455012532655</v>
      </c>
      <c r="E409" s="21">
        <f t="shared" si="6"/>
        <v>0.983322255785871</v>
      </c>
      <c r="F409" s="12"/>
      <c r="G409" s="9"/>
      <c r="H409" s="9"/>
      <c r="I409" s="9"/>
      <c r="J409" s="9"/>
      <c r="K409" s="9"/>
      <c r="L409" s="9"/>
      <c r="M409" s="9"/>
    </row>
    <row r="410" hidden="1" spans="1:13">
      <c r="A410" s="4"/>
      <c r="B410" s="4">
        <v>769</v>
      </c>
      <c r="C410" s="21">
        <f>10^(-(($G$21+$H$21*'Advanced Outputs'!C$61^$I$21)*(($B410/$M$21)^-$K$21)+($G$22+$H$22*'Advanced Outputs'!C$61^$I$22)*$J$22*EXP(-(($L$22*($B410-$M$22))^$K$22))+($G$23+$H$23*'Advanced Outputs'!C$61^$I$23)*$J$23*EXP(-(($L$23*($B410-$M$23))^$K$23))+($G$24+$H$24*'Advanced Outputs'!C$61^$I$24)*$J$24*EXP(-(($L$24*($B410-$M$24))^$K$24))+($G$25+$H$25*'Advanced Outputs'!C$61^$I$25)*$J$25*EXP(-(($L$25*($B410-$M$25))^$K$25))+$G$26))</f>
        <v>0.830670515094393</v>
      </c>
      <c r="D410" s="21">
        <f>10^(-(($G$21+$H$21*'Advanced Outputs'!C$60^$I$21)*(($B410/$M$21)^-$K$21)+($G$22+$H$22*'Advanced Outputs'!C$60^$I$22)*$J$22*EXP(-(($L$22*($B410-$M$22))^$K$22))+($G$23+$H$23*'Advanced Outputs'!C$60^$I$23)*$J$23*EXP(-(($L$23*($B410-$M$23))^$K$23))+($G$24+$H$24*'Advanced Outputs'!C$60^$I$24)*$J$24*EXP(-(($L$24*($B410-$M$24))^$K$24))+($G$25+$H$25*'Advanced Outputs'!C$60^$I$25)*$J$25*EXP(-(($L$25*($B410-$M$25))^$K$25))+$G$26))</f>
        <v>0.8446852327748</v>
      </c>
      <c r="E410" s="21">
        <f t="shared" si="6"/>
        <v>0.983408354808846</v>
      </c>
      <c r="F410" s="12"/>
      <c r="G410" s="9"/>
      <c r="H410" s="9"/>
      <c r="I410" s="9"/>
      <c r="J410" s="9"/>
      <c r="K410" s="9"/>
      <c r="L410" s="9"/>
      <c r="M410" s="9"/>
    </row>
    <row r="411" hidden="1" spans="1:13">
      <c r="A411" s="4"/>
      <c r="B411" s="4">
        <v>770</v>
      </c>
      <c r="C411" s="21">
        <f>10^(-(($G$21+$H$21*'Advanced Outputs'!C$61^$I$21)*(($B411/$M$21)^-$K$21)+($G$22+$H$22*'Advanced Outputs'!C$61^$I$22)*$J$22*EXP(-(($L$22*($B411-$M$22))^$K$22))+($G$23+$H$23*'Advanced Outputs'!C$61^$I$23)*$J$23*EXP(-(($L$23*($B411-$M$23))^$K$23))+($G$24+$H$24*'Advanced Outputs'!C$61^$I$24)*$J$24*EXP(-(($L$24*($B411-$M$24))^$K$24))+($G$25+$H$25*'Advanced Outputs'!C$61^$I$25)*$J$25*EXP(-(($L$25*($B411-$M$25))^$K$25))+$G$26))</f>
        <v>0.830874799707117</v>
      </c>
      <c r="D411" s="21">
        <f>10^(-(($G$21+$H$21*'Advanced Outputs'!C$60^$I$21)*(($B411/$M$21)^-$K$21)+($G$22+$H$22*'Advanced Outputs'!C$60^$I$22)*$J$22*EXP(-(($L$22*($B411-$M$22))^$K$22))+($G$23+$H$23*'Advanced Outputs'!C$60^$I$23)*$J$23*EXP(-(($L$23*($B411-$M$23))^$K$23))+($G$24+$H$24*'Advanced Outputs'!C$60^$I$24)*$J$24*EXP(-(($L$24*($B411-$M$24))^$K$24))+($G$25+$H$25*'Advanced Outputs'!C$60^$I$25)*$J$25*EXP(-(($L$25*($B411-$M$25))^$K$25))+$G$26))</f>
        <v>0.844819482215607</v>
      </c>
      <c r="E411" s="21">
        <f t="shared" si="6"/>
        <v>0.983493890941153</v>
      </c>
      <c r="F411" s="12"/>
      <c r="G411" s="9"/>
      <c r="H411" s="9"/>
      <c r="I411" s="9"/>
      <c r="J411" s="9"/>
      <c r="K411" s="9"/>
      <c r="L411" s="9"/>
      <c r="M411" s="9"/>
    </row>
    <row r="412" hidden="1" spans="1:13">
      <c r="A412" s="4"/>
      <c r="B412" s="4">
        <v>771</v>
      </c>
      <c r="C412" s="21">
        <f>10^(-(($G$21+$H$21*'Advanced Outputs'!C$61^$I$21)*(($B412/$M$21)^-$K$21)+($G$22+$H$22*'Advanced Outputs'!C$61^$I$22)*$J$22*EXP(-(($L$22*($B412-$M$22))^$K$22))+($G$23+$H$23*'Advanced Outputs'!C$61^$I$23)*$J$23*EXP(-(($L$23*($B412-$M$23))^$K$23))+($G$24+$H$24*'Advanced Outputs'!C$61^$I$24)*$J$24*EXP(-(($L$24*($B412-$M$24))^$K$24))+($G$25+$H$25*'Advanced Outputs'!C$61^$I$25)*$J$25*EXP(-(($L$25*($B412-$M$25))^$K$25))+$G$26))</f>
        <v>0.83107779837828</v>
      </c>
      <c r="D412" s="21">
        <f>10^(-(($G$21+$H$21*'Advanced Outputs'!C$60^$I$21)*(($B412/$M$21)^-$K$21)+($G$22+$H$22*'Advanced Outputs'!C$60^$I$22)*$J$22*EXP(-(($L$22*($B412-$M$22))^$K$22))+($G$23+$H$23*'Advanced Outputs'!C$60^$I$23)*$J$23*EXP(-(($L$23*($B412-$M$23))^$K$23))+($G$24+$H$24*'Advanced Outputs'!C$60^$I$24)*$J$24*EXP(-(($L$24*($B412-$M$24))^$K$24))+($G$25+$H$25*'Advanced Outputs'!C$60^$I$25)*$J$25*EXP(-(($L$25*($B412-$M$25))^$K$25))+$G$26))</f>
        <v>0.844952880252601</v>
      </c>
      <c r="E412" s="21">
        <f t="shared" si="6"/>
        <v>0.983578869072351</v>
      </c>
      <c r="F412" s="12"/>
      <c r="G412" s="9"/>
      <c r="H412" s="9"/>
      <c r="I412" s="9"/>
      <c r="J412" s="9"/>
      <c r="K412" s="9"/>
      <c r="L412" s="9"/>
      <c r="M412" s="9"/>
    </row>
    <row r="413" hidden="1" spans="1:13">
      <c r="A413" s="4"/>
      <c r="B413" s="4">
        <v>772</v>
      </c>
      <c r="C413" s="21">
        <f>10^(-(($G$21+$H$21*'Advanced Outputs'!C$61^$I$21)*(($B413/$M$21)^-$K$21)+($G$22+$H$22*'Advanced Outputs'!C$61^$I$22)*$J$22*EXP(-(($L$22*($B413-$M$22))^$K$22))+($G$23+$H$23*'Advanced Outputs'!C$61^$I$23)*$J$23*EXP(-(($L$23*($B413-$M$23))^$K$23))+($G$24+$H$24*'Advanced Outputs'!C$61^$I$24)*$J$24*EXP(-(($L$24*($B413-$M$24))^$K$24))+($G$25+$H$25*'Advanced Outputs'!C$61^$I$25)*$J$25*EXP(-(($L$25*($B413-$M$25))^$K$25))+$G$26))</f>
        <v>0.831279521171177</v>
      </c>
      <c r="D413" s="21">
        <f>10^(-(($G$21+$H$21*'Advanced Outputs'!C$60^$I$21)*(($B413/$M$21)^-$K$21)+($G$22+$H$22*'Advanced Outputs'!C$60^$I$22)*$J$22*EXP(-(($L$22*($B413-$M$22))^$K$22))+($G$23+$H$23*'Advanced Outputs'!C$60^$I$23)*$J$23*EXP(-(($L$23*($B413-$M$23))^$K$23))+($G$24+$H$24*'Advanced Outputs'!C$60^$I$24)*$J$24*EXP(-(($L$24*($B413-$M$24))^$K$24))+($G$25+$H$25*'Advanced Outputs'!C$60^$I$25)*$J$25*EXP(-(($L$25*($B413-$M$25))^$K$25))+$G$26))</f>
        <v>0.845085433424236</v>
      </c>
      <c r="E413" s="21">
        <f t="shared" si="6"/>
        <v>0.983663294020915</v>
      </c>
      <c r="F413" s="12"/>
      <c r="G413" s="9"/>
      <c r="H413" s="9"/>
      <c r="I413" s="9"/>
      <c r="J413" s="9"/>
      <c r="K413" s="9"/>
      <c r="L413" s="9"/>
      <c r="M413" s="9"/>
    </row>
    <row r="414" hidden="1" spans="1:13">
      <c r="A414" s="4"/>
      <c r="B414" s="4">
        <v>773</v>
      </c>
      <c r="C414" s="21">
        <f>10^(-(($G$21+$H$21*'Advanced Outputs'!C$61^$I$21)*(($B414/$M$21)^-$K$21)+($G$22+$H$22*'Advanced Outputs'!C$61^$I$22)*$J$22*EXP(-(($L$22*($B414-$M$22))^$K$22))+($G$23+$H$23*'Advanced Outputs'!C$61^$I$23)*$J$23*EXP(-(($L$23*($B414-$M$23))^$K$23))+($G$24+$H$24*'Advanced Outputs'!C$61^$I$24)*$J$24*EXP(-(($L$24*($B414-$M$24))^$K$24))+($G$25+$H$25*'Advanced Outputs'!C$61^$I$25)*$J$25*EXP(-(($L$25*($B414-$M$25))^$K$25))+$G$26))</f>
        <v>0.831479978035097</v>
      </c>
      <c r="D414" s="21">
        <f>10^(-(($G$21+$H$21*'Advanced Outputs'!C$60^$I$21)*(($B414/$M$21)^-$K$21)+($G$22+$H$22*'Advanced Outputs'!C$60^$I$22)*$J$22*EXP(-(($L$22*($B414-$M$22))^$K$22))+($G$23+$H$23*'Advanced Outputs'!C$60^$I$23)*$J$23*EXP(-(($L$23*($B414-$M$23))^$K$23))+($G$24+$H$24*'Advanced Outputs'!C$60^$I$24)*$J$24*EXP(-(($L$24*($B414-$M$24))^$K$24))+($G$25+$H$25*'Advanced Outputs'!C$60^$I$25)*$J$25*EXP(-(($L$25*($B414-$M$25))^$K$25))+$G$26))</f>
        <v>0.845217148204781</v>
      </c>
      <c r="E414" s="21">
        <f t="shared" si="6"/>
        <v>0.983747170536162</v>
      </c>
      <c r="F414" s="12"/>
      <c r="G414" s="9"/>
      <c r="H414" s="9"/>
      <c r="I414" s="9"/>
      <c r="J414" s="9"/>
      <c r="K414" s="9"/>
      <c r="L414" s="9"/>
      <c r="M414" s="9"/>
    </row>
    <row r="415" hidden="1" spans="1:13">
      <c r="A415" s="4"/>
      <c r="B415" s="4">
        <v>774</v>
      </c>
      <c r="C415" s="21">
        <f>10^(-(($G$21+$H$21*'Advanced Outputs'!C$61^$I$21)*(($B415/$M$21)^-$K$21)+($G$22+$H$22*'Advanced Outputs'!C$61^$I$22)*$J$22*EXP(-(($L$22*($B415-$M$22))^$K$22))+($G$23+$H$23*'Advanced Outputs'!C$61^$I$23)*$J$23*EXP(-(($L$23*($B415-$M$23))^$K$23))+($G$24+$H$24*'Advanced Outputs'!C$61^$I$24)*$J$24*EXP(-(($L$24*($B415-$M$24))^$K$24))+($G$25+$H$25*'Advanced Outputs'!C$61^$I$25)*$J$25*EXP(-(($L$25*($B415-$M$25))^$K$25))+$G$26))</f>
        <v>0.831679178807696</v>
      </c>
      <c r="D415" s="21">
        <f>10^(-(($G$21+$H$21*'Advanced Outputs'!C$60^$I$21)*(($B415/$M$21)^-$K$21)+($G$22+$H$22*'Advanced Outputs'!C$60^$I$22)*$J$22*EXP(-(($L$22*($B415-$M$22))^$K$22))+($G$23+$H$23*'Advanced Outputs'!C$60^$I$23)*$J$23*EXP(-(($L$23*($B415-$M$23))^$K$23))+($G$24+$H$24*'Advanced Outputs'!C$60^$I$24)*$J$24*EXP(-(($L$24*($B415-$M$24))^$K$24))+($G$25+$H$25*'Advanced Outputs'!C$60^$I$25)*$J$25*EXP(-(($L$25*($B415-$M$25))^$K$25))+$G$26))</f>
        <v>0.845348031005297</v>
      </c>
      <c r="E415" s="21">
        <f t="shared" si="6"/>
        <v>0.983830503300107</v>
      </c>
      <c r="F415" s="12"/>
      <c r="G415" s="9"/>
      <c r="H415" s="9"/>
      <c r="I415" s="9"/>
      <c r="J415" s="9"/>
      <c r="K415" s="9"/>
      <c r="L415" s="9"/>
      <c r="M415" s="9"/>
    </row>
    <row r="416" hidden="1" spans="1:13">
      <c r="A416" s="4"/>
      <c r="B416" s="4">
        <v>775</v>
      </c>
      <c r="C416" s="21">
        <f>10^(-(($G$21+$H$21*'Advanced Outputs'!C$61^$I$21)*(($B416/$M$21)^-$K$21)+($G$22+$H$22*'Advanced Outputs'!C$61^$I$22)*$J$22*EXP(-(($L$22*($B416-$M$22))^$K$22))+($G$23+$H$23*'Advanced Outputs'!C$61^$I$23)*$J$23*EXP(-(($L$23*($B416-$M$23))^$K$23))+($G$24+$H$24*'Advanced Outputs'!C$61^$I$24)*$J$24*EXP(-(($L$24*($B416-$M$24))^$K$24))+($G$25+$H$25*'Advanced Outputs'!C$61^$I$25)*$J$25*EXP(-(($L$25*($B416-$M$25))^$K$25))+$G$26))</f>
        <v>0.831877133217298</v>
      </c>
      <c r="D416" s="21">
        <f>10^(-(($G$21+$H$21*'Advanced Outputs'!C$60^$I$21)*(($B416/$M$21)^-$K$21)+($G$22+$H$22*'Advanced Outputs'!C$60^$I$22)*$J$22*EXP(-(($L$22*($B416-$M$22))^$K$22))+($G$23+$H$23*'Advanced Outputs'!C$60^$I$23)*$J$23*EXP(-(($L$23*($B416-$M$23))^$K$23))+($G$24+$H$24*'Advanced Outputs'!C$60^$I$24)*$J$24*EXP(-(($L$24*($B416-$M$24))^$K$24))+($G$25+$H$25*'Advanced Outputs'!C$60^$I$25)*$J$25*EXP(-(($L$25*($B416-$M$25))^$K$25))+$G$26))</f>
        <v>0.845478088174585</v>
      </c>
      <c r="E416" s="21">
        <f t="shared" si="6"/>
        <v>0.983913296929253</v>
      </c>
      <c r="F416" s="12"/>
      <c r="G416" s="9"/>
      <c r="H416" s="9"/>
      <c r="I416" s="9"/>
      <c r="J416" s="9"/>
      <c r="K416" s="9"/>
      <c r="L416" s="9"/>
      <c r="M416" s="9"/>
    </row>
    <row r="417" hidden="1" spans="1:13">
      <c r="A417" s="4"/>
      <c r="B417" s="4">
        <v>776</v>
      </c>
      <c r="C417" s="21">
        <f>10^(-(($G$21+$H$21*'Advanced Outputs'!C$61^$I$21)*(($B417/$M$21)^-$K$21)+($G$22+$H$22*'Advanced Outputs'!C$61^$I$22)*$J$22*EXP(-(($L$22*($B417-$M$22))^$K$22))+($G$23+$H$23*'Advanced Outputs'!C$61^$I$23)*$J$23*EXP(-(($L$23*($B417-$M$23))^$K$23))+($G$24+$H$24*'Advanced Outputs'!C$61^$I$24)*$J$24*EXP(-(($L$24*($B417-$M$24))^$K$24))+($G$25+$H$25*'Advanced Outputs'!C$61^$I$25)*$J$25*EXP(-(($L$25*($B417-$M$25))^$K$25))+$G$26))</f>
        <v>0.832073850885122</v>
      </c>
      <c r="D417" s="21">
        <f>10^(-(($G$21+$H$21*'Advanced Outputs'!C$60^$I$21)*(($B417/$M$21)^-$K$21)+($G$22+$H$22*'Advanced Outputs'!C$60^$I$22)*$J$22*EXP(-(($L$22*($B417-$M$22))^$K$22))+($G$23+$H$23*'Advanced Outputs'!C$60^$I$23)*$J$23*EXP(-(($L$23*($B417-$M$23))^$K$23))+($G$24+$H$24*'Advanced Outputs'!C$60^$I$24)*$J$24*EXP(-(($L$24*($B417-$M$24))^$K$24))+($G$25+$H$25*'Advanced Outputs'!C$60^$I$25)*$J$25*EXP(-(($L$25*($B417-$M$25))^$K$25))+$G$26))</f>
        <v>0.845607326000105</v>
      </c>
      <c r="E417" s="21">
        <f t="shared" si="6"/>
        <v>0.983995555976319</v>
      </c>
      <c r="F417" s="12"/>
      <c r="G417" s="9"/>
      <c r="H417" s="9"/>
      <c r="I417" s="9"/>
      <c r="J417" s="9"/>
      <c r="K417" s="9"/>
      <c r="L417" s="9"/>
      <c r="M417" s="9"/>
    </row>
    <row r="418" hidden="1" spans="1:13">
      <c r="A418" s="4"/>
      <c r="B418" s="4">
        <v>777</v>
      </c>
      <c r="C418" s="21">
        <f>10^(-(($G$21+$H$21*'Advanced Outputs'!C$61^$I$21)*(($B418/$M$21)^-$K$21)+($G$22+$H$22*'Advanced Outputs'!C$61^$I$22)*$J$22*EXP(-(($L$22*($B418-$M$22))^$K$22))+($G$23+$H$23*'Advanced Outputs'!C$61^$I$23)*$J$23*EXP(-(($L$23*($B418-$M$23))^$K$23))+($G$24+$H$24*'Advanced Outputs'!C$61^$I$24)*$J$24*EXP(-(($L$24*($B418-$M$24))^$K$24))+($G$25+$H$25*'Advanced Outputs'!C$61^$I$25)*$J$25*EXP(-(($L$25*($B418-$M$25))^$K$25))+$G$26))</f>
        <v>0.832269341327437</v>
      </c>
      <c r="D418" s="21">
        <f>10^(-(($G$21+$H$21*'Advanced Outputs'!C$60^$I$21)*(($B418/$M$21)^-$K$21)+($G$22+$H$22*'Advanced Outputs'!C$60^$I$22)*$J$22*EXP(-(($L$22*($B418-$M$22))^$K$22))+($G$23+$H$23*'Advanced Outputs'!C$60^$I$23)*$J$23*EXP(-(($L$23*($B418-$M$23))^$K$23))+($G$24+$H$24*'Advanced Outputs'!C$60^$I$24)*$J$24*EXP(-(($L$24*($B418-$M$24))^$K$24))+($G$25+$H$25*'Advanced Outputs'!C$60^$I$25)*$J$25*EXP(-(($L$25*($B418-$M$25))^$K$25))+$G$26))</f>
        <v>0.845735750708883</v>
      </c>
      <c r="E418" s="21">
        <f t="shared" si="6"/>
        <v>0.984077284931896</v>
      </c>
      <c r="F418" s="12"/>
      <c r="G418" s="9"/>
      <c r="H418" s="9"/>
      <c r="I418" s="9"/>
      <c r="J418" s="9"/>
      <c r="K418" s="9"/>
      <c r="L418" s="9"/>
      <c r="M418" s="9"/>
    </row>
    <row r="419" hidden="1" spans="1:13">
      <c r="A419" s="4"/>
      <c r="B419" s="4">
        <v>778</v>
      </c>
      <c r="C419" s="21">
        <f>10^(-(($G$21+$H$21*'Advanced Outputs'!C$61^$I$21)*(($B419/$M$21)^-$K$21)+($G$22+$H$22*'Advanced Outputs'!C$61^$I$22)*$J$22*EXP(-(($L$22*($B419-$M$22))^$K$22))+($G$23+$H$23*'Advanced Outputs'!C$61^$I$23)*$J$23*EXP(-(($L$23*($B419-$M$23))^$K$23))+($G$24+$H$24*'Advanced Outputs'!C$61^$I$24)*$J$24*EXP(-(($L$24*($B419-$M$24))^$K$24))+($G$25+$H$25*'Advanced Outputs'!C$61^$I$25)*$J$25*EXP(-(($L$25*($B419-$M$25))^$K$25))+$G$26))</f>
        <v>0.832463613957642</v>
      </c>
      <c r="D419" s="21">
        <f>10^(-(($G$21+$H$21*'Advanced Outputs'!C$60^$I$21)*(($B419/$M$21)^-$K$21)+($G$22+$H$22*'Advanced Outputs'!C$60^$I$22)*$J$22*EXP(-(($L$22*($B419-$M$22))^$K$22))+($G$23+$H$23*'Advanced Outputs'!C$60^$I$23)*$J$23*EXP(-(($L$23*($B419-$M$23))^$K$23))+($G$24+$H$24*'Advanced Outputs'!C$60^$I$24)*$J$24*EXP(-(($L$24*($B419-$M$24))^$K$24))+($G$25+$H$25*'Advanced Outputs'!C$60^$I$25)*$J$25*EXP(-(($L$25*($B419-$M$25))^$K$25))+$G$26))</f>
        <v>0.845863368468384</v>
      </c>
      <c r="E419" s="21">
        <f t="shared" si="6"/>
        <v>0.984158488226054</v>
      </c>
      <c r="F419" s="12"/>
      <c r="G419" s="9"/>
      <c r="H419" s="9"/>
      <c r="I419" s="9"/>
      <c r="J419" s="9"/>
      <c r="K419" s="9"/>
      <c r="L419" s="9"/>
      <c r="M419" s="9"/>
    </row>
    <row r="420" hidden="1" spans="1:13">
      <c r="A420" s="4"/>
      <c r="B420" s="4">
        <v>779</v>
      </c>
      <c r="C420" s="21">
        <f>10^(-(($G$21+$H$21*'Advanced Outputs'!C$61^$I$21)*(($B420/$M$21)^-$K$21)+($G$22+$H$22*'Advanced Outputs'!C$61^$I$22)*$J$22*EXP(-(($L$22*($B420-$M$22))^$K$22))+($G$23+$H$23*'Advanced Outputs'!C$61^$I$23)*$J$23*EXP(-(($L$23*($B420-$M$23))^$K$23))+($G$24+$H$24*'Advanced Outputs'!C$61^$I$24)*$J$24*EXP(-(($L$24*($B420-$M$24))^$K$24))+($G$25+$H$25*'Advanced Outputs'!C$61^$I$25)*$J$25*EXP(-(($L$25*($B420-$M$25))^$K$25))+$G$26))</f>
        <v>0.83265667808829</v>
      </c>
      <c r="D420" s="21">
        <f>10^(-(($G$21+$H$21*'Advanced Outputs'!C$60^$I$21)*(($B420/$M$21)^-$K$21)+($G$22+$H$22*'Advanced Outputs'!C$60^$I$22)*$J$22*EXP(-(($L$22*($B420-$M$22))^$K$22))+($G$23+$H$23*'Advanced Outputs'!C$60^$I$23)*$J$23*EXP(-(($L$23*($B420-$M$23))^$K$23))+($G$24+$H$24*'Advanced Outputs'!C$60^$I$24)*$J$24*EXP(-(($L$24*($B420-$M$24))^$K$24))+($G$25+$H$25*'Advanced Outputs'!C$60^$I$25)*$J$25*EXP(-(($L$25*($B420-$M$25))^$K$25))+$G$26))</f>
        <v>0.845990185387372</v>
      </c>
      <c r="E420" s="21">
        <f t="shared" si="6"/>
        <v>0.984239170229881</v>
      </c>
      <c r="F420" s="12"/>
      <c r="G420" s="9"/>
      <c r="H420" s="9"/>
      <c r="I420" s="9"/>
      <c r="J420" s="9"/>
      <c r="K420" s="9"/>
      <c r="L420" s="9"/>
      <c r="M420" s="9"/>
    </row>
    <row r="421" hidden="1" spans="1:13">
      <c r="A421" s="4"/>
      <c r="B421" s="4">
        <v>780</v>
      </c>
      <c r="C421" s="21">
        <f>10^(-(($G$21+$H$21*'Advanced Outputs'!C$61^$I$21)*(($B421/$M$21)^-$K$21)+($G$22+$H$22*'Advanced Outputs'!C$61^$I$22)*$J$22*EXP(-(($L$22*($B421-$M$22))^$K$22))+($G$23+$H$23*'Advanced Outputs'!C$61^$I$23)*$J$23*EXP(-(($L$23*($B421-$M$23))^$K$23))+($G$24+$H$24*'Advanced Outputs'!C$61^$I$24)*$J$24*EXP(-(($L$24*($B421-$M$24))^$K$24))+($G$25+$H$25*'Advanced Outputs'!C$61^$I$25)*$J$25*EXP(-(($L$25*($B421-$M$25))^$K$25))+$G$26))</f>
        <v>0.832848542933035</v>
      </c>
      <c r="D421" s="21">
        <f>10^(-(($G$21+$H$21*'Advanced Outputs'!C$60^$I$21)*(($B421/$M$21)^-$K$21)+($G$22+$H$22*'Advanced Outputs'!C$60^$I$22)*$J$22*EXP(-(($L$22*($B421-$M$22))^$K$22))+($G$23+$H$23*'Advanced Outputs'!C$60^$I$23)*$J$23*EXP(-(($L$23*($B421-$M$23))^$K$23))+($G$24+$H$24*'Advanced Outputs'!C$60^$I$24)*$J$24*EXP(-(($L$24*($B421-$M$24))^$K$24))+($G$25+$H$25*'Advanced Outputs'!C$60^$I$25)*$J$25*EXP(-(($L$25*($B421-$M$25))^$K$25))+$G$26))</f>
        <v>0.846116207516744</v>
      </c>
      <c r="E421" s="21">
        <f t="shared" si="6"/>
        <v>0.984319335256977</v>
      </c>
      <c r="F421" s="12"/>
      <c r="G421" s="9"/>
      <c r="H421" s="9"/>
      <c r="I421" s="9"/>
      <c r="J421" s="9"/>
      <c r="K421" s="9"/>
      <c r="L421" s="9"/>
      <c r="M421" s="9"/>
    </row>
    <row r="422" hidden="1" spans="1:13">
      <c r="A422" s="4"/>
      <c r="B422" s="4"/>
      <c r="C422" s="6"/>
      <c r="D422" s="6"/>
      <c r="E422" s="6"/>
      <c r="F422" s="6"/>
      <c r="G422" s="22"/>
      <c r="H422" s="22"/>
      <c r="I422" s="22"/>
      <c r="J422" s="22"/>
      <c r="K422" s="22"/>
      <c r="L422" s="22"/>
      <c r="M422" s="22"/>
    </row>
    <row r="423" hidden="1" spans="1:13">
      <c r="A423" s="4"/>
      <c r="B423" s="4"/>
      <c r="C423" s="6"/>
      <c r="D423" s="6"/>
      <c r="E423" s="6"/>
      <c r="F423" s="6"/>
      <c r="G423" s="22"/>
      <c r="H423" s="22"/>
      <c r="I423" s="22"/>
      <c r="J423" s="22"/>
      <c r="K423" s="22"/>
      <c r="L423" s="22"/>
      <c r="M423" s="22"/>
    </row>
  </sheetData>
  <sheetProtection password="CAB0" sheet="1" objects="1" scenarios="1"/>
  <dataValidations count="1">
    <dataValidation allowBlank="1" showErrorMessage="1" promptTitle="Ages" prompt="&#10;Enter observer age a in cell D6 (for non-standard calculations only).&#10;&#10;" sqref="B3"/>
  </dataValidations>
  <pageMargins left="0.7" right="0.7" top="0.75" bottom="0.75" header="0.3" footer="0.3"/>
  <pageSetup paperSize="9" scale="1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3" master="" otherUserPermission="visible"/>
  <rangeList sheetStid="9" master="" otherUserPermission="visible"/>
  <rangeList sheetStid="1" master="" otherUserPermission="visible"/>
  <rangeList sheetStid="14" master="" otherUserPermission="visible"/>
  <rangeList sheetStid="6" master="" otherUserPermission="visible"/>
  <rangeList sheetStid="12" master="" otherUserPermission="visible"/>
  <rangeList sheetStid="4" master="" otherUserPermission="visible"/>
  <rangeList sheetStid="11" master="" otherUserPermission="visible"/>
  <rangeList sheetStid="3" master="" otherUserPermission="visible"/>
  <rangeList sheetStid="16" master="" otherUserPermission="visible"/>
  <rangeList sheetStid="8" master="" otherUserPermission="visible"/>
  <rangeList sheetStid="15" master="" otherUserPermission="visible"/>
  <rangeList sheetStid="2" master="" otherUserPermission="visible"/>
  <rangeList sheetStid="5"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Maintenance</vt:lpstr>
      <vt:lpstr>Disclaimer</vt:lpstr>
      <vt:lpstr>Inputs</vt:lpstr>
      <vt:lpstr>Outputs</vt:lpstr>
      <vt:lpstr>Spectra</vt:lpstr>
      <vt:lpstr>Physics</vt:lpstr>
      <vt:lpstr>Photobiology</vt:lpstr>
      <vt:lpstr>Calculations</vt:lpstr>
      <vt:lpstr>Charts</vt:lpstr>
      <vt:lpstr>Action spectra</vt:lpstr>
      <vt:lpstr>Glossary</vt:lpstr>
      <vt:lpstr>Advanced Inputs</vt:lpstr>
      <vt:lpstr>Advanced Outputs</vt:lpstr>
      <vt:lpstr>Transmittance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dc:creator>
  <cp:lastModifiedBy>法式葡萄蛋挞</cp:lastModifiedBy>
  <dcterms:created xsi:type="dcterms:W3CDTF">2018-11-06T15:53:00Z</dcterms:created>
  <cp:lastPrinted>2020-03-26T12:09:00Z</cp:lastPrinted>
  <dcterms:modified xsi:type="dcterms:W3CDTF">2025-08-07T18:00:59Z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DF8F775F1BC9474EA5198BFC1A6E5340_12</vt:lpwstr>
  </property>
  <property fmtid="{D5CDD505-2E9C-101B-9397-08002B2CF9AE}" pid="3" name="KSOProductBuildVer">
    <vt:lpwstr>2052-12.1.0.21915</vt:lpwstr>
  </property>
</Properties>
</file>