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240" yWindow="45" windowWidth="11310" windowHeight="7995"/>
  </bookViews>
  <sheets>
    <sheet name=" Données" sheetId="7" r:id="rId1"/>
    <sheet name="Enveloppe" sheetId="1" r:id="rId2"/>
    <sheet name="Zone critique" sheetId="5" r:id="rId3"/>
    <sheet name="Zone supèrieure" sheetId="8" r:id="rId4"/>
    <sheet name="Calcul" sheetId="3" state="hidden" r:id="rId5"/>
    <sheet name="Moment resistant" sheetId="9" state="hidden" r:id="rId6"/>
    <sheet name="CALCUL Mrd" sheetId="10" state="hidden" r:id="rId7"/>
    <sheet name="Calcul linteaux" sheetId="11" state="hidden" r:id="rId8"/>
    <sheet name="linteaux" sheetId="12" r:id="rId9"/>
    <sheet name="About" sheetId="4" r:id="rId10"/>
  </sheets>
  <externalReferences>
    <externalReference r:id="rId11"/>
    <externalReference r:id="rId12"/>
  </externalReferences>
  <definedNames>
    <definedName name="Ac">#REF!</definedName>
    <definedName name="Als">[1]Menu!$HQ$8</definedName>
    <definedName name="Ap">[1]Menu!$GN$13</definedName>
    <definedName name="As">#REF!</definedName>
    <definedName name="Ash">#REF!</definedName>
    <definedName name="Ashs">[1]Menu!$HQ$20</definedName>
    <definedName name="Astrs">[1]Menu!$HQ$13</definedName>
    <definedName name="Astsel">[1]Menu!$HQ$25</definedName>
    <definedName name="Bw">[2]Sayfa1!$M$18</definedName>
    <definedName name="cv">#REF!</definedName>
    <definedName name="Duct">#REF!</definedName>
    <definedName name="DynamicList">OFFSET(Enveloppe!$I$31,0,0,COUNTA(Enveloppe!$I$31:$I$56),1)</definedName>
    <definedName name="fc">#REF!</definedName>
    <definedName name="fVc">[1]Menu!$GJ$16</definedName>
    <definedName name="fy">#REF!</definedName>
    <definedName name="Hcr">#REF!</definedName>
    <definedName name="hk">#REF!</definedName>
    <definedName name="Hu">[1]Menu!$EB$16</definedName>
    <definedName name="Hv">[2]Sayfa1!$M$16</definedName>
    <definedName name="k">#REF!</definedName>
    <definedName name="k1_">#REF!</definedName>
    <definedName name="k1dizi">#REF!</definedName>
    <definedName name="k2_">#REF!</definedName>
    <definedName name="L">[1]Menu!$KZ$19</definedName>
    <definedName name="Lu">#REF!</definedName>
    <definedName name="Lucr">#REF!</definedName>
    <definedName name="Lw">[2]Sayfa1!$M$17</definedName>
    <definedName name="m">#REF!</definedName>
    <definedName name="m_x">#REF!</definedName>
    <definedName name="m_y">#REF!</definedName>
    <definedName name="mmin">#REF!</definedName>
    <definedName name="Mu">[1]Menu!$EB$22</definedName>
    <definedName name="Mx">[2]Sayfa1!$AQ$26</definedName>
    <definedName name="Mxd">#REF!</definedName>
    <definedName name="My">[2]Sayfa1!$AQ$27</definedName>
    <definedName name="Myd">#REF!</definedName>
    <definedName name="n">#REF!</definedName>
    <definedName name="Nd">[2]Sayfa1!$AQ$23</definedName>
    <definedName name="Ndmax">[1]Menu!$GN$10</definedName>
    <definedName name="Ppull">[1]Menu!$IR$16</definedName>
    <definedName name="_xlnm.Print_Area" localSheetId="3">'Zone supèrieure'!$A$1:$R$37</definedName>
    <definedName name="Qa">[1]Menu!$FL$10</definedName>
    <definedName name="qusf">[1]Menu!$FG$29</definedName>
    <definedName name="setmax">[1]Menu!$FL$18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Vd">#REF!</definedName>
    <definedName name="Ve">#REF!</definedName>
    <definedName name="Vr">#REF!</definedName>
    <definedName name="VrVe">#REF!</definedName>
    <definedName name="Vx">[2]Sayfa1!$AQ$24</definedName>
    <definedName name="Vy">[2]Sayfa1!$AQ$25</definedName>
    <definedName name="Yu">[1]Menu!$EB$30</definedName>
    <definedName name="α">#REF!</definedName>
    <definedName name="μ">#REF!</definedName>
  </definedNames>
  <calcPr calcId="125725"/>
</workbook>
</file>

<file path=xl/calcChain.xml><?xml version="1.0" encoding="utf-8"?>
<calcChain xmlns="http://schemas.openxmlformats.org/spreadsheetml/2006/main">
  <c r="D12" i="11"/>
  <c r="D11"/>
  <c r="I23" s="1"/>
  <c r="N16" i="7" l="1"/>
  <c r="Q13" i="12" l="1"/>
  <c r="D22" i="11" s="1"/>
  <c r="M11" s="1"/>
  <c r="M13"/>
  <c r="D19"/>
  <c r="M7" s="1"/>
  <c r="D32"/>
  <c r="M9" s="1"/>
  <c r="D6" l="1"/>
  <c r="D7"/>
  <c r="D8"/>
  <c r="D9"/>
  <c r="D10"/>
  <c r="D5"/>
  <c r="C3" i="12"/>
  <c r="E7" i="5"/>
  <c r="G23" i="1"/>
  <c r="I21" i="5"/>
  <c r="H33"/>
  <c r="D13" i="11" l="1"/>
  <c r="K15" s="1"/>
  <c r="D29"/>
  <c r="D18"/>
  <c r="D14"/>
  <c r="C15" i="12" s="1"/>
  <c r="M5" i="11"/>
  <c r="I19"/>
  <c r="D15"/>
  <c r="D27" s="1"/>
  <c r="D33"/>
  <c r="I17"/>
  <c r="I24"/>
  <c r="I20"/>
  <c r="I21" s="1"/>
  <c r="I22" s="1"/>
  <c r="D20"/>
  <c r="O9" i="5"/>
  <c r="E9"/>
  <c r="P15" i="8"/>
  <c r="M15"/>
  <c r="B134" i="3"/>
  <c r="F134"/>
  <c r="G134"/>
  <c r="J134"/>
  <c r="K134"/>
  <c r="E134"/>
  <c r="C133"/>
  <c r="D17" i="11" l="1"/>
  <c r="M6" s="1"/>
  <c r="R7" i="12" s="1"/>
  <c r="M10" i="11"/>
  <c r="R11" i="12" s="1"/>
  <c r="M14" i="11"/>
  <c r="R16" i="12" s="1"/>
  <c r="M12" i="11"/>
  <c r="R14" i="12" s="1"/>
  <c r="E20" i="11"/>
  <c r="D21"/>
  <c r="D24"/>
  <c r="D26"/>
  <c r="D28" s="1"/>
  <c r="D30" s="1"/>
  <c r="D31" s="1"/>
  <c r="R5" i="12"/>
  <c r="E14" i="11"/>
  <c r="E15"/>
  <c r="C14" i="12"/>
  <c r="Q6" s="1"/>
  <c r="I18" i="11"/>
  <c r="C134" i="3"/>
  <c r="L134"/>
  <c r="H134"/>
  <c r="D134"/>
  <c r="I134"/>
  <c r="M8" i="11" l="1"/>
  <c r="R9" i="12" s="1"/>
  <c r="Q18" s="1"/>
  <c r="B18"/>
  <c r="B135" i="3"/>
  <c r="F135"/>
  <c r="J135"/>
  <c r="E135"/>
  <c r="I135"/>
  <c r="D135"/>
  <c r="H135"/>
  <c r="L135"/>
  <c r="C135"/>
  <c r="G135"/>
  <c r="K135"/>
  <c r="G136" l="1"/>
  <c r="K136"/>
  <c r="D136"/>
  <c r="L136"/>
  <c r="B136"/>
  <c r="F136"/>
  <c r="J136"/>
  <c r="E136"/>
  <c r="I136"/>
  <c r="H136"/>
  <c r="C136"/>
  <c r="D137" l="1"/>
  <c r="H137"/>
  <c r="L137"/>
  <c r="I137"/>
  <c r="G137"/>
  <c r="K137"/>
  <c r="B137"/>
  <c r="F137"/>
  <c r="J137"/>
  <c r="E137"/>
  <c r="C137"/>
  <c r="E138" l="1"/>
  <c r="I138"/>
  <c r="G138"/>
  <c r="F138"/>
  <c r="D138"/>
  <c r="H138"/>
  <c r="L138"/>
  <c r="C138"/>
  <c r="K138"/>
  <c r="B138"/>
  <c r="J138"/>
  <c r="B139" l="1"/>
  <c r="F139"/>
  <c r="J139"/>
  <c r="H139"/>
  <c r="C139"/>
  <c r="K139"/>
  <c r="E139"/>
  <c r="I139"/>
  <c r="D139"/>
  <c r="L139"/>
  <c r="G139"/>
  <c r="G140" l="1"/>
  <c r="K140"/>
  <c r="E140"/>
  <c r="H140"/>
  <c r="B140"/>
  <c r="F140"/>
  <c r="J140"/>
  <c r="I140"/>
  <c r="D140"/>
  <c r="L140"/>
  <c r="C140"/>
  <c r="D141" l="1"/>
  <c r="H141"/>
  <c r="L141"/>
  <c r="B141"/>
  <c r="J141"/>
  <c r="E141"/>
  <c r="G141"/>
  <c r="K141"/>
  <c r="F141"/>
  <c r="I141"/>
  <c r="C141"/>
  <c r="E142" l="1"/>
  <c r="I142"/>
  <c r="G142"/>
  <c r="B142"/>
  <c r="J142"/>
  <c r="D142"/>
  <c r="H142"/>
  <c r="L142"/>
  <c r="C142"/>
  <c r="K142"/>
  <c r="F142"/>
  <c r="B143" l="1"/>
  <c r="F143"/>
  <c r="J143"/>
  <c r="D143"/>
  <c r="L143"/>
  <c r="G143"/>
  <c r="E143"/>
  <c r="I143"/>
  <c r="H143"/>
  <c r="C143"/>
  <c r="K143"/>
  <c r="L15" i="8"/>
  <c r="O15"/>
  <c r="M106" i="3"/>
  <c r="E3" i="8" l="1"/>
  <c r="C3" i="5"/>
  <c r="G3" i="1"/>
  <c r="E3" i="7"/>
  <c r="K33" i="5"/>
  <c r="G73" i="3"/>
  <c r="L7" i="5" l="1"/>
  <c r="C17"/>
  <c r="H12" i="9"/>
  <c r="H11"/>
  <c r="H10" s="1"/>
  <c r="H8" l="1"/>
  <c r="H19" i="10" s="1"/>
  <c r="H7" i="9"/>
  <c r="H22" s="1"/>
  <c r="H20" i="10"/>
  <c r="H21"/>
  <c r="E49"/>
  <c r="E50"/>
  <c r="E51"/>
  <c r="P21" i="9" s="1"/>
  <c r="E52" i="10"/>
  <c r="E53"/>
  <c r="S21" i="9" s="1"/>
  <c r="E54" i="10"/>
  <c r="E55"/>
  <c r="E56"/>
  <c r="E57"/>
  <c r="I10" i="9"/>
  <c r="M21"/>
  <c r="H23" l="1"/>
  <c r="L9"/>
  <c r="H22" i="10"/>
  <c r="H18"/>
  <c r="K9" i="9"/>
  <c r="M22"/>
  <c r="N7" i="5" l="1"/>
  <c r="M7"/>
  <c r="I7"/>
  <c r="H7"/>
  <c r="G7"/>
  <c r="F7"/>
  <c r="D7"/>
  <c r="J30" s="1"/>
  <c r="C7"/>
  <c r="B7"/>
  <c r="F73" i="3"/>
  <c r="E73"/>
  <c r="H10" i="7"/>
  <c r="K7" i="5" s="1"/>
  <c r="F11" i="8" l="1"/>
  <c r="P75" i="3"/>
  <c r="C41" i="5"/>
  <c r="R41"/>
  <c r="C15"/>
  <c r="R15"/>
  <c r="F10" i="8"/>
  <c r="J34" i="5"/>
  <c r="H34"/>
  <c r="J33"/>
  <c r="M32"/>
  <c r="H16" i="9"/>
  <c r="H10" i="10" s="1"/>
  <c r="H17" i="9"/>
  <c r="H11" i="10" s="1"/>
  <c r="H21" i="9"/>
  <c r="H15" i="10" s="1"/>
  <c r="H19" i="9"/>
  <c r="H13" i="10" s="1"/>
  <c r="D18" i="7"/>
  <c r="E80" i="3" s="1"/>
  <c r="G80" s="1"/>
  <c r="D19" i="7"/>
  <c r="E81" i="3" s="1"/>
  <c r="G81" s="1"/>
  <c r="D20" i="7"/>
  <c r="E82" i="3" s="1"/>
  <c r="D21" i="7"/>
  <c r="E83" i="3" s="1"/>
  <c r="G83" s="1"/>
  <c r="D22" i="7"/>
  <c r="E84" i="3" s="1"/>
  <c r="G84" s="1"/>
  <c r="D23" i="7"/>
  <c r="E85" i="3" s="1"/>
  <c r="G85" s="1"/>
  <c r="D24" i="7"/>
  <c r="H38" i="1" s="1"/>
  <c r="I38" s="1"/>
  <c r="D25" i="7"/>
  <c r="E87" i="3" s="1"/>
  <c r="G87" s="1"/>
  <c r="D26" i="7"/>
  <c r="E88" i="3" s="1"/>
  <c r="G88" s="1"/>
  <c r="D27" i="7"/>
  <c r="E89" i="3" s="1"/>
  <c r="G89" s="1"/>
  <c r="D28" i="7"/>
  <c r="E90" i="3" s="1"/>
  <c r="G90" s="1"/>
  <c r="D29" i="7"/>
  <c r="E91" i="3" s="1"/>
  <c r="G91" s="1"/>
  <c r="D30" i="7"/>
  <c r="E92" i="3" s="1"/>
  <c r="G92" s="1"/>
  <c r="D31" i="7"/>
  <c r="H45" i="1" s="1"/>
  <c r="J45" s="1"/>
  <c r="D32" i="7"/>
  <c r="E94" i="3" s="1"/>
  <c r="G94" s="1"/>
  <c r="D33" i="7"/>
  <c r="E95" i="3" s="1"/>
  <c r="G95" s="1"/>
  <c r="D34" i="7"/>
  <c r="E96" i="3" s="1"/>
  <c r="G96" s="1"/>
  <c r="D35" i="7"/>
  <c r="E97" i="3" s="1"/>
  <c r="G97" s="1"/>
  <c r="D36" i="7"/>
  <c r="E98" i="3" s="1"/>
  <c r="G98" s="1"/>
  <c r="D37" i="7"/>
  <c r="E99" i="3" s="1"/>
  <c r="G99" s="1"/>
  <c r="D38" i="7"/>
  <c r="H52" i="1" s="1"/>
  <c r="J52" s="1"/>
  <c r="D39" i="7"/>
  <c r="H53" i="1" s="1"/>
  <c r="J53" s="1"/>
  <c r="D40" i="7"/>
  <c r="H54" i="1" s="1"/>
  <c r="I54" s="1"/>
  <c r="D41" i="7"/>
  <c r="H55" i="1" s="1"/>
  <c r="J55" s="1"/>
  <c r="D42" i="7"/>
  <c r="H56" i="1" s="1"/>
  <c r="I56" s="1"/>
  <c r="D17" i="7"/>
  <c r="H31" i="1" s="1"/>
  <c r="H34"/>
  <c r="I34" s="1"/>
  <c r="H35"/>
  <c r="J35" s="1"/>
  <c r="F19" i="8" l="1"/>
  <c r="G82" i="3"/>
  <c r="H43" i="1"/>
  <c r="J43" s="1"/>
  <c r="E86" i="3"/>
  <c r="H47" i="1"/>
  <c r="J47" s="1"/>
  <c r="H51"/>
  <c r="J51" s="1"/>
  <c r="H39"/>
  <c r="I39" s="1"/>
  <c r="H46"/>
  <c r="I46" s="1"/>
  <c r="P99" i="3"/>
  <c r="O99"/>
  <c r="P95"/>
  <c r="O95"/>
  <c r="P91"/>
  <c r="O91"/>
  <c r="P87"/>
  <c r="O87"/>
  <c r="P96"/>
  <c r="O96"/>
  <c r="P92"/>
  <c r="O92"/>
  <c r="P88"/>
  <c r="O88"/>
  <c r="O97"/>
  <c r="P97"/>
  <c r="O89"/>
  <c r="P89"/>
  <c r="O85"/>
  <c r="P98"/>
  <c r="O98"/>
  <c r="P94"/>
  <c r="O94"/>
  <c r="P90"/>
  <c r="O90"/>
  <c r="H16" i="10"/>
  <c r="K53" s="1"/>
  <c r="H41" i="1"/>
  <c r="J41" s="1"/>
  <c r="E93" i="3"/>
  <c r="G93" s="1"/>
  <c r="H50" i="1"/>
  <c r="I50" s="1"/>
  <c r="H42"/>
  <c r="I42" s="1"/>
  <c r="H37"/>
  <c r="J37" s="1"/>
  <c r="H49"/>
  <c r="J49" s="1"/>
  <c r="H33"/>
  <c r="I33" s="1"/>
  <c r="F20" i="8"/>
  <c r="F83" i="3"/>
  <c r="E20" i="8" s="1"/>
  <c r="F82" i="3"/>
  <c r="E19" i="8" s="1"/>
  <c r="F21"/>
  <c r="F84" i="3"/>
  <c r="F17" i="8"/>
  <c r="F80" i="3"/>
  <c r="F18" i="8"/>
  <c r="F81" i="3"/>
  <c r="E18" i="8" s="1"/>
  <c r="N97" i="3"/>
  <c r="H97" a="1"/>
  <c r="H97" s="1"/>
  <c r="G34" i="8" s="1"/>
  <c r="D34"/>
  <c r="I97" i="3" a="1"/>
  <c r="I97" s="1"/>
  <c r="H34" i="8" s="1"/>
  <c r="D18"/>
  <c r="D32"/>
  <c r="I95" i="3" a="1"/>
  <c r="I95" s="1"/>
  <c r="H32" i="8" s="1"/>
  <c r="H95" i="3" a="1"/>
  <c r="H95" s="1"/>
  <c r="G32" i="8" s="1"/>
  <c r="D28"/>
  <c r="H91" i="3" a="1"/>
  <c r="H91" s="1"/>
  <c r="G28" i="8" s="1"/>
  <c r="I91" i="3" a="1"/>
  <c r="I91" s="1"/>
  <c r="H28" i="8" s="1"/>
  <c r="M98" i="3"/>
  <c r="D35" i="8"/>
  <c r="I98" i="3" a="1"/>
  <c r="I98" s="1"/>
  <c r="H35" i="8" s="1"/>
  <c r="H98" i="3" a="1"/>
  <c r="H98" s="1"/>
  <c r="G35" i="8" s="1"/>
  <c r="D19"/>
  <c r="H92" i="3" a="1"/>
  <c r="H92" s="1"/>
  <c r="G29" i="8" s="1"/>
  <c r="D29"/>
  <c r="I92" i="3" a="1"/>
  <c r="I92" s="1"/>
  <c r="H29" i="8" s="1"/>
  <c r="M94" i="3"/>
  <c r="H94" a="1"/>
  <c r="H94" s="1"/>
  <c r="G31" i="8" s="1"/>
  <c r="I94" i="3" a="1"/>
  <c r="I94" s="1"/>
  <c r="H31" i="8" s="1"/>
  <c r="D31"/>
  <c r="N89" i="3"/>
  <c r="H89" a="1"/>
  <c r="H89" s="1"/>
  <c r="G26" i="8" s="1"/>
  <c r="I89" i="3" a="1"/>
  <c r="I89" s="1"/>
  <c r="H26" i="8" s="1"/>
  <c r="D26"/>
  <c r="D36"/>
  <c r="H99" i="3" a="1"/>
  <c r="H99" s="1"/>
  <c r="G36" i="8" s="1"/>
  <c r="I99" i="3" a="1"/>
  <c r="I99" s="1"/>
  <c r="H36" i="8" s="1"/>
  <c r="D24"/>
  <c r="I87" i="3" a="1"/>
  <c r="I87" s="1"/>
  <c r="H24" i="8" s="1"/>
  <c r="H87" i="3" a="1"/>
  <c r="H87" s="1"/>
  <c r="G24" i="8" s="1"/>
  <c r="D20"/>
  <c r="M90" i="3"/>
  <c r="D27" i="8"/>
  <c r="I90" i="3" a="1"/>
  <c r="I90" s="1"/>
  <c r="H27" i="8" s="1"/>
  <c r="H90" i="3" a="1"/>
  <c r="H90" s="1"/>
  <c r="G27" i="8" s="1"/>
  <c r="I96" i="3" a="1"/>
  <c r="I96" s="1"/>
  <c r="H33" i="8" s="1"/>
  <c r="H96" i="3" a="1"/>
  <c r="H96" s="1"/>
  <c r="G33" i="8" s="1"/>
  <c r="D33"/>
  <c r="I88" i="3" a="1"/>
  <c r="I88" s="1"/>
  <c r="H25" i="8" s="1"/>
  <c r="D25"/>
  <c r="H88" i="3" a="1"/>
  <c r="H88" s="1"/>
  <c r="G25" i="8" s="1"/>
  <c r="D21"/>
  <c r="D17"/>
  <c r="D22"/>
  <c r="H48" i="1"/>
  <c r="J48" s="1"/>
  <c r="H44"/>
  <c r="J44" s="1"/>
  <c r="H40"/>
  <c r="J40" s="1"/>
  <c r="H36"/>
  <c r="J36" s="1"/>
  <c r="H32"/>
  <c r="J32" s="1"/>
  <c r="E79" i="3"/>
  <c r="G79" s="1"/>
  <c r="O7" i="5" s="1"/>
  <c r="F99" i="3"/>
  <c r="K87"/>
  <c r="F88"/>
  <c r="M96"/>
  <c r="K92"/>
  <c r="N88"/>
  <c r="F87"/>
  <c r="J92"/>
  <c r="N99"/>
  <c r="F98"/>
  <c r="J88"/>
  <c r="L99"/>
  <c r="N96"/>
  <c r="F92"/>
  <c r="F25" i="8"/>
  <c r="K95" i="3"/>
  <c r="L91"/>
  <c r="N91"/>
  <c r="F94"/>
  <c r="F96"/>
  <c r="F91"/>
  <c r="F33" i="8"/>
  <c r="K99" i="3"/>
  <c r="K91"/>
  <c r="L98"/>
  <c r="L90"/>
  <c r="M92"/>
  <c r="N95"/>
  <c r="N87"/>
  <c r="L94"/>
  <c r="F95"/>
  <c r="F90"/>
  <c r="F29" i="8"/>
  <c r="J96" i="3"/>
  <c r="K96"/>
  <c r="K88"/>
  <c r="L95"/>
  <c r="L87"/>
  <c r="M88"/>
  <c r="N92"/>
  <c r="J97"/>
  <c r="J54" i="1"/>
  <c r="J38"/>
  <c r="F97" i="3"/>
  <c r="F89"/>
  <c r="F85"/>
  <c r="F36" i="8"/>
  <c r="F32"/>
  <c r="F28"/>
  <c r="F24"/>
  <c r="J99" i="3"/>
  <c r="J95"/>
  <c r="J91"/>
  <c r="J87"/>
  <c r="K98"/>
  <c r="K94"/>
  <c r="K90"/>
  <c r="L97"/>
  <c r="L89"/>
  <c r="M99"/>
  <c r="M95"/>
  <c r="M91"/>
  <c r="M87"/>
  <c r="N98"/>
  <c r="N94"/>
  <c r="N90"/>
  <c r="J34" i="1"/>
  <c r="F34" i="8"/>
  <c r="F26"/>
  <c r="F22"/>
  <c r="J89" i="3"/>
  <c r="M97"/>
  <c r="M89"/>
  <c r="F35" i="8"/>
  <c r="F31"/>
  <c r="F27"/>
  <c r="J98" i="3"/>
  <c r="J94"/>
  <c r="J90"/>
  <c r="K97"/>
  <c r="K89"/>
  <c r="L96"/>
  <c r="L92"/>
  <c r="L88"/>
  <c r="I55" i="1"/>
  <c r="I35"/>
  <c r="I52"/>
  <c r="I53"/>
  <c r="I45"/>
  <c r="J56"/>
  <c r="J31"/>
  <c r="I31"/>
  <c r="I48" i="3" a="1"/>
  <c r="I48" s="1"/>
  <c r="J9" i="1"/>
  <c r="J8"/>
  <c r="J7"/>
  <c r="J6"/>
  <c r="J5"/>
  <c r="J26" s="1"/>
  <c r="O18" i="8" l="1"/>
  <c r="O20"/>
  <c r="O19"/>
  <c r="H86" i="3" a="1"/>
  <c r="H86" s="1"/>
  <c r="G23" i="8" s="1"/>
  <c r="G86" i="3"/>
  <c r="F23" i="8" s="1"/>
  <c r="O86" i="3"/>
  <c r="I86" a="1"/>
  <c r="I86" s="1"/>
  <c r="H23" i="8" s="1"/>
  <c r="I47" i="1"/>
  <c r="N86" i="3"/>
  <c r="K86"/>
  <c r="J39" i="1"/>
  <c r="I43"/>
  <c r="J86" i="3"/>
  <c r="J46" i="1"/>
  <c r="F86" i="3"/>
  <c r="S86" s="1"/>
  <c r="L86"/>
  <c r="D23" i="8"/>
  <c r="P86" i="3"/>
  <c r="J50" i="1"/>
  <c r="M86" i="3"/>
  <c r="I51" i="1"/>
  <c r="K80" i="10"/>
  <c r="K74"/>
  <c r="K68"/>
  <c r="I93" i="3" a="1"/>
  <c r="I93" s="1"/>
  <c r="H30" i="8" s="1"/>
  <c r="O93" i="3"/>
  <c r="P93"/>
  <c r="K40" i="10"/>
  <c r="K26"/>
  <c r="N26" s="1"/>
  <c r="O26" s="1"/>
  <c r="K24"/>
  <c r="N24" s="1"/>
  <c r="O24" s="1"/>
  <c r="H23"/>
  <c r="K62"/>
  <c r="I49" i="1"/>
  <c r="K6" i="10"/>
  <c r="K55"/>
  <c r="L55" s="1"/>
  <c r="M55" s="1"/>
  <c r="K48"/>
  <c r="K12"/>
  <c r="K38"/>
  <c r="K76"/>
  <c r="J76" s="1"/>
  <c r="K79"/>
  <c r="K57"/>
  <c r="K36"/>
  <c r="N36" s="1"/>
  <c r="O36" s="1"/>
  <c r="K19"/>
  <c r="J19" s="1"/>
  <c r="K9"/>
  <c r="K10"/>
  <c r="K72"/>
  <c r="K84"/>
  <c r="L84" s="1"/>
  <c r="M84" s="1"/>
  <c r="K42"/>
  <c r="K60"/>
  <c r="K46"/>
  <c r="K31"/>
  <c r="J31" s="1"/>
  <c r="K70"/>
  <c r="K37"/>
  <c r="N37" s="1"/>
  <c r="O37" s="1"/>
  <c r="K33"/>
  <c r="N33" s="1"/>
  <c r="O33" s="1"/>
  <c r="K22"/>
  <c r="J22" s="1"/>
  <c r="K34"/>
  <c r="L34" s="1"/>
  <c r="M34" s="1"/>
  <c r="K16"/>
  <c r="K30"/>
  <c r="N30" s="1"/>
  <c r="O30" s="1"/>
  <c r="K59"/>
  <c r="J59" s="1"/>
  <c r="K85"/>
  <c r="K67"/>
  <c r="K45"/>
  <c r="K17"/>
  <c r="L17" s="1"/>
  <c r="M17" s="1"/>
  <c r="K15"/>
  <c r="K13"/>
  <c r="K78"/>
  <c r="K58"/>
  <c r="K52"/>
  <c r="K61"/>
  <c r="K44"/>
  <c r="K29"/>
  <c r="N29" s="1"/>
  <c r="O29" s="1"/>
  <c r="K27"/>
  <c r="N27" s="1"/>
  <c r="O27" s="1"/>
  <c r="K21"/>
  <c r="N21" s="1"/>
  <c r="O21" s="1"/>
  <c r="K23"/>
  <c r="J23" s="1"/>
  <c r="K39"/>
  <c r="J39" s="1"/>
  <c r="K18"/>
  <c r="N18" s="1"/>
  <c r="O18" s="1"/>
  <c r="K11"/>
  <c r="K43"/>
  <c r="K82"/>
  <c r="L82" s="1"/>
  <c r="M82" s="1"/>
  <c r="K66"/>
  <c r="K54"/>
  <c r="K49"/>
  <c r="K32"/>
  <c r="N32" s="1"/>
  <c r="O32" s="1"/>
  <c r="K41"/>
  <c r="K63"/>
  <c r="K81"/>
  <c r="K8"/>
  <c r="L8" s="1"/>
  <c r="M8" s="1"/>
  <c r="K47"/>
  <c r="K56"/>
  <c r="K64"/>
  <c r="K35"/>
  <c r="J35" s="1"/>
  <c r="K69"/>
  <c r="K73"/>
  <c r="K51"/>
  <c r="K25"/>
  <c r="L25" s="1"/>
  <c r="M25" s="1"/>
  <c r="K77"/>
  <c r="K28"/>
  <c r="L28" s="1"/>
  <c r="M28" s="1"/>
  <c r="K20"/>
  <c r="L20" s="1"/>
  <c r="M20" s="1"/>
  <c r="K71"/>
  <c r="J71" s="1"/>
  <c r="K14"/>
  <c r="K83"/>
  <c r="K7"/>
  <c r="K75"/>
  <c r="N75" s="1"/>
  <c r="O75" s="1"/>
  <c r="K65"/>
  <c r="K50"/>
  <c r="J42" i="1"/>
  <c r="N82" i="10"/>
  <c r="O82" s="1"/>
  <c r="J93" i="3"/>
  <c r="H93" a="1"/>
  <c r="H93" s="1"/>
  <c r="G30" i="8" s="1"/>
  <c r="M93" i="3"/>
  <c r="D30" i="8"/>
  <c r="C42" i="3"/>
  <c r="I41" i="1"/>
  <c r="F30" i="8"/>
  <c r="L93" i="3"/>
  <c r="F93"/>
  <c r="R93" s="1"/>
  <c r="N93"/>
  <c r="I37" i="1"/>
  <c r="K93" i="3"/>
  <c r="J33" i="1"/>
  <c r="E27" i="8"/>
  <c r="Q90" i="3"/>
  <c r="S90"/>
  <c r="R90"/>
  <c r="Q81"/>
  <c r="S81"/>
  <c r="Q84"/>
  <c r="S84"/>
  <c r="E33" i="8"/>
  <c r="S96" i="3"/>
  <c r="R96"/>
  <c r="Q96"/>
  <c r="E31" i="8"/>
  <c r="S94" i="3"/>
  <c r="Q94"/>
  <c r="R94"/>
  <c r="E22" i="8"/>
  <c r="S85" i="3"/>
  <c r="Q85"/>
  <c r="E32" i="8"/>
  <c r="S95" i="3"/>
  <c r="R95"/>
  <c r="Q95"/>
  <c r="E24" i="8"/>
  <c r="S87" i="3"/>
  <c r="R87"/>
  <c r="Q87"/>
  <c r="I36" i="1"/>
  <c r="E21" i="8"/>
  <c r="E34"/>
  <c r="S97" i="3"/>
  <c r="R97"/>
  <c r="Q97"/>
  <c r="E36" i="8"/>
  <c r="S99" i="3"/>
  <c r="R99"/>
  <c r="Q99"/>
  <c r="Q83"/>
  <c r="S83"/>
  <c r="E26" i="8"/>
  <c r="S89" i="3"/>
  <c r="R89"/>
  <c r="Q89"/>
  <c r="E28" i="8"/>
  <c r="S91" i="3"/>
  <c r="R91"/>
  <c r="Q91"/>
  <c r="E29" i="8"/>
  <c r="S92" i="3"/>
  <c r="R92"/>
  <c r="Q92"/>
  <c r="E35" i="8"/>
  <c r="Q98" i="3"/>
  <c r="S98"/>
  <c r="R98"/>
  <c r="E25" i="8"/>
  <c r="S88" i="3"/>
  <c r="Q88"/>
  <c r="R88"/>
  <c r="Q80"/>
  <c r="S80"/>
  <c r="Q82"/>
  <c r="S82"/>
  <c r="L18" i="8"/>
  <c r="N126" i="3" s="1"/>
  <c r="L20" i="8"/>
  <c r="N128" i="3" s="1"/>
  <c r="L19" i="8"/>
  <c r="N127" i="3" s="1"/>
  <c r="E17" i="8"/>
  <c r="I32" i="1"/>
  <c r="I48"/>
  <c r="D16" i="8"/>
  <c r="I40" i="1"/>
  <c r="I44"/>
  <c r="F79" i="3"/>
  <c r="I10" i="7"/>
  <c r="J75" i="3" s="1"/>
  <c r="N36" i="8" l="1"/>
  <c r="O36"/>
  <c r="N34"/>
  <c r="O34"/>
  <c r="O17"/>
  <c r="N25"/>
  <c r="O25"/>
  <c r="O35"/>
  <c r="N35"/>
  <c r="O143" i="3" s="1" a="1"/>
  <c r="O143" s="1"/>
  <c r="N29" i="8"/>
  <c r="O29"/>
  <c r="N28"/>
  <c r="O136" i="3" s="1" a="1"/>
  <c r="O136" s="1"/>
  <c r="O28" i="8"/>
  <c r="N26"/>
  <c r="O26"/>
  <c r="N24"/>
  <c r="O132" i="3" s="1" a="1"/>
  <c r="O132" s="1"/>
  <c r="O24" i="8"/>
  <c r="N32"/>
  <c r="O32"/>
  <c r="O21"/>
  <c r="N22"/>
  <c r="O22"/>
  <c r="O31"/>
  <c r="N31"/>
  <c r="N33"/>
  <c r="O33"/>
  <c r="O27"/>
  <c r="N27"/>
  <c r="O144" i="3" a="1"/>
  <c r="O144" s="1"/>
  <c r="O139" a="1"/>
  <c r="O139" s="1"/>
  <c r="P128"/>
  <c r="P127"/>
  <c r="P126"/>
  <c r="J35" i="8"/>
  <c r="Q35"/>
  <c r="J28"/>
  <c r="Q28"/>
  <c r="J24"/>
  <c r="Q24"/>
  <c r="J22"/>
  <c r="J33"/>
  <c r="Q33"/>
  <c r="J27"/>
  <c r="Q27"/>
  <c r="J34"/>
  <c r="Q34"/>
  <c r="J25"/>
  <c r="Q25"/>
  <c r="J29"/>
  <c r="Q29"/>
  <c r="J26"/>
  <c r="Q26"/>
  <c r="J32"/>
  <c r="Q32"/>
  <c r="J31"/>
  <c r="Q31"/>
  <c r="J36"/>
  <c r="Q36"/>
  <c r="L26" i="10"/>
  <c r="M26" s="1"/>
  <c r="Q86" i="3"/>
  <c r="L15" i="10"/>
  <c r="M15" s="1"/>
  <c r="L9"/>
  <c r="M9" s="1"/>
  <c r="E23" i="8"/>
  <c r="L35" i="10"/>
  <c r="M35" s="1"/>
  <c r="J7"/>
  <c r="J6"/>
  <c r="R86" i="3"/>
  <c r="J14" i="10"/>
  <c r="J11"/>
  <c r="J13"/>
  <c r="N16"/>
  <c r="O16" s="1"/>
  <c r="J10"/>
  <c r="J12"/>
  <c r="N55"/>
  <c r="O55" s="1"/>
  <c r="J25"/>
  <c r="N48"/>
  <c r="O48" s="1"/>
  <c r="L62"/>
  <c r="M62" s="1"/>
  <c r="L19"/>
  <c r="M19" s="1"/>
  <c r="J29"/>
  <c r="L31"/>
  <c r="M31" s="1"/>
  <c r="N19"/>
  <c r="O19" s="1"/>
  <c r="N35"/>
  <c r="O35" s="1"/>
  <c r="J17"/>
  <c r="N25"/>
  <c r="O25" s="1"/>
  <c r="J48"/>
  <c r="N8"/>
  <c r="O8" s="1"/>
  <c r="L29"/>
  <c r="M29" s="1"/>
  <c r="N15"/>
  <c r="O15" s="1"/>
  <c r="L22"/>
  <c r="M22" s="1"/>
  <c r="J32"/>
  <c r="L51"/>
  <c r="M51" s="1"/>
  <c r="J64"/>
  <c r="N81"/>
  <c r="O81" s="1"/>
  <c r="J49"/>
  <c r="N43"/>
  <c r="O43" s="1"/>
  <c r="L44"/>
  <c r="M44" s="1"/>
  <c r="J78"/>
  <c r="L45"/>
  <c r="M45" s="1"/>
  <c r="J46"/>
  <c r="L72"/>
  <c r="M72" s="1"/>
  <c r="L38"/>
  <c r="M38" s="1"/>
  <c r="J80"/>
  <c r="J55"/>
  <c r="L39"/>
  <c r="M39" s="1"/>
  <c r="N31"/>
  <c r="O31" s="1"/>
  <c r="L32"/>
  <c r="M32" s="1"/>
  <c r="L76"/>
  <c r="M76" s="1"/>
  <c r="J8"/>
  <c r="N17"/>
  <c r="O17" s="1"/>
  <c r="N22"/>
  <c r="O22" s="1"/>
  <c r="J75"/>
  <c r="J50"/>
  <c r="N83"/>
  <c r="O83" s="1"/>
  <c r="L73"/>
  <c r="M73" s="1"/>
  <c r="J56"/>
  <c r="L63"/>
  <c r="M63" s="1"/>
  <c r="N54"/>
  <c r="O54" s="1"/>
  <c r="N71"/>
  <c r="O71" s="1"/>
  <c r="N74"/>
  <c r="O74" s="1"/>
  <c r="J62"/>
  <c r="L40"/>
  <c r="M40" s="1"/>
  <c r="J36"/>
  <c r="J30"/>
  <c r="L81"/>
  <c r="M81" s="1"/>
  <c r="L61"/>
  <c r="M61" s="1"/>
  <c r="J67"/>
  <c r="L60"/>
  <c r="M60" s="1"/>
  <c r="L57"/>
  <c r="M57" s="1"/>
  <c r="N62"/>
  <c r="O62" s="1"/>
  <c r="L80"/>
  <c r="M80" s="1"/>
  <c r="J74"/>
  <c r="L36"/>
  <c r="M36" s="1"/>
  <c r="L24"/>
  <c r="M24" s="1"/>
  <c r="N68"/>
  <c r="O68" s="1"/>
  <c r="N51"/>
  <c r="O51" s="1"/>
  <c r="L49"/>
  <c r="M49" s="1"/>
  <c r="L59"/>
  <c r="M59" s="1"/>
  <c r="N53"/>
  <c r="O53" s="1"/>
  <c r="L58"/>
  <c r="M58" s="1"/>
  <c r="N80"/>
  <c r="O80" s="1"/>
  <c r="N76"/>
  <c r="O76" s="1"/>
  <c r="L48"/>
  <c r="M48" s="1"/>
  <c r="J40"/>
  <c r="J68"/>
  <c r="N49"/>
  <c r="O49" s="1"/>
  <c r="J72"/>
  <c r="N44"/>
  <c r="O44" s="1"/>
  <c r="L28" i="8"/>
  <c r="N136" i="3" s="1"/>
  <c r="P136" s="1"/>
  <c r="L29" i="8"/>
  <c r="N137" i="3" s="1"/>
  <c r="P137" s="1"/>
  <c r="L35" i="8"/>
  <c r="N143" i="3" s="1"/>
  <c r="P143" s="1"/>
  <c r="O140" a="1"/>
  <c r="O140" s="1"/>
  <c r="L33" i="8"/>
  <c r="N141" i="3" s="1"/>
  <c r="P141" s="1"/>
  <c r="L34" i="8"/>
  <c r="N142" i="3" s="1"/>
  <c r="P142" s="1"/>
  <c r="L25" i="8"/>
  <c r="N133" i="3" s="1"/>
  <c r="P133" s="1"/>
  <c r="L7" i="10"/>
  <c r="M7" s="1"/>
  <c r="N34"/>
  <c r="O34" s="1"/>
  <c r="J58"/>
  <c r="N60"/>
  <c r="O60" s="1"/>
  <c r="J24"/>
  <c r="J57"/>
  <c r="J43"/>
  <c r="N39"/>
  <c r="O39" s="1"/>
  <c r="N52"/>
  <c r="O52" s="1"/>
  <c r="N45"/>
  <c r="O45" s="1"/>
  <c r="N59"/>
  <c r="O59" s="1"/>
  <c r="L33"/>
  <c r="M33" s="1"/>
  <c r="J84"/>
  <c r="J53"/>
  <c r="L75"/>
  <c r="M75" s="1"/>
  <c r="N23"/>
  <c r="O23" s="1"/>
  <c r="N58"/>
  <c r="O58" s="1"/>
  <c r="N65"/>
  <c r="O65" s="1"/>
  <c r="L77"/>
  <c r="M77" s="1"/>
  <c r="J69"/>
  <c r="L47"/>
  <c r="M47" s="1"/>
  <c r="N41"/>
  <c r="O41" s="1"/>
  <c r="J66"/>
  <c r="L52"/>
  <c r="M52" s="1"/>
  <c r="L85"/>
  <c r="M85" s="1"/>
  <c r="J70"/>
  <c r="J42"/>
  <c r="N79"/>
  <c r="O79" s="1"/>
  <c r="N38"/>
  <c r="O38" s="1"/>
  <c r="L74"/>
  <c r="M74" s="1"/>
  <c r="N40"/>
  <c r="O40" s="1"/>
  <c r="L68"/>
  <c r="M68" s="1"/>
  <c r="L50"/>
  <c r="M50" s="1"/>
  <c r="L71"/>
  <c r="M71" s="1"/>
  <c r="J41"/>
  <c r="L43"/>
  <c r="M43" s="1"/>
  <c r="N78"/>
  <c r="O78" s="1"/>
  <c r="J45"/>
  <c r="L30"/>
  <c r="M30" s="1"/>
  <c r="L37"/>
  <c r="M37" s="1"/>
  <c r="N46"/>
  <c r="O46" s="1"/>
  <c r="N84"/>
  <c r="O84" s="1"/>
  <c r="L53"/>
  <c r="M53" s="1"/>
  <c r="N14"/>
  <c r="O14" s="1"/>
  <c r="N64"/>
  <c r="O64" s="1"/>
  <c r="J82"/>
  <c r="L23"/>
  <c r="M23" s="1"/>
  <c r="L66"/>
  <c r="M66" s="1"/>
  <c r="J85"/>
  <c r="N77"/>
  <c r="O77" s="1"/>
  <c r="L18"/>
  <c r="M18" s="1"/>
  <c r="N47"/>
  <c r="O47" s="1"/>
  <c r="N6"/>
  <c r="O6" s="1"/>
  <c r="N9"/>
  <c r="O9" s="1"/>
  <c r="L6"/>
  <c r="M6" s="1"/>
  <c r="N69"/>
  <c r="O69" s="1"/>
  <c r="J81"/>
  <c r="N63"/>
  <c r="O63" s="1"/>
  <c r="N20"/>
  <c r="O20" s="1"/>
  <c r="L27"/>
  <c r="M27" s="1"/>
  <c r="J26"/>
  <c r="J79"/>
  <c r="L65"/>
  <c r="M65" s="1"/>
  <c r="L41"/>
  <c r="M41" s="1"/>
  <c r="J52"/>
  <c r="N85"/>
  <c r="O85" s="1"/>
  <c r="L42"/>
  <c r="M42" s="1"/>
  <c r="J27"/>
  <c r="J38"/>
  <c r="J9"/>
  <c r="N12"/>
  <c r="O12" s="1"/>
  <c r="N57"/>
  <c r="O57" s="1"/>
  <c r="L79"/>
  <c r="M79" s="1"/>
  <c r="J65"/>
  <c r="L69"/>
  <c r="M69" s="1"/>
  <c r="N66"/>
  <c r="O66" s="1"/>
  <c r="N70"/>
  <c r="O70" s="1"/>
  <c r="N42"/>
  <c r="O42" s="1"/>
  <c r="J47"/>
  <c r="L12"/>
  <c r="M12" s="1"/>
  <c r="J34"/>
  <c r="L70"/>
  <c r="M70" s="1"/>
  <c r="L14"/>
  <c r="M14" s="1"/>
  <c r="J77"/>
  <c r="J18"/>
  <c r="L83"/>
  <c r="M83" s="1"/>
  <c r="L11"/>
  <c r="M11" s="1"/>
  <c r="J21"/>
  <c r="N61"/>
  <c r="O61" s="1"/>
  <c r="J15"/>
  <c r="N13"/>
  <c r="O13" s="1"/>
  <c r="N10"/>
  <c r="O10" s="1"/>
  <c r="N50"/>
  <c r="O50" s="1"/>
  <c r="N28"/>
  <c r="O28" s="1"/>
  <c r="N11"/>
  <c r="O11" s="1"/>
  <c r="J61"/>
  <c r="N67"/>
  <c r="O67" s="1"/>
  <c r="J16"/>
  <c r="J73"/>
  <c r="L13"/>
  <c r="M13" s="1"/>
  <c r="L10"/>
  <c r="M10" s="1"/>
  <c r="N7"/>
  <c r="O7" s="1"/>
  <c r="J28"/>
  <c r="J51"/>
  <c r="L56"/>
  <c r="M56" s="1"/>
  <c r="L54"/>
  <c r="M54" s="1"/>
  <c r="L21"/>
  <c r="M21" s="1"/>
  <c r="L78"/>
  <c r="M78" s="1"/>
  <c r="L67"/>
  <c r="M67" s="1"/>
  <c r="L16"/>
  <c r="M16" s="1"/>
  <c r="J33"/>
  <c r="J37"/>
  <c r="L46"/>
  <c r="M46" s="1"/>
  <c r="J60"/>
  <c r="N72"/>
  <c r="O72" s="1"/>
  <c r="J63"/>
  <c r="J20"/>
  <c r="N73"/>
  <c r="O73" s="1"/>
  <c r="L64"/>
  <c r="M64" s="1"/>
  <c r="J44"/>
  <c r="J83"/>
  <c r="N56"/>
  <c r="O56" s="1"/>
  <c r="J54"/>
  <c r="O142" i="3" a="1"/>
  <c r="O142" s="1"/>
  <c r="Q93"/>
  <c r="L36" i="8"/>
  <c r="N144" i="3" s="1"/>
  <c r="P144" s="1"/>
  <c r="E30" i="8"/>
  <c r="S93" i="3"/>
  <c r="L21" i="8"/>
  <c r="N129" i="3" s="1"/>
  <c r="P129" s="1"/>
  <c r="L27" i="8"/>
  <c r="N135" i="3" s="1"/>
  <c r="P135" s="1"/>
  <c r="O134" a="1"/>
  <c r="O134" s="1"/>
  <c r="L24" i="8"/>
  <c r="N132" i="3" s="1"/>
  <c r="P132" s="1"/>
  <c r="E16" i="8"/>
  <c r="S79" i="3"/>
  <c r="Q79"/>
  <c r="O133" a="1"/>
  <c r="O133" s="1"/>
  <c r="L22" i="8"/>
  <c r="N130" i="3" s="1"/>
  <c r="P130" s="1"/>
  <c r="O137" a="1"/>
  <c r="O137" s="1"/>
  <c r="L31" i="8"/>
  <c r="N139" i="3" s="1"/>
  <c r="P139" s="1"/>
  <c r="O135" a="1"/>
  <c r="O135" s="1"/>
  <c r="L26" i="8"/>
  <c r="N134" i="3" s="1"/>
  <c r="P134" s="1"/>
  <c r="F16" i="8"/>
  <c r="H14" i="9"/>
  <c r="L32" i="8"/>
  <c r="N140" i="3" s="1"/>
  <c r="P140" s="1"/>
  <c r="O141" a="1"/>
  <c r="O141" s="1"/>
  <c r="L17" i="8"/>
  <c r="N125" i="3" s="1"/>
  <c r="P125" s="1"/>
  <c r="E75"/>
  <c r="D12" i="7"/>
  <c r="J10" i="1" a="1"/>
  <c r="J10" s="1"/>
  <c r="N30" i="8" l="1"/>
  <c r="O138" i="3" s="1" a="1"/>
  <c r="O138" s="1"/>
  <c r="O30" i="8"/>
  <c r="O23"/>
  <c r="N23"/>
  <c r="N16"/>
  <c r="O16"/>
  <c r="Q133" i="3" a="1"/>
  <c r="Q133" s="1"/>
  <c r="S133" s="1"/>
  <c r="P25" i="8" s="1"/>
  <c r="R133" i="3"/>
  <c r="M25" i="8" s="1"/>
  <c r="R140" i="3"/>
  <c r="M32" i="8" s="1"/>
  <c r="Q140" i="3" a="1"/>
  <c r="Q140" s="1"/>
  <c r="S140" s="1"/>
  <c r="P32" i="8" s="1"/>
  <c r="Q139" i="3" a="1"/>
  <c r="Q139" s="1"/>
  <c r="S139" s="1"/>
  <c r="P31" i="8" s="1"/>
  <c r="R139" i="3"/>
  <c r="M31" i="8" s="1"/>
  <c r="S142" i="3"/>
  <c r="P34" i="8" s="1"/>
  <c r="R142" i="3"/>
  <c r="M34" i="8" s="1"/>
  <c r="Q142" i="3" a="1"/>
  <c r="Q142" s="1"/>
  <c r="Q144" a="1"/>
  <c r="Q144" s="1"/>
  <c r="S144" s="1"/>
  <c r="P36" i="8" s="1"/>
  <c r="R144" i="3"/>
  <c r="M36" i="8" s="1"/>
  <c r="R136" i="3"/>
  <c r="M28" i="8" s="1"/>
  <c r="Q136" i="3" a="1"/>
  <c r="Q136" s="1"/>
  <c r="S136" s="1"/>
  <c r="P28" i="8" s="1"/>
  <c r="Q143" i="3" a="1"/>
  <c r="Q143" s="1"/>
  <c r="S143" s="1"/>
  <c r="P35" i="8" s="1"/>
  <c r="R143" i="3"/>
  <c r="M35" i="8" s="1"/>
  <c r="Q137" i="3" a="1"/>
  <c r="Q137" s="1"/>
  <c r="S137" s="1"/>
  <c r="P29" i="8" s="1"/>
  <c r="R137" i="3"/>
  <c r="M29" i="8" s="1"/>
  <c r="R134" i="3"/>
  <c r="M26" i="8" s="1"/>
  <c r="Q134" i="3" a="1"/>
  <c r="Q134" s="1"/>
  <c r="S134" s="1"/>
  <c r="P26" i="8" s="1"/>
  <c r="R141" i="3"/>
  <c r="M33" i="8" s="1"/>
  <c r="Q141" i="3" a="1"/>
  <c r="Q141" s="1"/>
  <c r="S141" s="1"/>
  <c r="P33" i="8" s="1"/>
  <c r="S135" i="3"/>
  <c r="P27" i="8" s="1"/>
  <c r="R135" i="3"/>
  <c r="M27" i="8" s="1"/>
  <c r="Q135" i="3" a="1"/>
  <c r="Q135" s="1"/>
  <c r="Q132" a="1"/>
  <c r="Q132" s="1"/>
  <c r="S132" s="1"/>
  <c r="P24" i="8" s="1"/>
  <c r="R132" i="3"/>
  <c r="M24" i="8" s="1"/>
  <c r="J30"/>
  <c r="Q30"/>
  <c r="J23"/>
  <c r="Q23"/>
  <c r="O131" i="3" a="1"/>
  <c r="O131" s="1"/>
  <c r="L23" i="8"/>
  <c r="N131" i="3" s="1"/>
  <c r="P131" s="1"/>
  <c r="L30" i="8"/>
  <c r="N138" i="3" s="1"/>
  <c r="P138" s="1"/>
  <c r="R12" i="10"/>
  <c r="R76"/>
  <c r="R43"/>
  <c r="R51"/>
  <c r="R74"/>
  <c r="R22"/>
  <c r="R53"/>
  <c r="R23"/>
  <c r="R55"/>
  <c r="R64"/>
  <c r="R50"/>
  <c r="R73"/>
  <c r="R47"/>
  <c r="R27"/>
  <c r="R15"/>
  <c r="R80"/>
  <c r="R65"/>
  <c r="R42"/>
  <c r="H29"/>
  <c r="R14"/>
  <c r="R72"/>
  <c r="R57"/>
  <c r="R39"/>
  <c r="R33"/>
  <c r="R17"/>
  <c r="R49"/>
  <c r="R61"/>
  <c r="R81"/>
  <c r="R52"/>
  <c r="R25"/>
  <c r="R78"/>
  <c r="R66"/>
  <c r="R19"/>
  <c r="R7"/>
  <c r="R70"/>
  <c r="R58"/>
  <c r="R18"/>
  <c r="R82"/>
  <c r="R44"/>
  <c r="H31"/>
  <c r="R9"/>
  <c r="R6"/>
  <c r="R24"/>
  <c r="R68"/>
  <c r="R20"/>
  <c r="R75"/>
  <c r="R40"/>
  <c r="R84"/>
  <c r="R45"/>
  <c r="R31"/>
  <c r="R79"/>
  <c r="R16"/>
  <c r="R29"/>
  <c r="R56"/>
  <c r="R48"/>
  <c r="R85"/>
  <c r="R71"/>
  <c r="R38"/>
  <c r="R21"/>
  <c r="R11"/>
  <c r="R77"/>
  <c r="R63"/>
  <c r="R41"/>
  <c r="H28"/>
  <c r="R10"/>
  <c r="R69"/>
  <c r="R46"/>
  <c r="R37"/>
  <c r="R32"/>
  <c r="R13"/>
  <c r="R28"/>
  <c r="R30"/>
  <c r="R62"/>
  <c r="R34"/>
  <c r="R59"/>
  <c r="R54"/>
  <c r="R83"/>
  <c r="R36"/>
  <c r="R8"/>
  <c r="R60"/>
  <c r="R26"/>
  <c r="R67"/>
  <c r="R35"/>
  <c r="L16" i="8"/>
  <c r="N124" i="3" s="1"/>
  <c r="P124" s="1"/>
  <c r="D14" i="7"/>
  <c r="M31" i="5"/>
  <c r="M33" l="1"/>
  <c r="N20" i="8"/>
  <c r="N19"/>
  <c r="N18"/>
  <c r="N21"/>
  <c r="N17"/>
  <c r="Q138" i="3" a="1"/>
  <c r="Q138" s="1"/>
  <c r="S138" s="1"/>
  <c r="P30" i="8" s="1"/>
  <c r="R138" i="3"/>
  <c r="M30" i="8" s="1"/>
  <c r="R131" i="3"/>
  <c r="M23" i="8" s="1"/>
  <c r="Q131" i="3" a="1"/>
  <c r="Q131" s="1"/>
  <c r="S131"/>
  <c r="P23" i="8" s="1"/>
  <c r="J73" i="3"/>
  <c r="L73"/>
  <c r="K73"/>
  <c r="Q75" s="1"/>
  <c r="I73"/>
  <c r="H73"/>
  <c r="O84" l="1"/>
  <c r="J21" i="8" s="1"/>
  <c r="O83" i="3"/>
  <c r="J20" i="8" s="1"/>
  <c r="O80" i="3"/>
  <c r="J17" i="8" s="1"/>
  <c r="O82" i="3"/>
  <c r="J19" i="8" s="1"/>
  <c r="O81" i="3"/>
  <c r="J18" i="8" s="1"/>
  <c r="O79" i="3"/>
  <c r="J16" i="8" s="1"/>
  <c r="I11"/>
  <c r="I10"/>
  <c r="P105" i="3"/>
  <c r="Q105"/>
  <c r="O73" l="1"/>
  <c r="P73"/>
  <c r="N73"/>
  <c r="M73"/>
  <c r="O47" i="5" l="1"/>
  <c r="F47"/>
  <c r="R17"/>
  <c r="O50"/>
  <c r="O49"/>
  <c r="F50"/>
  <c r="F49"/>
  <c r="R21"/>
  <c r="C21"/>
  <c r="J9"/>
  <c r="L9"/>
  <c r="R14"/>
  <c r="C14"/>
  <c r="B24" s="1"/>
  <c r="L18"/>
  <c r="I18"/>
  <c r="J18"/>
  <c r="M9" l="1"/>
  <c r="Q24"/>
  <c r="M30"/>
  <c r="K36" s="1"/>
  <c r="H36"/>
  <c r="C53" l="1"/>
  <c r="R53"/>
  <c r="R42"/>
  <c r="R43" s="1"/>
  <c r="C16"/>
  <c r="R16"/>
  <c r="J32"/>
  <c r="F10"/>
  <c r="O10"/>
  <c r="R22" l="1"/>
  <c r="F48"/>
  <c r="C49" s="1"/>
  <c r="C20"/>
  <c r="C22"/>
  <c r="R44"/>
  <c r="O48"/>
  <c r="R49" s="1"/>
  <c r="R20"/>
  <c r="O22" s="1"/>
  <c r="J31"/>
  <c r="C23" l="1"/>
  <c r="H16" s="1"/>
  <c r="R23"/>
  <c r="O46"/>
  <c r="R50" s="1"/>
  <c r="R51" s="1"/>
  <c r="F46"/>
  <c r="C50" s="1"/>
  <c r="C51" s="1"/>
  <c r="C42"/>
  <c r="C43" l="1"/>
  <c r="C44" s="1"/>
  <c r="F9"/>
  <c r="J16"/>
  <c r="G25" i="1"/>
  <c r="D43" i="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42"/>
  <c r="F19"/>
  <c r="F18"/>
  <c r="G17"/>
  <c r="G17" i="1"/>
  <c r="G33" i="3" l="1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I41"/>
  <c r="I50" s="1"/>
  <c r="F43" l="1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42"/>
  <c r="G43"/>
  <c r="G44"/>
  <c r="G45"/>
  <c r="G46"/>
  <c r="G47"/>
  <c r="G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J41" l="1"/>
  <c r="G27"/>
  <c r="G18"/>
  <c r="G28" s="1"/>
  <c r="G30"/>
  <c r="F29"/>
  <c r="F23"/>
  <c r="J11" i="1"/>
  <c r="J12" s="1"/>
  <c r="G32" i="3" l="1"/>
  <c r="J7" i="5"/>
  <c r="K34" s="1"/>
  <c r="J44" i="3" a="1"/>
  <c r="J44" s="1"/>
  <c r="I49" a="1"/>
  <c r="I49" s="1"/>
  <c r="J45" a="1"/>
  <c r="J45" s="1"/>
  <c r="I44" a="1"/>
  <c r="I44" s="1"/>
  <c r="I45" a="1"/>
  <c r="I45" s="1"/>
  <c r="L56" a="1"/>
  <c r="L56" s="1"/>
  <c r="L46" a="1"/>
  <c r="L46" s="1"/>
  <c r="L65" a="1"/>
  <c r="L65" s="1"/>
  <c r="M65" s="1" a="1"/>
  <c r="M65" s="1"/>
  <c r="L47" a="1"/>
  <c r="L47" s="1"/>
  <c r="L62" a="1"/>
  <c r="L62" s="1"/>
  <c r="M62" s="1" a="1"/>
  <c r="M62" s="1"/>
  <c r="L64" a="1"/>
  <c r="L64" s="1"/>
  <c r="M64" s="1" a="1"/>
  <c r="M64" s="1"/>
  <c r="L43" a="1"/>
  <c r="L43" s="1"/>
  <c r="L63" a="1"/>
  <c r="L63" s="1"/>
  <c r="M63" s="1" a="1"/>
  <c r="M63" s="1"/>
  <c r="L58" a="1"/>
  <c r="L58" s="1"/>
  <c r="M58" s="1" a="1"/>
  <c r="M58" s="1"/>
  <c r="L49" a="1"/>
  <c r="L49" s="1"/>
  <c r="M49" s="1" a="1"/>
  <c r="M49" s="1"/>
  <c r="L52" a="1"/>
  <c r="L52" s="1"/>
  <c r="M52" s="1" a="1"/>
  <c r="M52" s="1"/>
  <c r="L55" a="1"/>
  <c r="L55" s="1"/>
  <c r="M55" s="1" a="1"/>
  <c r="M55" s="1"/>
  <c r="L66" a="1"/>
  <c r="L66" s="1"/>
  <c r="M66" s="1" a="1"/>
  <c r="M66" s="1"/>
  <c r="L61" a="1"/>
  <c r="L61" s="1"/>
  <c r="M61" s="1" a="1"/>
  <c r="M61" s="1"/>
  <c r="L42" a="1"/>
  <c r="L42" s="1"/>
  <c r="M42" s="1" a="1"/>
  <c r="M42" s="1"/>
  <c r="L59" a="1"/>
  <c r="L59" s="1"/>
  <c r="M59" s="1" a="1"/>
  <c r="M59" s="1"/>
  <c r="L50" a="1"/>
  <c r="L50" s="1"/>
  <c r="M50" s="1" a="1"/>
  <c r="M50" s="1"/>
  <c r="L45" a="1"/>
  <c r="L45" s="1"/>
  <c r="L48" a="1"/>
  <c r="L48" s="1"/>
  <c r="M48" s="1" a="1"/>
  <c r="M48" s="1"/>
  <c r="L51" a="1"/>
  <c r="L51" s="1"/>
  <c r="M51" s="1" a="1"/>
  <c r="M51" s="1"/>
  <c r="L67" a="1"/>
  <c r="L67" s="1"/>
  <c r="M67" s="1" a="1"/>
  <c r="M67" s="1"/>
  <c r="L54" a="1"/>
  <c r="L54" s="1"/>
  <c r="M54" s="1" a="1"/>
  <c r="M54" s="1"/>
  <c r="L57" a="1"/>
  <c r="L57" s="1"/>
  <c r="M57" s="1" a="1"/>
  <c r="M57" s="1"/>
  <c r="L44" a="1"/>
  <c r="L44" s="1"/>
  <c r="L60" a="1"/>
  <c r="L60" s="1"/>
  <c r="M60" s="1" a="1"/>
  <c r="M60" s="1"/>
  <c r="L53" a="1"/>
  <c r="L53" s="1"/>
  <c r="M53" s="1" a="1"/>
  <c r="M53" s="1"/>
  <c r="I43"/>
  <c r="F24"/>
  <c r="G29"/>
  <c r="G24"/>
  <c r="G23"/>
  <c r="F30"/>
  <c r="D27"/>
  <c r="D28" s="1"/>
  <c r="D29" s="1"/>
  <c r="D30" s="1"/>
  <c r="Q73" l="1"/>
  <c r="S73"/>
  <c r="H81" a="1"/>
  <c r="H81" s="1"/>
  <c r="K81" s="1"/>
  <c r="H85" a="1"/>
  <c r="H85" s="1"/>
  <c r="H79" a="1"/>
  <c r="H79" s="1"/>
  <c r="P7" i="5" s="1"/>
  <c r="M34"/>
  <c r="R45"/>
  <c r="O45"/>
  <c r="R46" s="1"/>
  <c r="F45"/>
  <c r="C46" s="1"/>
  <c r="C45"/>
  <c r="H82" i="3" a="1"/>
  <c r="H82" s="1"/>
  <c r="J82" s="1"/>
  <c r="H84" a="1"/>
  <c r="H84" s="1"/>
  <c r="K84" s="1"/>
  <c r="H80" a="1"/>
  <c r="H80" s="1"/>
  <c r="H83" a="1"/>
  <c r="H83" s="1"/>
  <c r="G20" i="8" s="1"/>
  <c r="I79" i="3" a="1"/>
  <c r="I79" s="1"/>
  <c r="J43" a="1"/>
  <c r="J43" s="1"/>
  <c r="G34" a="1"/>
  <c r="G34" s="1"/>
  <c r="M56" a="1"/>
  <c r="M56" s="1"/>
  <c r="F28"/>
  <c r="A16" i="8" l="1"/>
  <c r="Q22" s="1"/>
  <c r="N31" i="7"/>
  <c r="A19" i="8"/>
  <c r="N24" i="7"/>
  <c r="Q19" i="8"/>
  <c r="R54" i="5"/>
  <c r="C54"/>
  <c r="Q7"/>
  <c r="G18" i="8"/>
  <c r="J81" i="3"/>
  <c r="L81" s="1"/>
  <c r="M81" s="1"/>
  <c r="N81" s="1"/>
  <c r="P81" s="1"/>
  <c r="G22" i="8"/>
  <c r="J85" i="3"/>
  <c r="K85"/>
  <c r="K79"/>
  <c r="G16" i="8"/>
  <c r="J79" i="3"/>
  <c r="K82"/>
  <c r="G19" i="8"/>
  <c r="G21"/>
  <c r="J84" i="3"/>
  <c r="K80"/>
  <c r="J80"/>
  <c r="K83"/>
  <c r="J83"/>
  <c r="G17" i="8"/>
  <c r="H16"/>
  <c r="R79" i="3"/>
  <c r="M45" a="1"/>
  <c r="M45" s="1"/>
  <c r="M47" a="1"/>
  <c r="M47" s="1"/>
  <c r="M43" a="1"/>
  <c r="M43" s="1"/>
  <c r="M46" a="1"/>
  <c r="M46" s="1"/>
  <c r="M44" a="1"/>
  <c r="M44" s="1"/>
  <c r="J15" i="1"/>
  <c r="Q17" i="8" l="1"/>
  <c r="Q16"/>
  <c r="Q18"/>
  <c r="Q20"/>
  <c r="Q21"/>
  <c r="R52" i="5"/>
  <c r="R56" s="1"/>
  <c r="C52"/>
  <c r="C56" s="1"/>
  <c r="C18"/>
  <c r="C19" s="1"/>
  <c r="R18"/>
  <c r="R19" s="1"/>
  <c r="M16" s="1"/>
  <c r="H35"/>
  <c r="L35"/>
  <c r="O124" i="3" a="1"/>
  <c r="O124" s="1"/>
  <c r="Q106"/>
  <c r="L85"/>
  <c r="M85" s="1"/>
  <c r="P106"/>
  <c r="L79"/>
  <c r="L84"/>
  <c r="M84" s="1"/>
  <c r="N84" s="1"/>
  <c r="P84" s="1"/>
  <c r="L82"/>
  <c r="M82" s="1"/>
  <c r="N82" s="1"/>
  <c r="P82" s="1"/>
  <c r="L80"/>
  <c r="M80" s="1"/>
  <c r="N80" s="1"/>
  <c r="P80" s="1"/>
  <c r="L83"/>
  <c r="J49" a="1"/>
  <c r="J49" s="1"/>
  <c r="J50" a="1"/>
  <c r="J50" s="1"/>
  <c r="H18" i="9" l="1"/>
  <c r="H12" i="10" s="1"/>
  <c r="F16" i="5"/>
  <c r="I85" i="3" a="1"/>
  <c r="I85" s="1"/>
  <c r="H22" i="8" s="1"/>
  <c r="O130" i="3" s="1" a="1"/>
  <c r="O130" s="1"/>
  <c r="Q124" a="1"/>
  <c r="Q124" s="1"/>
  <c r="S124" s="1"/>
  <c r="P16" i="8" s="1"/>
  <c r="R124" i="3"/>
  <c r="M16" i="8" s="1"/>
  <c r="H20" i="9"/>
  <c r="H14" i="10" s="1"/>
  <c r="I80" i="3" a="1"/>
  <c r="I80" s="1"/>
  <c r="M79"/>
  <c r="N85"/>
  <c r="P85" s="1"/>
  <c r="I84" a="1"/>
  <c r="I84" s="1"/>
  <c r="R84" s="1"/>
  <c r="I82" a="1"/>
  <c r="I82" s="1"/>
  <c r="R82" s="1"/>
  <c r="I81" a="1"/>
  <c r="I81" s="1"/>
  <c r="R81" s="1"/>
  <c r="I83" a="1"/>
  <c r="I83" s="1"/>
  <c r="R83" s="1"/>
  <c r="M83"/>
  <c r="N83" s="1"/>
  <c r="P83" s="1"/>
  <c r="J48" a="1"/>
  <c r="J48" s="1"/>
  <c r="J28" i="1" s="1"/>
  <c r="R85" i="3" l="1"/>
  <c r="R130"/>
  <c r="M22" i="8" s="1"/>
  <c r="Q130" i="3" a="1"/>
  <c r="Q130" s="1"/>
  <c r="S130" s="1"/>
  <c r="P22" i="8" s="1"/>
  <c r="K18" i="9"/>
  <c r="R80" i="3"/>
  <c r="H17" i="8"/>
  <c r="N79" i="3"/>
  <c r="H34" i="10"/>
  <c r="P75"/>
  <c r="P14"/>
  <c r="P8"/>
  <c r="P9"/>
  <c r="P15"/>
  <c r="Q41"/>
  <c r="P30"/>
  <c r="P24"/>
  <c r="Q12"/>
  <c r="P10"/>
  <c r="Q47"/>
  <c r="P29"/>
  <c r="P77"/>
  <c r="Q49"/>
  <c r="P57"/>
  <c r="P28"/>
  <c r="P44"/>
  <c r="P52"/>
  <c r="P56"/>
  <c r="Q69"/>
  <c r="Q72"/>
  <c r="Q26"/>
  <c r="P51"/>
  <c r="P42"/>
  <c r="Q31"/>
  <c r="Q37"/>
  <c r="Q29"/>
  <c r="Q75"/>
  <c r="Q11"/>
  <c r="Q24"/>
  <c r="Q27"/>
  <c r="P53"/>
  <c r="Q28"/>
  <c r="Q52"/>
  <c r="P69"/>
  <c r="Q38"/>
  <c r="Q51"/>
  <c r="Q19"/>
  <c r="P20"/>
  <c r="Q42"/>
  <c r="P31"/>
  <c r="P36"/>
  <c r="Q30"/>
  <c r="Q7"/>
  <c r="P37"/>
  <c r="P33"/>
  <c r="P38"/>
  <c r="Q53"/>
  <c r="P48"/>
  <c r="Q61"/>
  <c r="Q16"/>
  <c r="P6"/>
  <c r="P18"/>
  <c r="P12"/>
  <c r="P19"/>
  <c r="Q25"/>
  <c r="P7"/>
  <c r="Q46"/>
  <c r="Q10"/>
  <c r="Q33"/>
  <c r="Q36"/>
  <c r="Q8"/>
  <c r="Q20"/>
  <c r="Q43"/>
  <c r="Q21"/>
  <c r="P49"/>
  <c r="Q22"/>
  <c r="Q40"/>
  <c r="Q48"/>
  <c r="Q54"/>
  <c r="P61"/>
  <c r="Q68"/>
  <c r="Q14"/>
  <c r="Q23"/>
  <c r="P55"/>
  <c r="P25"/>
  <c r="H35"/>
  <c r="Q34"/>
  <c r="P43"/>
  <c r="P68"/>
  <c r="P26"/>
  <c r="Q15"/>
  <c r="Q44"/>
  <c r="Q56"/>
  <c r="Q13"/>
  <c r="P11"/>
  <c r="P34"/>
  <c r="P13"/>
  <c r="Q18"/>
  <c r="P21"/>
  <c r="P22"/>
  <c r="P40"/>
  <c r="P54"/>
  <c r="P47"/>
  <c r="P23"/>
  <c r="Q55"/>
  <c r="Q39"/>
  <c r="P58"/>
  <c r="Q76"/>
  <c r="Q35"/>
  <c r="Q9"/>
  <c r="Q50"/>
  <c r="Q60"/>
  <c r="P67"/>
  <c r="Q65"/>
  <c r="P63"/>
  <c r="Q80"/>
  <c r="P82"/>
  <c r="P59"/>
  <c r="Q78"/>
  <c r="P64"/>
  <c r="Q84"/>
  <c r="Q17"/>
  <c r="P27"/>
  <c r="Q67"/>
  <c r="P72"/>
  <c r="P65"/>
  <c r="P84"/>
  <c r="P70"/>
  <c r="Q58"/>
  <c r="P62"/>
  <c r="P81"/>
  <c r="P41"/>
  <c r="Q77"/>
  <c r="P46"/>
  <c r="P32"/>
  <c r="Q83"/>
  <c r="Q70"/>
  <c r="P73"/>
  <c r="Q62"/>
  <c r="P60"/>
  <c r="Q85"/>
  <c r="Q32"/>
  <c r="P16"/>
  <c r="Q45"/>
  <c r="P35"/>
  <c r="P45"/>
  <c r="P39"/>
  <c r="Q73"/>
  <c r="Q59"/>
  <c r="Q66"/>
  <c r="P80"/>
  <c r="Q82"/>
  <c r="Q63"/>
  <c r="P83"/>
  <c r="P78"/>
  <c r="Q64"/>
  <c r="Q57"/>
  <c r="Q6"/>
  <c r="P17"/>
  <c r="Q79"/>
  <c r="P66"/>
  <c r="P74"/>
  <c r="P50"/>
  <c r="Q71"/>
  <c r="P85"/>
  <c r="Q81"/>
  <c r="P76"/>
  <c r="P79"/>
  <c r="P71"/>
  <c r="Q74"/>
  <c r="H19" i="8"/>
  <c r="H20"/>
  <c r="H21"/>
  <c r="H18"/>
  <c r="O126" i="3" l="1" a="1"/>
  <c r="O126" s="1"/>
  <c r="R126" s="1"/>
  <c r="M18" i="8" s="1"/>
  <c r="O125" i="3" a="1"/>
  <c r="O125" s="1"/>
  <c r="O128" a="1"/>
  <c r="O128" s="1"/>
  <c r="O129" a="1"/>
  <c r="O129" s="1"/>
  <c r="O127" a="1"/>
  <c r="O127" s="1"/>
  <c r="P79"/>
  <c r="S65" i="10"/>
  <c r="T40"/>
  <c r="T42"/>
  <c r="S85"/>
  <c r="T85"/>
  <c r="S72"/>
  <c r="T72"/>
  <c r="T82"/>
  <c r="S82"/>
  <c r="S68"/>
  <c r="S67"/>
  <c r="T67"/>
  <c r="T13"/>
  <c r="S13"/>
  <c r="T25"/>
  <c r="S25"/>
  <c r="T53"/>
  <c r="S53"/>
  <c r="S9"/>
  <c r="T9"/>
  <c r="T48"/>
  <c r="S48"/>
  <c r="S77"/>
  <c r="T77"/>
  <c r="S15"/>
  <c r="T15"/>
  <c r="T76"/>
  <c r="S76"/>
  <c r="T50"/>
  <c r="S50"/>
  <c r="T16"/>
  <c r="S16"/>
  <c r="S32"/>
  <c r="T32"/>
  <c r="T27"/>
  <c r="S27"/>
  <c r="T63"/>
  <c r="S63"/>
  <c r="T58"/>
  <c r="S58"/>
  <c r="S47"/>
  <c r="T47"/>
  <c r="T21"/>
  <c r="S21"/>
  <c r="S11"/>
  <c r="T11"/>
  <c r="T49"/>
  <c r="S49"/>
  <c r="T12"/>
  <c r="S12"/>
  <c r="S33"/>
  <c r="T33"/>
  <c r="T52"/>
  <c r="S52"/>
  <c r="S10"/>
  <c r="T10"/>
  <c r="T14"/>
  <c r="S14"/>
  <c r="T68"/>
  <c r="S81"/>
  <c r="T84"/>
  <c r="T36"/>
  <c r="T71"/>
  <c r="S71"/>
  <c r="S66"/>
  <c r="T66"/>
  <c r="S36"/>
  <c r="T35"/>
  <c r="S35"/>
  <c r="H33"/>
  <c r="H32"/>
  <c r="T29"/>
  <c r="T28"/>
  <c r="S28"/>
  <c r="S24"/>
  <c r="T24"/>
  <c r="S74"/>
  <c r="T74"/>
  <c r="S84"/>
  <c r="S83"/>
  <c r="T83"/>
  <c r="T45"/>
  <c r="S45"/>
  <c r="T73"/>
  <c r="S73"/>
  <c r="T46"/>
  <c r="S46"/>
  <c r="T62"/>
  <c r="S62"/>
  <c r="S60"/>
  <c r="S59"/>
  <c r="T59"/>
  <c r="S54"/>
  <c r="T54"/>
  <c r="T26"/>
  <c r="S26"/>
  <c r="S7"/>
  <c r="T7"/>
  <c r="T18"/>
  <c r="S18"/>
  <c r="T37"/>
  <c r="S37"/>
  <c r="T31"/>
  <c r="S31"/>
  <c r="T44"/>
  <c r="S44"/>
  <c r="S75"/>
  <c r="T75"/>
  <c r="S17"/>
  <c r="T17"/>
  <c r="S78"/>
  <c r="T78"/>
  <c r="T81"/>
  <c r="T80"/>
  <c r="S80"/>
  <c r="S40"/>
  <c r="S39"/>
  <c r="T39"/>
  <c r="T79"/>
  <c r="S79"/>
  <c r="S42"/>
  <c r="T41"/>
  <c r="S41"/>
  <c r="S70"/>
  <c r="T70"/>
  <c r="T65"/>
  <c r="S64"/>
  <c r="T64"/>
  <c r="S23"/>
  <c r="T23"/>
  <c r="S22"/>
  <c r="T22"/>
  <c r="S34"/>
  <c r="T34"/>
  <c r="T43"/>
  <c r="S43"/>
  <c r="T55"/>
  <c r="S55"/>
  <c r="T61"/>
  <c r="S61"/>
  <c r="T19"/>
  <c r="S19"/>
  <c r="T38"/>
  <c r="S38"/>
  <c r="S20"/>
  <c r="T20"/>
  <c r="T69"/>
  <c r="S69"/>
  <c r="S51"/>
  <c r="T51"/>
  <c r="T56"/>
  <c r="S56"/>
  <c r="T57"/>
  <c r="S57"/>
  <c r="T30"/>
  <c r="S30"/>
  <c r="S8"/>
  <c r="T8"/>
  <c r="S29"/>
  <c r="T60"/>
  <c r="Q126" i="3" l="1" a="1"/>
  <c r="Q126" s="1"/>
  <c r="S126" s="1"/>
  <c r="P18" i="8" s="1"/>
  <c r="Q129" i="3" a="1"/>
  <c r="Q129" s="1"/>
  <c r="S129" s="1"/>
  <c r="P21" i="8" s="1"/>
  <c r="R129" i="3"/>
  <c r="M21" i="8" s="1"/>
  <c r="Q127" i="3" a="1"/>
  <c r="Q127" s="1"/>
  <c r="S127" s="1"/>
  <c r="P19" i="8" s="1"/>
  <c r="R127" i="3"/>
  <c r="M19" i="8" s="1"/>
  <c r="Q125" i="3" a="1"/>
  <c r="Q125" s="1"/>
  <c r="S125" s="1"/>
  <c r="P17" i="8" s="1"/>
  <c r="R125" i="3"/>
  <c r="M17" i="8" s="1"/>
  <c r="Q128" i="3" a="1"/>
  <c r="Q128" s="1"/>
  <c r="S128" s="1"/>
  <c r="P20" i="8" s="1"/>
  <c r="R128" i="3"/>
  <c r="M20" i="8" s="1"/>
  <c r="G29" i="10"/>
  <c r="G31"/>
  <c r="G30"/>
  <c r="H37"/>
  <c r="B41" i="9" s="1"/>
  <c r="H38" i="10"/>
  <c r="B44" i="9" s="1"/>
  <c r="H39" i="10"/>
  <c r="A45" i="9" s="1"/>
  <c r="K14"/>
  <c r="B38"/>
  <c r="R7" i="5" s="1"/>
  <c r="R48" l="1"/>
  <c r="R55" s="1"/>
  <c r="C48"/>
  <c r="C55" s="1"/>
  <c r="Q57" l="1"/>
  <c r="Q58"/>
  <c r="B57"/>
  <c r="B58"/>
</calcChain>
</file>

<file path=xl/comments1.xml><?xml version="1.0" encoding="utf-8"?>
<comments xmlns="http://schemas.openxmlformats.org/spreadsheetml/2006/main">
  <authors>
    <author>MOHAMMED</author>
    <author>Morsli Hammou</author>
  </authors>
  <commentList>
    <comment ref="E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hauteur totale des voiles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hauteur libre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représente la longueur du voile  </t>
        </r>
      </text>
    </comment>
    <comment ref="H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Largeur de l’âme du voile.</t>
        </r>
      </text>
    </comment>
    <comment ref="I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L’enrobage.</t>
        </r>
      </text>
    </comment>
    <comment ref="J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Résistance caractéristique à la compression du béton.</t>
        </r>
      </text>
    </comment>
    <comment ref="L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coefficient de sécurité du béton.</t>
        </r>
      </text>
    </comment>
    <comment ref="M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coefficient de sécurité de l'acier.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facteur de qualité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Période fondamentale dans la direction parallèle au voile.
T0=Tmode                      si Tmode &lt; 1.3*Tempirique
T0=1.3*Tempirique          si Tmode &gt; 1.3*Tempirique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Limite supérieur des périodes correspondant au palier d’accélération spectrale constante (voir table 3.4 et table 3.5 des R.P.A. 2024).</t>
        </r>
      </text>
    </comment>
    <comment ref="G9" authorId="1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 l'effort normal de
compression max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Coefficient de comportement </t>
        </r>
      </text>
    </comment>
    <comment ref="E16" authorId="1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La hauteur cumulée</t>
        </r>
      </text>
    </comment>
  </commentList>
</comments>
</file>

<file path=xl/comments2.xml><?xml version="1.0" encoding="utf-8"?>
<comments xmlns="http://schemas.openxmlformats.org/spreadsheetml/2006/main">
  <authors>
    <author>MOHAMMED</author>
  </authors>
  <commentList>
    <comment ref="I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hauteur libre.</t>
        </r>
      </text>
    </comment>
    <comment ref="I7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représente la longueur du voile. </t>
        </r>
      </text>
    </comment>
    <comment ref="I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hauteur totale des voiles.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moment maximal à la base.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moment maximal darnier voile.</t>
        </r>
      </text>
    </comment>
    <comment ref="I11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hcr pour l'équation 7,22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hcr apres la vérification del'équation 7,23.</t>
        </r>
      </text>
    </comment>
    <comment ref="I1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Entrer la valeur de la hauteur pour obtenir le moment.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Entrer la valeur de la hauteur pour obtenir L'éffort tranchant.</t>
        </r>
      </text>
    </comment>
  </commentList>
</comments>
</file>

<file path=xl/comments3.xml><?xml version="1.0" encoding="utf-8"?>
<comments xmlns="http://schemas.openxmlformats.org/spreadsheetml/2006/main">
  <authors>
    <author>MOHAMMED</author>
  </authors>
  <commentList>
    <comment ref="B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hauteur libre.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longueur du voile. 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Largeur de l’âme du voile.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L’enrobage.</t>
        </r>
      </text>
    </comment>
    <comment ref="F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Résistance caractéristique à la compression du béton.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coefficient de sécurité du béton</t>
        </r>
      </text>
    </comment>
    <comment ref="I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coefficient de sécurité de l'acier.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Coefficient de comportement </t>
        </r>
      </text>
    </comment>
    <comment ref="L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facteur de qualité.</t>
        </r>
      </text>
    </comment>
    <comment ref="M6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Periode fondamentale de vibration du biitiment</t>
        </r>
      </text>
    </comment>
    <comment ref="N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Periodes caracteristiques associees ala categorie de site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Effort normal de calcul s’exerçant sur une section</t>
        </r>
      </text>
    </comment>
    <comment ref="P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moment fléchissant issu de l'analyse (enveloppe de calcul décalée de hcr) à la base du mur.
</t>
        </r>
      </text>
    </comment>
    <comment ref="Q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Effort tranchant de calcul, V ̅=1.4 Vu</t>
        </r>
      </text>
    </comment>
    <comment ref="R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résistance à la flexion de calcul (Ex: SOCOTEC MR).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Represente le diametre minimal des armatures longitudinales, dans les elements de rive;
en outre øl &gt;I2mm.
</t>
        </r>
      </text>
    </comment>
    <comment ref="Q10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Represente le diametre minimal des armatures longitudinales, dans les elements de rive;
en outre øl &gt;I2mm.
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surface des armatures longitudinales choisie est ensuite vérifiée avec Avg, et elle doit être égale à cette dernière.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surface des armatures longitudinales choisie est ensuite vérifiée avec Avd, et elle doit être égale à cette dernière.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longueur de l’élément de rive choisi</t>
        </r>
      </text>
    </comment>
    <comment ref="Q1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longueur de l’élément de rive choisi.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L’épaisseur de l’élément de rive choisi.</t>
        </r>
      </text>
    </comment>
    <comment ref="Q1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L’épaisseur de l’élément de rive choisi.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longueur de l’élément de rive minimale.</t>
        </r>
      </text>
    </comment>
    <comment ref="Q1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longueur de l’élément de rive minimale.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L’épaisseur de l’élément de rive minimal.</t>
        </r>
      </text>
    </comment>
    <comment ref="Q1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L’épaisseur de l’élément de rive minimal.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Représenté la largeur du noyau confinée de l’élément de rive.</t>
        </r>
      </text>
    </comment>
    <comment ref="Q1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Représenté la largeur du noyau confinée de l’élément de rive.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Surfaces Des armatures longitudinales minimales dans les éléments de rive.</t>
        </r>
      </text>
    </comment>
    <comment ref="Q17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Surfaces Des armatures longitudinales minimales dans les éléments de rive.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- Armatures couture joints reprise coulage </t>
        </r>
      </text>
    </comment>
    <comment ref="Q1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- Armatures couture joints reprise coulage 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Surfaces Des armatures longitudinales final.</t>
        </r>
      </text>
    </comment>
    <comment ref="Q1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Surfaces Des armatures longitudinales final.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L’espacement vertical pour Les armatures de confinements,</t>
        </r>
      </text>
    </comment>
    <comment ref="Q20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L’espacement vertical pour Les armatures de confinements,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 de la section des éléments de rives.</t>
        </r>
      </text>
    </comment>
    <comment ref="Q2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 de la section des éléments de rives.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 noyau de la section des éléments de rives.</t>
        </r>
      </text>
    </comment>
    <comment ref="Q2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 noyau de la section des éléments de rives.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section d’un cours d’armatures transversale</t>
        </r>
      </text>
    </comment>
    <comment ref="Q2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section d’un cours d’armatures transversale.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diamètre choisi des armatures d'âme</t>
        </r>
      </text>
    </comment>
    <comment ref="K2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diamètre choisi des armatures d'âme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choisi des armatures d' âme.</t>
        </r>
      </text>
    </comment>
    <comment ref="K2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choisi des armatures d' âme.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maximal des armatures d' âme.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maximal des armatures d' âme.</t>
        </r>
      </text>
    </comment>
    <comment ref="H3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diamètre minimal des armatures d'âme.</t>
        </r>
      </text>
    </comment>
    <comment ref="K3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distance entre les centres de gravite des armatures des deux extrémités confinées.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diamètre maximal des armatures d'âme.</t>
        </r>
      </text>
    </comment>
    <comment ref="K3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diamètre maximal des armatures d'âme.</t>
        </r>
      </text>
    </comment>
    <comment ref="K3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 des armatures horizontaux. </t>
        </r>
      </text>
    </comment>
    <comment ref="H3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section de ferraillage correspondant a la section de l'âme du voile</t>
        </r>
      </text>
    </comment>
    <comment ref="K34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section de ferraillage horizontal de l'âme du voile pour Lcr,</t>
        </r>
      </text>
    </comment>
    <comment ref="B4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effort normal reduit, cas d' une section rectangulaire</t>
        </r>
      </text>
    </comment>
    <comment ref="E4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nombre total de barres longitudinales latéralement maintenues par des armatures de
confinement ou des épingles</t>
        </r>
      </text>
    </comment>
    <comment ref="N4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nombre total de barres longitudinales latéralement maintenues par des armatures de confinement ou des épingles
</t>
        </r>
      </text>
    </comment>
    <comment ref="Q4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effort normal reduit, cas d' une section rectangulaire</t>
        </r>
      </text>
    </comment>
    <comment ref="B4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valeur de calcul de la limite d' elasticite de l'acier divisé sur valeur de calcul de la resistance du beton a la compression</t>
        </r>
      </text>
    </comment>
    <comment ref="E4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distance entre des barres maintenus consécutives.</t>
        </r>
      </text>
    </comment>
    <comment ref="N4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distance entre des barres maintenus consécutives.</t>
        </r>
      </text>
    </comment>
    <comment ref="Q4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valeur de calcul de la limite d' elasticite de l'acier divisé sur valeur de calcul de la resistance du beton a la compression</t>
        </r>
      </text>
    </comment>
    <comment ref="B4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 pourcentage normalise des armatures verticales d'ames</t>
        </r>
      </text>
    </comment>
    <comment ref="E4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longueur total des armatures transversales (cadre+etreir+epaingle)</t>
        </r>
      </text>
    </comment>
    <comment ref="N4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longueur total des armatures transversales (cadre+etreir+epaingle)</t>
        </r>
      </text>
    </comment>
    <comment ref="Q4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 pourcentage normalise des armatures verticales d'ames</t>
        </r>
      </text>
    </comment>
    <comment ref="B4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position de l'axe neutre</t>
        </r>
      </text>
    </comment>
    <comment ref="Q4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position de l'axe neutre</t>
        </r>
      </text>
    </comment>
    <comment ref="B4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Volume du noyau en béton</t>
        </r>
      </text>
    </comment>
    <comment ref="E4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nombre des cadres sur la longueur critique ( Lcr)</t>
        </r>
      </text>
    </comment>
    <comment ref="N4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nombre des cadres sur la longueur critique ( Lcr)</t>
        </r>
      </text>
    </comment>
    <comment ref="Q4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Volume du noyau en béton</t>
        </r>
      </text>
    </comment>
    <comment ref="B4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volume des armatures de confinement</t>
        </r>
      </text>
    </comment>
    <comment ref="E4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entre les cadres sur la longueur critique (Lcr)</t>
        </r>
      </text>
    </comment>
    <comment ref="N4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entre les cadres sur la longueur critique (Lcr)</t>
        </r>
      </text>
    </comment>
    <comment ref="Q4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volume des armatures de confinement</t>
        </r>
      </text>
    </comment>
    <comment ref="B47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déformation critique du béton 0,35%</t>
        </r>
      </text>
    </comment>
    <comment ref="Q47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déformation critique du béton 0,35%</t>
        </r>
      </text>
    </comment>
    <comment ref="B4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 Valeur requise du coefficient de ductilite en courbure</t>
        </r>
      </text>
    </comment>
    <comment ref="Q4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 Valeur requise du coefficient de ductilite en courbure</t>
        </r>
      </text>
    </comment>
    <comment ref="B5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coefficient d' efficacite du confinement.</t>
        </r>
      </text>
    </comment>
    <comment ref="Q5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coefficient d' effi cacite du confinement.</t>
        </r>
      </text>
    </comment>
    <comment ref="B5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raccourcissement limite a la rupture</t>
        </r>
      </text>
    </comment>
    <comment ref="Q5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raccourcissement limite a la rupture</t>
        </r>
      </text>
    </comment>
    <comment ref="B5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 Valeur de calcul de la déformation de l’acier en traction à la limite
d’élasticité</t>
        </r>
      </text>
    </comment>
    <comment ref="Q53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 Valeur de calcul de la déformation de l’acier en traction à la limite
d’élasticité</t>
        </r>
      </text>
    </comment>
    <comment ref="B5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rapport mecanique en volume des armatures de confinement requises</t>
        </r>
      </text>
    </comment>
    <comment ref="Q5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rapport mecanique en volume des armatures de confinement requises</t>
        </r>
      </text>
    </comment>
    <comment ref="B5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rapport mécanique minimale en volume des armatures de confinement</t>
        </r>
      </text>
    </comment>
    <comment ref="Q5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rapport mécanique minimale en volume des armatures de confinement</t>
        </r>
      </text>
    </comment>
    <comment ref="B5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 La longueur comprimée des parties de rive .</t>
        </r>
      </text>
    </comment>
    <comment ref="Q5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 longueur comprimée des parties de rive </t>
        </r>
      </text>
    </comment>
  </commentList>
</comments>
</file>

<file path=xl/comments4.xml><?xml version="1.0" encoding="utf-8"?>
<comments xmlns="http://schemas.openxmlformats.org/spreadsheetml/2006/main">
  <authors>
    <author>MOHAMMED</author>
    <author>Morsli</author>
  </authors>
  <commentList>
    <comment ref="D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diamètre choisi des armatures d'âme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Le diamètre choisi des armatures d'âme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choisi des armatures d' âme.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choisi des armatures d' âme.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maximal des armatures d' âme.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L'espacement maximal des armatures d' âme.</t>
        </r>
      </text>
    </comment>
    <comment ref="I15" authorId="1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Surfaces des armatures longitudinales Calculé en flexion composé </t>
        </r>
        <r>
          <rPr>
            <b/>
            <sz val="9"/>
            <color indexed="81"/>
            <rFont val="Tahoma"/>
            <family val="2"/>
          </rPr>
          <t>(Ni; Mi)</t>
        </r>
      </text>
    </comment>
  </commentList>
</comments>
</file>

<file path=xl/comments5.xml><?xml version="1.0" encoding="utf-8"?>
<comments xmlns="http://schemas.openxmlformats.org/spreadsheetml/2006/main">
  <authors>
    <author>MOHAMMED</author>
  </authors>
  <commentList>
    <comment ref="F32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hcr apres la vérification del'équation 7,23</t>
        </r>
      </text>
    </comment>
    <comment ref="F33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Entrer la valeur de la hauteur pour obtenir le moment,</t>
        </r>
      </text>
    </comment>
    <comment ref="E72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représente la longueur du voile  </t>
        </r>
      </text>
    </comment>
    <comment ref="I72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L’enrobage.</t>
        </r>
      </text>
    </comment>
  </commentList>
</comments>
</file>

<file path=xl/comments6.xml><?xml version="1.0" encoding="utf-8"?>
<comments xmlns="http://schemas.openxmlformats.org/spreadsheetml/2006/main">
  <authors>
    <author>MOHAMMED</author>
  </authors>
  <commentList>
    <comment ref="C7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Largeur de l’âme du voile.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L’enrobage.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Résistance caractéristique à la compression du béton.</t>
        </r>
      </text>
    </comment>
  </commentList>
</comments>
</file>

<file path=xl/comments7.xml><?xml version="1.0" encoding="utf-8"?>
<comments xmlns="http://schemas.openxmlformats.org/spreadsheetml/2006/main">
  <authors>
    <author>Morsli Hammou</author>
    <author>MOHAMMED</author>
    <author>Morsli</author>
  </authors>
  <commentList>
    <comment ref="B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Portée du linteau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hauteur totale de la section du linteau</t>
        </r>
      </text>
    </comment>
    <comment ref="Q7" authorId="0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des aciers longitudinaux de flexion </t>
        </r>
      </text>
    </comment>
    <comment ref="B8" authorId="1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Largeur de l’âme du voile.</t>
        </r>
      </text>
    </comment>
    <comment ref="B9" authorId="1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distance d’enrobage</t>
        </r>
      </text>
    </comment>
    <comment ref="Q9" authorId="0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Espacement minimal pour des aciers transversaux (At)</t>
        </r>
      </text>
    </comment>
    <comment ref="B10" authorId="1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Résistance caractéristique à la compression du béton.</t>
        </r>
      </text>
    </comment>
    <comment ref="Q10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Espacement choisi pour des aciers transversaux (At)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des aciers minimal transversaux (At)</t>
        </r>
      </text>
    </comment>
    <comment ref="B12" authorId="0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Effort tranchant, dans la secti on consideree</t>
        </r>
      </text>
    </comment>
    <comment ref="Q12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des aciers transversaux (At)</t>
        </r>
      </text>
    </comment>
    <comment ref="S12" authorId="2">
      <text/>
    </comment>
    <comment ref="B13" authorId="0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Moment fléchissant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Contrainte de cisaillement</t>
        </r>
      </text>
    </comment>
    <comment ref="Q14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des aciers minimal en partie courante (aciers de peau)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Contrainte de cisaillement limitée</t>
        </r>
      </text>
    </comment>
    <comment ref="Q15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des aciers choisi en partie courante (aciers de peau)</t>
        </r>
      </text>
    </comment>
    <comment ref="Q16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des armatures diagonales</t>
        </r>
      </text>
    </comment>
    <comment ref="Q17" authorId="0">
      <text>
        <r>
          <rPr>
            <b/>
            <sz val="9"/>
            <color indexed="81"/>
            <rFont val="Tahoma"/>
            <family val="2"/>
          </rPr>
          <t>Morsli Hammou:</t>
        </r>
        <r>
          <rPr>
            <sz val="9"/>
            <color indexed="81"/>
            <rFont val="Tahoma"/>
            <family val="2"/>
          </rPr>
          <t xml:space="preserve">
des armatures diagonales choisi</t>
        </r>
      </text>
    </comment>
  </commentList>
</comments>
</file>

<file path=xl/sharedStrings.xml><?xml version="1.0" encoding="utf-8"?>
<sst xmlns="http://schemas.openxmlformats.org/spreadsheetml/2006/main" count="524" uniqueCount="375">
  <si>
    <t>M (KN,m)</t>
  </si>
  <si>
    <t xml:space="preserve">H (m) </t>
  </si>
  <si>
    <r>
      <t>H</t>
    </r>
    <r>
      <rPr>
        <b/>
        <sz val="9"/>
        <color theme="1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 xml:space="preserve"> (m)</t>
    </r>
  </si>
  <si>
    <t>Enveloppe Linéaire</t>
  </si>
  <si>
    <t>Enveloppe de Calcul</t>
  </si>
  <si>
    <t>Math</t>
  </si>
  <si>
    <t xml:space="preserve">M (KN,m) </t>
  </si>
  <si>
    <t>he (m)</t>
  </si>
  <si>
    <t>hcr1 [7,22]</t>
  </si>
  <si>
    <t>hcr [7,23]</t>
  </si>
  <si>
    <t>ENVELOPPE DE CALCUL POUR LES MOMENTS FLECHISSANT</t>
  </si>
  <si>
    <t>ENVELOPPE DE CALCUL POUR LES EFFORTS TRANCHANTS</t>
  </si>
  <si>
    <t>T (KN)</t>
  </si>
  <si>
    <r>
      <t>H</t>
    </r>
    <r>
      <rPr>
        <b/>
        <sz val="9"/>
        <color theme="1"/>
        <rFont val="Calibri"/>
        <family val="2"/>
        <scheme val="minor"/>
      </rPr>
      <t>w/3</t>
    </r>
    <r>
      <rPr>
        <b/>
        <sz val="11"/>
        <color theme="1"/>
        <rFont val="Calibri"/>
        <family val="2"/>
        <scheme val="minor"/>
      </rPr>
      <t xml:space="preserve"> </t>
    </r>
  </si>
  <si>
    <t>Etage</t>
  </si>
  <si>
    <t>Nombre d'étages</t>
  </si>
  <si>
    <t>Niveau</t>
  </si>
  <si>
    <t>Ti [KN]</t>
  </si>
  <si>
    <t>Diagramme amplifié</t>
  </si>
  <si>
    <t>Diagramme issue de l'analyse</t>
  </si>
  <si>
    <t>1,4 x Vu</t>
  </si>
  <si>
    <t>Si vous remarquez une erreur ou avez une remarque, n’hésitez pas à me contacter par e-mail ou sur mon compte Telegram.</t>
  </si>
  <si>
    <t>hammoutota@gmail.com</t>
  </si>
  <si>
    <t xml:space="preserve"> R.P.A 2024</t>
  </si>
  <si>
    <t>https://t.me/MorsliHammou</t>
  </si>
  <si>
    <t>lw (m)</t>
  </si>
  <si>
    <t>hw (m)</t>
  </si>
  <si>
    <t>Hi [m]</t>
  </si>
  <si>
    <t>Mi [KN,m]</t>
  </si>
  <si>
    <t>Hi Cumulées [m]</t>
  </si>
  <si>
    <t>bw (m)</t>
  </si>
  <si>
    <t>Fe (Mpa)</t>
  </si>
  <si>
    <r>
      <t>d</t>
    </r>
    <r>
      <rPr>
        <b/>
        <sz val="8"/>
        <color theme="1"/>
        <rFont val="Arial Narrow"/>
        <family val="2"/>
      </rPr>
      <t xml:space="preserve">1,2 </t>
    </r>
    <r>
      <rPr>
        <b/>
        <sz val="11"/>
        <color theme="1"/>
        <rFont val="Arial Narrow"/>
        <family val="2"/>
      </rPr>
      <t>(cm)</t>
    </r>
  </si>
  <si>
    <t>Ac (cm²)</t>
  </si>
  <si>
    <t>ELEMENT DE RIVE DROITE</t>
  </si>
  <si>
    <t>ELEMENT DE RIVE GOUCHE</t>
  </si>
  <si>
    <t>L'AME (aciers verticaux)</t>
  </si>
  <si>
    <t>z (cm)</t>
  </si>
  <si>
    <t>L'AME (aciers horizontaux)</t>
  </si>
  <si>
    <t>N (KN)</t>
  </si>
  <si>
    <t xml:space="preserve">L'AME </t>
  </si>
  <si>
    <t xml:space="preserve">St (cm) = 50 </t>
  </si>
  <si>
    <t>L (cm)</t>
  </si>
  <si>
    <t>n</t>
  </si>
  <si>
    <t>a</t>
  </si>
  <si>
    <t>R</t>
  </si>
  <si>
    <t>ELEMENT GOUCHE</t>
  </si>
  <si>
    <t>ELEMENT DROITE</t>
  </si>
  <si>
    <t>Fc28 (Mpa)</t>
  </si>
  <si>
    <t>S (m²)</t>
  </si>
  <si>
    <t>I (m4)</t>
  </si>
  <si>
    <t>V (m)</t>
  </si>
  <si>
    <r>
      <t>σ</t>
    </r>
    <r>
      <rPr>
        <b/>
        <sz val="8"/>
        <color theme="1"/>
        <rFont val="Arial Narrow"/>
        <family val="2"/>
      </rPr>
      <t>adm</t>
    </r>
    <r>
      <rPr>
        <b/>
        <sz val="12"/>
        <color theme="1"/>
        <rFont val="Arial Narrow"/>
        <family val="2"/>
      </rPr>
      <t xml:space="preserve"> (Mpa)</t>
    </r>
  </si>
  <si>
    <r>
      <t>σ</t>
    </r>
    <r>
      <rPr>
        <b/>
        <vertAlign val="subscript"/>
        <sz val="11"/>
        <color theme="1"/>
        <rFont val="Arial Narrow"/>
        <family val="2"/>
      </rPr>
      <t>C</t>
    </r>
    <r>
      <rPr>
        <b/>
        <sz val="11"/>
        <color theme="1"/>
        <rFont val="Arial Narrow"/>
        <family val="2"/>
      </rPr>
      <t>(Mpa)</t>
    </r>
  </si>
  <si>
    <r>
      <t>σ</t>
    </r>
    <r>
      <rPr>
        <b/>
        <vertAlign val="subscript"/>
        <sz val="10"/>
        <color theme="1"/>
        <rFont val="Arial Narrow"/>
        <family val="2"/>
      </rPr>
      <t>T</t>
    </r>
    <r>
      <rPr>
        <b/>
        <sz val="11"/>
        <color theme="1"/>
        <rFont val="Arial Narrow"/>
        <family val="2"/>
      </rPr>
      <t>(Mpa)</t>
    </r>
  </si>
  <si>
    <r>
      <t>L</t>
    </r>
    <r>
      <rPr>
        <b/>
        <vertAlign val="subscript"/>
        <sz val="12"/>
        <color theme="1"/>
        <rFont val="Arial Narrow"/>
        <family val="2"/>
      </rPr>
      <t>T</t>
    </r>
    <r>
      <rPr>
        <b/>
        <sz val="12"/>
        <color theme="1"/>
        <rFont val="Arial Narrow"/>
        <family val="2"/>
      </rPr>
      <t xml:space="preserve"> (m)</t>
    </r>
  </si>
  <si>
    <t>F (KN)</t>
  </si>
  <si>
    <t>Lc (m)</t>
  </si>
  <si>
    <t>L</t>
  </si>
  <si>
    <t>σ</t>
  </si>
  <si>
    <t>Enveloppe de Calcul 1</t>
  </si>
  <si>
    <t>DIAMETRE DES BARRES</t>
  </si>
  <si>
    <t>Ø (cm)</t>
  </si>
  <si>
    <t>FERRAILLAGE DES VOILLES (METHODE DES CONTRAINTES)</t>
  </si>
  <si>
    <t>Vers 1.2</t>
  </si>
  <si>
    <r>
      <t>T</t>
    </r>
    <r>
      <rPr>
        <b/>
        <vertAlign val="subscript"/>
        <sz val="12"/>
        <color theme="1"/>
        <rFont val="Arial Narrow"/>
        <family val="2"/>
      </rPr>
      <t>i</t>
    </r>
    <r>
      <rPr>
        <b/>
        <sz val="12"/>
        <color theme="1"/>
        <rFont val="Arial Narrow"/>
        <family val="2"/>
      </rPr>
      <t xml:space="preserve"> [KN]</t>
    </r>
  </si>
  <si>
    <r>
      <t>H</t>
    </r>
    <r>
      <rPr>
        <b/>
        <vertAlign val="subscript"/>
        <sz val="12"/>
        <color theme="1"/>
        <rFont val="Arial Narrow"/>
        <family val="2"/>
      </rPr>
      <t>i</t>
    </r>
    <r>
      <rPr>
        <b/>
        <sz val="12"/>
        <color theme="1"/>
        <rFont val="Arial Narrow"/>
        <family val="2"/>
      </rPr>
      <t xml:space="preserve"> Cumulées [m]</t>
    </r>
  </si>
  <si>
    <t xml:space="preserve">Type de voile </t>
  </si>
  <si>
    <r>
      <t>M</t>
    </r>
    <r>
      <rPr>
        <b/>
        <vertAlign val="subscript"/>
        <sz val="12"/>
        <color theme="1"/>
        <rFont val="Arial Narrow"/>
        <family val="2"/>
      </rPr>
      <t>i</t>
    </r>
    <r>
      <rPr>
        <b/>
        <sz val="12"/>
        <color theme="1"/>
        <rFont val="Arial Narrow"/>
        <family val="2"/>
      </rPr>
      <t xml:space="preserve"> [KN.m]</t>
    </r>
  </si>
  <si>
    <r>
      <t>N</t>
    </r>
    <r>
      <rPr>
        <b/>
        <vertAlign val="subscript"/>
        <sz val="12"/>
        <color theme="1"/>
        <rFont val="Arial Narrow"/>
        <family val="2"/>
      </rPr>
      <t>i</t>
    </r>
    <r>
      <rPr>
        <b/>
        <sz val="12"/>
        <color theme="1"/>
        <rFont val="Arial Narrow"/>
        <family val="2"/>
      </rPr>
      <t xml:space="preserve"> [KN]</t>
    </r>
  </si>
  <si>
    <t>2- Système à contreventement mixte, équivalent à une ossature</t>
  </si>
  <si>
    <t>3- Système à ossature ou mixte équivalent à ossature avec remplissage en maçonnerie rigide</t>
  </si>
  <si>
    <t>4- Système à contreventement mixte, équivalent à des voiles</t>
  </si>
  <si>
    <t>5- Système de contreventement constitué par des voiles</t>
  </si>
  <si>
    <t>Type de systèm</t>
  </si>
  <si>
    <t>ELEMENTS DES RIVES</t>
  </si>
  <si>
    <t>L'AME</t>
  </si>
  <si>
    <t>Asv (cm²)</t>
  </si>
  <si>
    <t>Arv (cm²)</t>
  </si>
  <si>
    <r>
      <t>Arv</t>
    </r>
    <r>
      <rPr>
        <b/>
        <sz val="9"/>
        <color theme="1"/>
        <rFont val="Arial Narrow"/>
        <family val="2"/>
      </rPr>
      <t>min</t>
    </r>
    <r>
      <rPr>
        <b/>
        <sz val="11"/>
        <color theme="1"/>
        <rFont val="Arial Narrow"/>
        <family val="2"/>
      </rPr>
      <t xml:space="preserve"> (cm²)</t>
    </r>
  </si>
  <si>
    <t>N étages</t>
  </si>
  <si>
    <r>
      <t>Ah</t>
    </r>
    <r>
      <rPr>
        <b/>
        <sz val="11"/>
        <color theme="1"/>
        <rFont val="Arial Narrow"/>
        <family val="2"/>
      </rPr>
      <t xml:space="preserve"> (cm²)</t>
    </r>
  </si>
  <si>
    <r>
      <t>Ah</t>
    </r>
    <r>
      <rPr>
        <b/>
        <sz val="9"/>
        <color theme="1"/>
        <rFont val="Arial Narrow"/>
        <family val="2"/>
      </rPr>
      <t>min</t>
    </r>
    <r>
      <rPr>
        <b/>
        <sz val="11"/>
        <color theme="1"/>
        <rFont val="Arial Narrow"/>
        <family val="2"/>
      </rPr>
      <t xml:space="preserve"> (cm²)</t>
    </r>
  </si>
  <si>
    <t>Zone critique</t>
  </si>
  <si>
    <t>Zone</t>
  </si>
  <si>
    <t>L'AME (Zone supèrieure)</t>
  </si>
  <si>
    <t>ELEMENTS DE RIVE</t>
  </si>
  <si>
    <t>FERRAILLAGE DES VOILLES DE LA ZONE CRITIQUE</t>
  </si>
  <si>
    <t>FERRAILLAGE DES VOILLES DE LA ZONE SUPERIEURE</t>
  </si>
  <si>
    <t>DONNE POUR CALCUL LE FERRAILLAGE DES VOILLES</t>
  </si>
  <si>
    <t>3- Le moment resistant correspond au</t>
  </si>
  <si>
    <t>y =</t>
  </si>
  <si>
    <t>2- Profondeur de l'axe neutre</t>
  </si>
  <si>
    <t>Mru    =</t>
  </si>
  <si>
    <t>1- Moment résistant ultime</t>
  </si>
  <si>
    <t xml:space="preserve"> Résultats</t>
  </si>
  <si>
    <t xml:space="preserve"> Analyse</t>
  </si>
  <si>
    <t>Mpa</t>
  </si>
  <si>
    <t>=</t>
  </si>
  <si>
    <t>fsu</t>
  </si>
  <si>
    <t>Contrainte ultime de l'acier</t>
  </si>
  <si>
    <t>fbu</t>
  </si>
  <si>
    <t>Contrainte de compression du béton</t>
  </si>
  <si>
    <t>cm</t>
  </si>
  <si>
    <t>d'</t>
  </si>
  <si>
    <t>Position cdg Armatures comprimés (Inf.)</t>
  </si>
  <si>
    <t>HA16</t>
  </si>
  <si>
    <t>+</t>
  </si>
  <si>
    <t>HA12</t>
  </si>
  <si>
    <t>HA14</t>
  </si>
  <si>
    <t>cm²</t>
  </si>
  <si>
    <t>Asc</t>
  </si>
  <si>
    <t>Section des armatures comprimés (Inf.)</t>
  </si>
  <si>
    <t>Help?  Calculer la section d'armatures à introduire</t>
  </si>
  <si>
    <t>c</t>
  </si>
  <si>
    <t>Position cdg armatures tendues (Sup.)</t>
  </si>
  <si>
    <t>As</t>
  </si>
  <si>
    <t>Section des armatures tendues (Sup.)</t>
  </si>
  <si>
    <t>h</t>
  </si>
  <si>
    <t>Hauteur du poteau</t>
  </si>
  <si>
    <t>b</t>
  </si>
  <si>
    <t>Largeur du poteau</t>
  </si>
  <si>
    <t>Section et Ferraillage</t>
  </si>
  <si>
    <t>kN</t>
  </si>
  <si>
    <t>Nu</t>
  </si>
  <si>
    <t>Effort normal ultime</t>
  </si>
  <si>
    <t>Effort normal</t>
  </si>
  <si>
    <r>
      <rPr>
        <sz val="10"/>
        <color theme="1"/>
        <rFont val="Symbol"/>
        <family val="1"/>
        <charset val="2"/>
      </rPr>
      <t xml:space="preserve"> g</t>
    </r>
    <r>
      <rPr>
        <i/>
        <sz val="8"/>
        <color theme="1"/>
        <rFont val="Arial"/>
        <family val="2"/>
      </rPr>
      <t>s</t>
    </r>
    <r>
      <rPr>
        <sz val="11"/>
        <color theme="1"/>
        <rFont val="Arial"/>
        <family val="2"/>
      </rPr>
      <t xml:space="preserve"> =</t>
    </r>
  </si>
  <si>
    <t xml:space="preserve">Coefficient de sécurite partiel - Acier </t>
  </si>
  <si>
    <r>
      <rPr>
        <sz val="10"/>
        <color theme="1"/>
        <rFont val="Symbol"/>
        <family val="1"/>
        <charset val="2"/>
      </rPr>
      <t xml:space="preserve"> g</t>
    </r>
    <r>
      <rPr>
        <i/>
        <sz val="8"/>
        <color theme="1"/>
        <rFont val="Arial"/>
        <family val="2"/>
      </rPr>
      <t>b</t>
    </r>
    <r>
      <rPr>
        <sz val="11"/>
        <color theme="1"/>
        <rFont val="Arial"/>
        <family val="2"/>
      </rPr>
      <t xml:space="preserve"> =</t>
    </r>
  </si>
  <si>
    <t xml:space="preserve">Coefficient de sécurite partiel - Béton </t>
  </si>
  <si>
    <r>
      <rPr>
        <sz val="10"/>
        <color theme="1"/>
        <rFont val="Symbol"/>
        <family val="1"/>
        <charset val="2"/>
      </rPr>
      <t xml:space="preserve"> </t>
    </r>
    <r>
      <rPr>
        <i/>
        <sz val="10"/>
        <color theme="1"/>
        <rFont val="Symbol"/>
        <family val="1"/>
        <charset val="2"/>
      </rPr>
      <t>q</t>
    </r>
    <r>
      <rPr>
        <sz val="11"/>
        <color theme="1"/>
        <rFont val="Arial"/>
        <family val="2"/>
      </rPr>
      <t xml:space="preserve"> =</t>
    </r>
  </si>
  <si>
    <t>Coefficient de durée de chargenent</t>
  </si>
  <si>
    <t>Coefficients</t>
  </si>
  <si>
    <t>MPa</t>
  </si>
  <si>
    <t>fe</t>
  </si>
  <si>
    <t>Limite d'élasticite de l'acier</t>
  </si>
  <si>
    <t>de ce programme</t>
  </si>
  <si>
    <t>fc28</t>
  </si>
  <si>
    <t>Résistance caracteristique du béton</t>
  </si>
  <si>
    <t>de l'utilisation faite de</t>
  </si>
  <si>
    <t>Caracteristiques des matériaux</t>
  </si>
  <si>
    <t>L'auteur n'est pas résponsable</t>
  </si>
  <si>
    <t xml:space="preserve"> Données de calcul</t>
  </si>
  <si>
    <t>Moment résistant - Section Rectangulaire en BA aux ELU selon CBA 93</t>
  </si>
  <si>
    <r>
      <rPr>
        <sz val="10"/>
        <rFont val="Arial"/>
        <family val="2"/>
      </rPr>
      <t xml:space="preserve">Email: </t>
    </r>
    <r>
      <rPr>
        <u/>
        <sz val="10"/>
        <color rgb="FF0000FF"/>
        <rFont val="Arial"/>
        <family val="2"/>
      </rPr>
      <t>rafik.taleb.dz@gmail.com</t>
    </r>
  </si>
  <si>
    <t>Jan. 2025</t>
  </si>
  <si>
    <t xml:space="preserve">Task ID :  </t>
  </si>
  <si>
    <t>Département de Génie Civil</t>
  </si>
  <si>
    <t>Ver. 2.0</t>
  </si>
  <si>
    <t xml:space="preserve">CLIENT :  </t>
  </si>
  <si>
    <t>y (cm)</t>
  </si>
  <si>
    <t>Université de Blida 1</t>
  </si>
  <si>
    <t>R. Taleb</t>
  </si>
  <si>
    <t xml:space="preserve">PROJECT :  </t>
  </si>
  <si>
    <t>HA40</t>
  </si>
  <si>
    <t>HA32</t>
  </si>
  <si>
    <t>HA25</t>
  </si>
  <si>
    <t>HA20</t>
  </si>
  <si>
    <t>HA10</t>
  </si>
  <si>
    <t>HA8</t>
  </si>
  <si>
    <t>max-theoriq</t>
  </si>
  <si>
    <t>min-theoriq</t>
  </si>
  <si>
    <t>max-cal</t>
  </si>
  <si>
    <t>min-cal</t>
  </si>
  <si>
    <t>C50/60</t>
  </si>
  <si>
    <t>C45/55</t>
  </si>
  <si>
    <t>C40/50</t>
  </si>
  <si>
    <t>N (kN)</t>
  </si>
  <si>
    <t>M (kNm)</t>
  </si>
  <si>
    <t>C35/45</t>
  </si>
  <si>
    <t>C30/37</t>
  </si>
  <si>
    <t>C25/30</t>
  </si>
  <si>
    <t>C20/25</t>
  </si>
  <si>
    <t>x_lim  =</t>
  </si>
  <si>
    <t>C16/20</t>
  </si>
  <si>
    <t>ec3  =</t>
  </si>
  <si>
    <t>C12/15</t>
  </si>
  <si>
    <t>ecu  =</t>
  </si>
  <si>
    <t>C8/10</t>
  </si>
  <si>
    <t>eud  =</t>
  </si>
  <si>
    <t>User-&gt;</t>
  </si>
  <si>
    <t>fsu  =</t>
  </si>
  <si>
    <t>Classe resistance a la compression du beton</t>
  </si>
  <si>
    <t>fbu  =</t>
  </si>
  <si>
    <t>Es  =</t>
  </si>
  <si>
    <t>d  =</t>
  </si>
  <si>
    <t>Cs  =</t>
  </si>
  <si>
    <t xml:space="preserve">Coefficient de sécurite - Acier </t>
  </si>
  <si>
    <t>As2  =</t>
  </si>
  <si>
    <t>c  =</t>
  </si>
  <si>
    <t>As1  =</t>
  </si>
  <si>
    <t>h  =</t>
  </si>
  <si>
    <t xml:space="preserve">Coefficient de sécurite - Béton </t>
  </si>
  <si>
    <t>b  =</t>
  </si>
  <si>
    <t xml:space="preserve"> &lt; 1h</t>
  </si>
  <si>
    <t>1h&lt;…&lt; 24h</t>
  </si>
  <si>
    <t xml:space="preserve"> &gt; 24h</t>
  </si>
  <si>
    <t>x-cor</t>
  </si>
  <si>
    <t>Mur-cor</t>
  </si>
  <si>
    <t>N-app</t>
  </si>
  <si>
    <t>Mu</t>
  </si>
  <si>
    <t>sigs2</t>
  </si>
  <si>
    <t>es2</t>
  </si>
  <si>
    <t>sigs1</t>
  </si>
  <si>
    <t>es1</t>
  </si>
  <si>
    <t>x (cm)</t>
  </si>
  <si>
    <t>Domaine</t>
  </si>
  <si>
    <t>Moment à la base</t>
  </si>
  <si>
    <t>Moment au sommet</t>
  </si>
  <si>
    <t>Qf</t>
  </si>
  <si>
    <t>T0 (s)</t>
  </si>
  <si>
    <t>T2 (s)</t>
  </si>
  <si>
    <t>Ṽ (KN)</t>
  </si>
  <si>
    <t>bc (m)</t>
  </si>
  <si>
    <t>Av (cm²)</t>
  </si>
  <si>
    <r>
      <rPr>
        <b/>
        <sz val="12"/>
        <color theme="1"/>
        <rFont val="Batang"/>
        <family val="1"/>
      </rPr>
      <t>τ</t>
    </r>
    <r>
      <rPr>
        <b/>
        <vertAlign val="subscript"/>
        <sz val="9"/>
        <color theme="1"/>
        <rFont val="Arial Narrow"/>
        <family val="2"/>
      </rPr>
      <t>b</t>
    </r>
    <r>
      <rPr>
        <b/>
        <sz val="12"/>
        <color theme="1"/>
        <rFont val="Arial Narrow"/>
        <family val="2"/>
      </rPr>
      <t xml:space="preserve"> (MPa)</t>
    </r>
  </si>
  <si>
    <r>
      <rPr>
        <b/>
        <sz val="12"/>
        <color theme="1"/>
        <rFont val="Cambria"/>
        <family val="1"/>
      </rPr>
      <t>τ</t>
    </r>
    <r>
      <rPr>
        <b/>
        <vertAlign val="subscript"/>
        <sz val="10"/>
        <color theme="1"/>
        <rFont val="Batang"/>
        <family val="1"/>
      </rPr>
      <t>adm</t>
    </r>
    <r>
      <rPr>
        <b/>
        <sz val="12"/>
        <color theme="1"/>
        <rFont val="Arial Narrow"/>
        <family val="2"/>
      </rPr>
      <t xml:space="preserve"> (MPa)</t>
    </r>
  </si>
  <si>
    <t>Type de voile</t>
  </si>
  <si>
    <t>Type 1</t>
  </si>
  <si>
    <t>Type 2</t>
  </si>
  <si>
    <t>Type 3</t>
  </si>
  <si>
    <t>DONNEES</t>
  </si>
  <si>
    <t>CONDITIONS DE DUCTILITE LOCALE</t>
  </si>
  <si>
    <t>6- Système à ossature à noyau ou à effet noyau</t>
  </si>
  <si>
    <t>Choix des barres</t>
  </si>
  <si>
    <t>8HA12 = 9.05</t>
  </si>
  <si>
    <t>Ah (cm²)</t>
  </si>
  <si>
    <t>Au-dessus de la zone critique</t>
  </si>
  <si>
    <r>
      <rPr>
        <sz val="11"/>
        <color theme="0"/>
        <rFont val="Aparajita"/>
        <family val="2"/>
      </rPr>
      <t>Ø</t>
    </r>
    <r>
      <rPr>
        <sz val="11"/>
        <color theme="0"/>
        <rFont val="Calibri"/>
        <family val="2"/>
        <charset val="178"/>
      </rPr>
      <t xml:space="preserve"> (mm)</t>
    </r>
  </si>
  <si>
    <t>nAv</t>
  </si>
  <si>
    <t>nAh</t>
  </si>
  <si>
    <t>SAv</t>
  </si>
  <si>
    <t>SAh</t>
  </si>
  <si>
    <t>choix</t>
  </si>
  <si>
    <r>
      <t>n</t>
    </r>
    <r>
      <rPr>
        <sz val="9"/>
        <color theme="3" tint="-0.499984740745262"/>
        <rFont val="Arial Narrow"/>
        <family val="2"/>
      </rPr>
      <t xml:space="preserve">d </t>
    </r>
    <r>
      <rPr>
        <sz val="11"/>
        <color theme="3" tint="-0.499984740745262"/>
        <rFont val="Arial Narrow"/>
        <family val="2"/>
      </rPr>
      <t>(KN)</t>
    </r>
  </si>
  <si>
    <r>
      <t>F</t>
    </r>
    <r>
      <rPr>
        <sz val="8"/>
        <color theme="3" tint="-0.499984740745262"/>
        <rFont val="Arial Narrow"/>
        <family val="2"/>
      </rPr>
      <t>yd</t>
    </r>
    <r>
      <rPr>
        <sz val="12"/>
        <color theme="3" tint="-0.499984740745262"/>
        <rFont val="Arial Narrow"/>
        <family val="2"/>
      </rPr>
      <t>/F</t>
    </r>
    <r>
      <rPr>
        <sz val="8"/>
        <color theme="3" tint="-0.499984740745262"/>
        <rFont val="Arial Narrow"/>
        <family val="2"/>
      </rPr>
      <t>cd</t>
    </r>
  </si>
  <si>
    <r>
      <t>w</t>
    </r>
    <r>
      <rPr>
        <sz val="8"/>
        <color theme="3" tint="-0.499984740745262"/>
        <rFont val="Symbol"/>
        <family val="1"/>
        <charset val="2"/>
      </rPr>
      <t>n</t>
    </r>
  </si>
  <si>
    <r>
      <rPr>
        <sz val="12"/>
        <color theme="3" tint="-0.499984740745262"/>
        <rFont val="Symbol"/>
        <family val="1"/>
        <charset val="2"/>
      </rPr>
      <t>c</t>
    </r>
    <r>
      <rPr>
        <sz val="9"/>
        <color theme="3" tint="-0.499984740745262"/>
        <rFont val="Arial Narrow"/>
        <family val="2"/>
      </rPr>
      <t>u</t>
    </r>
  </si>
  <si>
    <r>
      <t>V</t>
    </r>
    <r>
      <rPr>
        <sz val="9"/>
        <color theme="3" tint="-0.499984740745262"/>
        <rFont val="Arial Narrow"/>
        <family val="2"/>
      </rPr>
      <t xml:space="preserve">nc </t>
    </r>
    <r>
      <rPr>
        <sz val="11"/>
        <color theme="3" tint="-0.499984740745262"/>
        <rFont val="Arial Narrow"/>
        <family val="2"/>
      </rPr>
      <t>(cm³)</t>
    </r>
  </si>
  <si>
    <r>
      <t>V</t>
    </r>
    <r>
      <rPr>
        <sz val="9"/>
        <color theme="3" tint="-0.499984740745262"/>
        <rFont val="Arial Narrow"/>
        <family val="2"/>
      </rPr>
      <t xml:space="preserve">st </t>
    </r>
    <r>
      <rPr>
        <sz val="11"/>
        <color theme="3" tint="-0.499984740745262"/>
        <rFont val="Arial Narrow"/>
        <family val="2"/>
      </rPr>
      <t>(cm³)</t>
    </r>
  </si>
  <si>
    <r>
      <rPr>
        <sz val="12"/>
        <color theme="3" tint="-0.499984740745262"/>
        <rFont val="Symbol"/>
        <family val="1"/>
        <charset val="2"/>
      </rPr>
      <t>e</t>
    </r>
    <r>
      <rPr>
        <sz val="9"/>
        <color theme="3" tint="-0.499984740745262"/>
        <rFont val="Arial Narrow"/>
        <family val="2"/>
      </rPr>
      <t>cu</t>
    </r>
  </si>
  <si>
    <r>
      <rPr>
        <sz val="12"/>
        <color theme="3" tint="-0.499984740745262"/>
        <rFont val="Symbol"/>
        <family val="1"/>
        <charset val="2"/>
      </rPr>
      <t>m</t>
    </r>
    <r>
      <rPr>
        <sz val="9"/>
        <color theme="3" tint="-0.499984740745262"/>
        <rFont val="Eras Medium ITC"/>
        <family val="2"/>
      </rPr>
      <t>ø</t>
    </r>
  </si>
  <si>
    <r>
      <rPr>
        <sz val="12"/>
        <color theme="3" tint="-0.499984740745262"/>
        <rFont val="Symbol"/>
        <family val="1"/>
        <charset val="2"/>
      </rPr>
      <t>a</t>
    </r>
    <r>
      <rPr>
        <sz val="9"/>
        <color theme="3" tint="-0.499984740745262"/>
        <rFont val="Arial Narrow"/>
        <family val="2"/>
      </rPr>
      <t>n</t>
    </r>
  </si>
  <si>
    <r>
      <rPr>
        <sz val="12"/>
        <color theme="3" tint="-0.499984740745262"/>
        <rFont val="Symbol"/>
        <family val="1"/>
        <charset val="2"/>
      </rPr>
      <t>a</t>
    </r>
    <r>
      <rPr>
        <sz val="9"/>
        <color theme="3" tint="-0.499984740745262"/>
        <rFont val="Arial Narrow"/>
        <family val="2"/>
      </rPr>
      <t>s</t>
    </r>
  </si>
  <si>
    <r>
      <rPr>
        <sz val="12"/>
        <color theme="3" tint="-0.499984740745262"/>
        <rFont val="Symbol"/>
        <family val="1"/>
        <charset val="2"/>
      </rPr>
      <t>e</t>
    </r>
    <r>
      <rPr>
        <sz val="9"/>
        <color theme="3" tint="-0.499984740745262"/>
        <rFont val="Arial Narrow"/>
        <family val="2"/>
      </rPr>
      <t>cu,c</t>
    </r>
  </si>
  <si>
    <r>
      <rPr>
        <sz val="12"/>
        <color theme="3" tint="-0.499984740745262"/>
        <rFont val="Symbol"/>
        <family val="1"/>
        <charset val="2"/>
      </rPr>
      <t>e</t>
    </r>
    <r>
      <rPr>
        <sz val="9"/>
        <color theme="3" tint="-0.499984740745262"/>
        <rFont val="Arial Narrow"/>
        <family val="2"/>
      </rPr>
      <t>sy</t>
    </r>
  </si>
  <si>
    <r>
      <t>w</t>
    </r>
    <r>
      <rPr>
        <sz val="8"/>
        <color theme="3" tint="-0.499984740745262"/>
        <rFont val="Arial Narrow"/>
        <family val="2"/>
      </rPr>
      <t>wd</t>
    </r>
  </si>
  <si>
    <r>
      <t>w</t>
    </r>
    <r>
      <rPr>
        <sz val="8"/>
        <color theme="3" tint="-0.499984740745262"/>
        <rFont val="Arial Narrow"/>
        <family val="2"/>
      </rPr>
      <t>wd</t>
    </r>
    <r>
      <rPr>
        <sz val="9"/>
        <color theme="3" tint="-0.499984740745262"/>
        <rFont val="Arial Narrow"/>
        <family val="2"/>
      </rPr>
      <t>(min)</t>
    </r>
  </si>
  <si>
    <r>
      <t>b</t>
    </r>
    <r>
      <rPr>
        <sz val="9"/>
        <color theme="3" tint="-0.499984740745262"/>
        <rFont val="Calibri"/>
        <family val="2"/>
        <scheme val="minor"/>
      </rPr>
      <t>i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</si>
  <si>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Ø</t>
    </r>
    <r>
      <rPr>
        <sz val="8"/>
        <color theme="3" tint="-0.499984740745262"/>
        <rFont val="Calibri"/>
        <family val="2"/>
        <scheme val="minor"/>
      </rPr>
      <t>l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</si>
  <si>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N</t>
    </r>
    <r>
      <rPr>
        <sz val="10"/>
        <color theme="3" tint="-0.499984740745262"/>
        <rFont val="Calibri"/>
        <family val="2"/>
        <scheme val="minor"/>
      </rPr>
      <t>n</t>
    </r>
    <r>
      <rPr>
        <sz val="8"/>
        <color theme="3" tint="-0.499984740745262"/>
        <rFont val="Calibri"/>
        <family val="2"/>
        <scheme val="minor"/>
      </rPr>
      <t>br</t>
    </r>
  </si>
  <si>
    <r>
      <rPr>
        <sz val="11"/>
        <color theme="3" tint="-0.499984740745262"/>
        <rFont val="Calibri"/>
        <family val="2"/>
        <scheme val="minor"/>
      </rPr>
      <t>St (cm)</t>
    </r>
  </si>
  <si>
    <r>
      <t>b</t>
    </r>
    <r>
      <rPr>
        <sz val="9"/>
        <color theme="3" tint="-0.499984740745262"/>
        <rFont val="Calibri"/>
        <family val="2"/>
        <scheme val="minor"/>
      </rPr>
      <t>c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</si>
  <si>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b</t>
    </r>
    <r>
      <rPr>
        <sz val="9"/>
        <color theme="3" tint="-0.499984740745262"/>
        <rFont val="Calibri"/>
        <family val="2"/>
        <scheme val="minor"/>
      </rPr>
      <t>0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</si>
  <si>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h</t>
    </r>
    <r>
      <rPr>
        <sz val="9"/>
        <color theme="3" tint="-0.499984740745262"/>
        <rFont val="Calibri"/>
        <family val="2"/>
        <scheme val="minor"/>
      </rPr>
      <t>c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</si>
  <si>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h</t>
    </r>
    <r>
      <rPr>
        <sz val="9"/>
        <color theme="3" tint="-0.499984740745262"/>
        <rFont val="Calibri"/>
        <family val="2"/>
        <scheme val="minor"/>
      </rPr>
      <t>0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</si>
  <si>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b</t>
    </r>
    <r>
      <rPr>
        <sz val="9"/>
        <color theme="3" tint="-0.499984740745262"/>
        <rFont val="Arial Narrow"/>
        <family val="2"/>
      </rPr>
      <t>i</t>
    </r>
    <r>
      <rPr>
        <sz val="11"/>
        <color theme="3" tint="-0.499984740745262"/>
        <rFont val="Arial Narrow"/>
        <family val="2"/>
      </rPr>
      <t xml:space="preserve"> (cm)</t>
    </r>
  </si>
  <si>
    <r>
      <t>Ø</t>
    </r>
    <r>
      <rPr>
        <sz val="8"/>
        <color theme="3" tint="-0.499984740745262"/>
        <rFont val="Arial Narrow"/>
        <family val="2"/>
      </rPr>
      <t>l</t>
    </r>
    <r>
      <rPr>
        <sz val="12"/>
        <color theme="3" tint="-0.499984740745262"/>
        <rFont val="Arial Narrow"/>
        <family val="2"/>
      </rPr>
      <t xml:space="preserve"> (cm)</t>
    </r>
  </si>
  <si>
    <r>
      <t>N</t>
    </r>
    <r>
      <rPr>
        <sz val="10"/>
        <color theme="3" tint="-0.499984740745262"/>
        <rFont val="Arial Narrow"/>
        <family val="2"/>
      </rPr>
      <t>n</t>
    </r>
    <r>
      <rPr>
        <sz val="8"/>
        <color theme="3" tint="-0.499984740745262"/>
        <rFont val="Arial Narrow"/>
        <family val="2"/>
      </rPr>
      <t>br</t>
    </r>
  </si>
  <si>
    <t>Avj (cm²)</t>
  </si>
  <si>
    <t>Avg (cm²)</t>
  </si>
  <si>
    <t>Ag (cm²)</t>
  </si>
  <si>
    <r>
      <t>γ</t>
    </r>
    <r>
      <rPr>
        <b/>
        <vertAlign val="subscript"/>
        <sz val="11"/>
        <color theme="3" tint="-0.499984740745262"/>
        <rFont val="Calibri"/>
        <family val="2"/>
        <scheme val="minor"/>
      </rPr>
      <t>b</t>
    </r>
  </si>
  <si>
    <r>
      <t>γ</t>
    </r>
    <r>
      <rPr>
        <b/>
        <vertAlign val="subscript"/>
        <sz val="11"/>
        <color theme="3" tint="-0.499984740745262"/>
        <rFont val="Calibri"/>
        <family val="2"/>
        <scheme val="minor"/>
      </rPr>
      <t>s</t>
    </r>
  </si>
  <si>
    <r>
      <t>l</t>
    </r>
    <r>
      <rPr>
        <b/>
        <vertAlign val="subscript"/>
        <sz val="11"/>
        <color theme="3" tint="-0.499984740745262"/>
        <rFont val="Calibri"/>
        <family val="2"/>
        <scheme val="minor"/>
      </rPr>
      <t>w</t>
    </r>
    <r>
      <rPr>
        <b/>
        <sz val="11"/>
        <color theme="3" tint="-0.499984740745262"/>
        <rFont val="Calibri"/>
        <family val="2"/>
        <scheme val="minor"/>
      </rPr>
      <t xml:space="preserve"> (m)</t>
    </r>
  </si>
  <si>
    <r>
      <t>b</t>
    </r>
    <r>
      <rPr>
        <b/>
        <vertAlign val="subscript"/>
        <sz val="11"/>
        <color theme="3" tint="-0.499984740745262"/>
        <rFont val="Calibri"/>
        <family val="2"/>
        <scheme val="minor"/>
      </rPr>
      <t>w</t>
    </r>
    <r>
      <rPr>
        <b/>
        <sz val="11"/>
        <color theme="3" tint="-0.499984740745262"/>
        <rFont val="Calibri"/>
        <family val="2"/>
        <scheme val="minor"/>
      </rPr>
      <t xml:space="preserve"> (m)</t>
    </r>
  </si>
  <si>
    <r>
      <t>d</t>
    </r>
    <r>
      <rPr>
        <b/>
        <vertAlign val="subscript"/>
        <sz val="11"/>
        <color theme="3" tint="-0.499984740745262"/>
        <rFont val="Calibri"/>
        <family val="2"/>
        <scheme val="minor"/>
      </rPr>
      <t>1,2</t>
    </r>
    <r>
      <rPr>
        <b/>
        <sz val="11"/>
        <color theme="3" tint="-0.499984740745262"/>
        <rFont val="Calibri"/>
        <family val="2"/>
        <scheme val="minor"/>
      </rPr>
      <t xml:space="preserve"> (cm)</t>
    </r>
  </si>
  <si>
    <r>
      <t>F</t>
    </r>
    <r>
      <rPr>
        <b/>
        <vertAlign val="subscript"/>
        <sz val="11"/>
        <color theme="3" tint="-0.499984740745262"/>
        <rFont val="Calibri"/>
        <family val="2"/>
        <scheme val="minor"/>
      </rPr>
      <t>c28</t>
    </r>
    <r>
      <rPr>
        <b/>
        <sz val="11"/>
        <color theme="3" tint="-0.499984740745262"/>
        <rFont val="Calibri"/>
        <family val="2"/>
        <scheme val="minor"/>
      </rPr>
      <t xml:space="preserve"> (Mpa)</t>
    </r>
  </si>
  <si>
    <r>
      <t>M</t>
    </r>
    <r>
      <rPr>
        <b/>
        <vertAlign val="subscript"/>
        <sz val="11"/>
        <color theme="3" tint="-0.499984740745262"/>
        <rFont val="Calibri"/>
        <family val="2"/>
        <scheme val="minor"/>
      </rPr>
      <t>ED</t>
    </r>
    <r>
      <rPr>
        <b/>
        <sz val="11"/>
        <color theme="3" tint="-0.499984740745262"/>
        <rFont val="Calibri"/>
        <family val="2"/>
        <scheme val="minor"/>
      </rPr>
      <t xml:space="preserve"> (KN,m)</t>
    </r>
  </si>
  <si>
    <r>
      <t>M</t>
    </r>
    <r>
      <rPr>
        <b/>
        <vertAlign val="subscript"/>
        <sz val="11"/>
        <color theme="3" tint="-0.499984740745262"/>
        <rFont val="Calibri"/>
        <family val="2"/>
        <scheme val="minor"/>
      </rPr>
      <t>RD</t>
    </r>
    <r>
      <rPr>
        <b/>
        <sz val="11"/>
        <color theme="3" tint="-0.499984740745262"/>
        <rFont val="Calibri"/>
        <family val="2"/>
        <scheme val="minor"/>
      </rPr>
      <t xml:space="preserve"> (KN,m)</t>
    </r>
  </si>
  <si>
    <r>
      <t>Ø</t>
    </r>
    <r>
      <rPr>
        <vertAlign val="subscript"/>
        <sz val="11"/>
        <color theme="3" tint="-0.499984740745262"/>
        <rFont val="Calibri"/>
        <family val="2"/>
        <scheme val="minor"/>
      </rPr>
      <t>lmin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</si>
  <si>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Av</t>
    </r>
    <r>
      <rPr>
        <vertAlign val="subscript"/>
        <sz val="11"/>
        <color theme="3" tint="-0.499984740745262"/>
        <rFont val="Calibri"/>
        <family val="2"/>
        <scheme val="minor"/>
      </rPr>
      <t>calc</t>
    </r>
    <r>
      <rPr>
        <sz val="11"/>
        <color theme="3" tint="-0.499984740745262"/>
        <rFont val="Calibri"/>
        <family val="2"/>
        <scheme val="minor"/>
      </rPr>
      <t xml:space="preserve"> (cm²)</t>
    </r>
  </si>
  <si>
    <r>
      <t>lc.</t>
    </r>
    <r>
      <rPr>
        <vertAlign val="subscript"/>
        <sz val="11"/>
        <color theme="3" tint="-0.499984740745262"/>
        <rFont val="Calibri"/>
        <family val="2"/>
        <scheme val="minor"/>
      </rPr>
      <t>choisi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</si>
  <si>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Lc.</t>
    </r>
    <r>
      <rPr>
        <vertAlign val="subscript"/>
        <sz val="11"/>
        <color theme="3" tint="-0.499984740745262"/>
        <rFont val="Calibri"/>
        <family val="2"/>
        <scheme val="minor"/>
      </rPr>
      <t>choisi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</si>
  <si>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bc.</t>
    </r>
    <r>
      <rPr>
        <vertAlign val="subscript"/>
        <sz val="11"/>
        <color theme="3" tint="-0.499984740745262"/>
        <rFont val="Calibri"/>
        <family val="2"/>
        <scheme val="minor"/>
      </rPr>
      <t>choisi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</si>
  <si>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b</t>
    </r>
    <r>
      <rPr>
        <vertAlign val="subscript"/>
        <sz val="11"/>
        <color theme="3" tint="-0.499984740745262"/>
        <rFont val="Calibri"/>
        <family val="2"/>
        <scheme val="minor"/>
      </rPr>
      <t>0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</si>
  <si>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Av</t>
    </r>
    <r>
      <rPr>
        <vertAlign val="subscript"/>
        <sz val="11"/>
        <color theme="3" tint="-0.499984740745262"/>
        <rFont val="Calibri"/>
        <family val="2"/>
        <scheme val="minor"/>
      </rPr>
      <t>min</t>
    </r>
    <r>
      <rPr>
        <sz val="11"/>
        <color theme="3" tint="-0.499984740745262"/>
        <rFont val="Calibri"/>
        <family val="2"/>
        <scheme val="minor"/>
      </rPr>
      <t xml:space="preserve"> (cm²)</t>
    </r>
  </si>
  <si>
    <r>
      <t>St</t>
    </r>
    <r>
      <rPr>
        <vertAlign val="subscript"/>
        <sz val="11"/>
        <color theme="3" tint="-0.499984740745262"/>
        <rFont val="Calibri"/>
        <family val="2"/>
        <scheme val="minor"/>
      </rPr>
      <t>max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</si>
  <si>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A</t>
    </r>
    <r>
      <rPr>
        <vertAlign val="subscript"/>
        <sz val="11"/>
        <color theme="3" tint="-0.499984740745262"/>
        <rFont val="Calibri"/>
        <family val="2"/>
        <scheme val="minor"/>
      </rPr>
      <t>t</t>
    </r>
    <r>
      <rPr>
        <sz val="11"/>
        <color theme="3" tint="-0.499984740745262"/>
        <rFont val="Calibri"/>
        <family val="2"/>
        <scheme val="minor"/>
      </rPr>
      <t xml:space="preserve"> (cm²)</t>
    </r>
  </si>
  <si>
    <t>Avd (cm²)</t>
  </si>
  <si>
    <r>
      <t>bc.</t>
    </r>
    <r>
      <rPr>
        <vertAlign val="subscript"/>
        <sz val="11"/>
        <color theme="3" tint="-0.499984740745262"/>
        <rFont val="Calibri"/>
        <family val="2"/>
        <scheme val="minor"/>
      </rPr>
      <t xml:space="preserve">choisi </t>
    </r>
    <r>
      <rPr>
        <sz val="11"/>
        <color theme="3" tint="-0.499984740745262"/>
        <rFont val="Calibri"/>
        <family val="2"/>
        <scheme val="minor"/>
      </rPr>
      <t>(cm)</t>
    </r>
  </si>
  <si>
    <r>
      <t>Ø</t>
    </r>
    <r>
      <rPr>
        <vertAlign val="subscript"/>
        <sz val="11"/>
        <color theme="3" tint="-0.499984740745262"/>
        <rFont val="Calibri"/>
        <family val="2"/>
        <scheme val="minor"/>
      </rPr>
      <t>l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</si>
  <si>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Sv</t>
    </r>
    <r>
      <rPr>
        <vertAlign val="subscript"/>
        <sz val="11"/>
        <color theme="3" tint="-0.499984740745262"/>
        <rFont val="Calibri"/>
        <family val="2"/>
        <scheme val="minor"/>
      </rPr>
      <t>choisi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</si>
  <si>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Sv</t>
    </r>
    <r>
      <rPr>
        <vertAlign val="subscript"/>
        <sz val="11"/>
        <color theme="3" tint="-0.499984740745262"/>
        <rFont val="Calibri"/>
        <family val="2"/>
        <scheme val="minor"/>
      </rPr>
      <t>max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</si>
  <si>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Ø</t>
    </r>
    <r>
      <rPr>
        <vertAlign val="subscript"/>
        <sz val="11"/>
        <color theme="3" tint="-0.499984740745262"/>
        <rFont val="Calibri"/>
        <family val="2"/>
        <scheme val="minor"/>
      </rPr>
      <t>lmax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</si>
  <si>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Sh</t>
    </r>
    <r>
      <rPr>
        <vertAlign val="subscript"/>
        <sz val="11"/>
        <color theme="3" tint="-0.499984740745262"/>
        <rFont val="Calibri"/>
        <family val="2"/>
        <scheme val="minor"/>
      </rPr>
      <t>choisi</t>
    </r>
    <r>
      <rPr>
        <sz val="11"/>
        <color theme="3" tint="-0.499984740745262"/>
        <rFont val="Calibri"/>
        <family val="2"/>
        <scheme val="minor"/>
      </rPr>
      <t xml:space="preserve"> (cm)</t>
    </r>
  </si>
  <si>
    <r>
      <t>Sh</t>
    </r>
    <r>
      <rPr>
        <vertAlign val="subscript"/>
        <sz val="11"/>
        <color theme="3" tint="-0.499984740745262"/>
        <rFont val="Calibri"/>
        <family val="2"/>
        <scheme val="minor"/>
      </rPr>
      <t>max</t>
    </r>
    <r>
      <rPr>
        <sz val="11"/>
        <color theme="3" tint="-0.499984740745262"/>
        <rFont val="Calibri"/>
        <family val="2"/>
        <scheme val="minor"/>
      </rPr>
      <t xml:space="preserve"> (cm)</t>
    </r>
  </si>
  <si>
    <t>Z (cm)</t>
  </si>
  <si>
    <r>
      <t>h</t>
    </r>
    <r>
      <rPr>
        <b/>
        <vertAlign val="subscript"/>
        <sz val="11"/>
        <color theme="3" tint="-0.499984740745262"/>
        <rFont val="Calibri"/>
        <family val="2"/>
        <scheme val="minor"/>
      </rPr>
      <t>e</t>
    </r>
    <r>
      <rPr>
        <b/>
        <sz val="11"/>
        <color theme="3" tint="-0.499984740745262"/>
        <rFont val="Calibri"/>
        <family val="2"/>
        <scheme val="minor"/>
      </rPr>
      <t xml:space="preserve"> (m)</t>
    </r>
  </si>
  <si>
    <r>
      <t>h</t>
    </r>
    <r>
      <rPr>
        <b/>
        <vertAlign val="subscript"/>
        <sz val="11"/>
        <color theme="3" tint="-0.499984740745262"/>
        <rFont val="Calibri"/>
        <family val="2"/>
        <scheme val="minor"/>
      </rPr>
      <t>cr</t>
    </r>
    <r>
      <rPr>
        <b/>
        <sz val="11"/>
        <color theme="3" tint="-0.499984740745262"/>
        <rFont val="Calibri"/>
        <family val="2"/>
        <scheme val="minor"/>
      </rPr>
      <t xml:space="preserve"> (m)</t>
    </r>
  </si>
  <si>
    <r>
      <t>Q</t>
    </r>
    <r>
      <rPr>
        <b/>
        <vertAlign val="subscript"/>
        <sz val="11"/>
        <color theme="3" tint="-0.499984740745262"/>
        <rFont val="Calibri"/>
        <family val="2"/>
        <scheme val="minor"/>
      </rPr>
      <t>f</t>
    </r>
  </si>
  <si>
    <r>
      <t>T</t>
    </r>
    <r>
      <rPr>
        <b/>
        <vertAlign val="subscript"/>
        <sz val="11"/>
        <color theme="3" tint="-0.499984740745262"/>
        <rFont val="Calibri"/>
        <family val="2"/>
        <scheme val="minor"/>
      </rPr>
      <t>0</t>
    </r>
    <r>
      <rPr>
        <b/>
        <sz val="11"/>
        <color theme="3" tint="-0.499984740745262"/>
        <rFont val="Calibri"/>
        <family val="2"/>
        <scheme val="minor"/>
      </rPr>
      <t xml:space="preserve"> (s)</t>
    </r>
  </si>
  <si>
    <r>
      <t>T</t>
    </r>
    <r>
      <rPr>
        <b/>
        <vertAlign val="subscript"/>
        <sz val="11"/>
        <color theme="3" tint="-0.499984740745262"/>
        <rFont val="Calibri"/>
        <family val="2"/>
        <scheme val="minor"/>
      </rPr>
      <t>2</t>
    </r>
    <r>
      <rPr>
        <b/>
        <sz val="11"/>
        <color theme="3" tint="-0.499984740745262"/>
        <rFont val="Calibri"/>
        <family val="2"/>
        <scheme val="minor"/>
      </rPr>
      <t xml:space="preserve"> (s)</t>
    </r>
  </si>
  <si>
    <r>
      <t>γ</t>
    </r>
    <r>
      <rPr>
        <b/>
        <vertAlign val="subscript"/>
        <sz val="11"/>
        <color theme="4" tint="-0.499984740745262"/>
        <rFont val="Calibri"/>
        <family val="2"/>
        <scheme val="minor"/>
      </rPr>
      <t>b</t>
    </r>
  </si>
  <si>
    <r>
      <t>γ</t>
    </r>
    <r>
      <rPr>
        <b/>
        <vertAlign val="subscript"/>
        <sz val="11"/>
        <color theme="4" tint="-0.499984740745262"/>
        <rFont val="Calibri"/>
        <family val="2"/>
        <scheme val="minor"/>
      </rPr>
      <t>s</t>
    </r>
  </si>
  <si>
    <r>
      <t>h</t>
    </r>
    <r>
      <rPr>
        <b/>
        <vertAlign val="subscript"/>
        <sz val="11"/>
        <color theme="4" tint="-0.499984740745262"/>
        <rFont val="Calibri"/>
        <family val="2"/>
        <scheme val="minor"/>
      </rPr>
      <t>w</t>
    </r>
    <r>
      <rPr>
        <b/>
        <sz val="11"/>
        <color theme="4" tint="-0.499984740745262"/>
        <rFont val="Calibri"/>
        <family val="2"/>
        <scheme val="minor"/>
      </rPr>
      <t xml:space="preserve"> (m)</t>
    </r>
  </si>
  <si>
    <r>
      <t>h</t>
    </r>
    <r>
      <rPr>
        <b/>
        <vertAlign val="subscript"/>
        <sz val="11"/>
        <color theme="4" tint="-0.499984740745262"/>
        <rFont val="Calibri"/>
        <family val="2"/>
        <scheme val="minor"/>
      </rPr>
      <t>e</t>
    </r>
    <r>
      <rPr>
        <b/>
        <sz val="11"/>
        <color theme="4" tint="-0.499984740745262"/>
        <rFont val="Calibri"/>
        <family val="2"/>
        <scheme val="minor"/>
      </rPr>
      <t xml:space="preserve"> (m)</t>
    </r>
  </si>
  <si>
    <r>
      <t>l</t>
    </r>
    <r>
      <rPr>
        <b/>
        <vertAlign val="subscript"/>
        <sz val="11"/>
        <color theme="4" tint="-0.499984740745262"/>
        <rFont val="Calibri"/>
        <family val="2"/>
        <scheme val="minor"/>
      </rPr>
      <t>w</t>
    </r>
    <r>
      <rPr>
        <b/>
        <sz val="11"/>
        <color theme="4" tint="-0.499984740745262"/>
        <rFont val="Calibri"/>
        <family val="2"/>
        <scheme val="minor"/>
      </rPr>
      <t xml:space="preserve"> (m)</t>
    </r>
  </si>
  <si>
    <r>
      <t>b</t>
    </r>
    <r>
      <rPr>
        <b/>
        <vertAlign val="subscript"/>
        <sz val="11"/>
        <color theme="4" tint="-0.499984740745262"/>
        <rFont val="Calibri"/>
        <family val="2"/>
        <scheme val="minor"/>
      </rPr>
      <t>w</t>
    </r>
    <r>
      <rPr>
        <b/>
        <sz val="11"/>
        <color theme="4" tint="-0.499984740745262"/>
        <rFont val="Calibri"/>
        <family val="2"/>
        <scheme val="minor"/>
      </rPr>
      <t xml:space="preserve"> (m)</t>
    </r>
  </si>
  <si>
    <r>
      <t>d</t>
    </r>
    <r>
      <rPr>
        <b/>
        <vertAlign val="subscript"/>
        <sz val="11"/>
        <color theme="4" tint="-0.499984740745262"/>
        <rFont val="Calibri"/>
        <family val="2"/>
        <scheme val="minor"/>
      </rPr>
      <t>1,2</t>
    </r>
    <r>
      <rPr>
        <b/>
        <sz val="11"/>
        <color theme="4" tint="-0.499984740745262"/>
        <rFont val="Calibri"/>
        <family val="2"/>
        <scheme val="minor"/>
      </rPr>
      <t xml:space="preserve"> (cm)</t>
    </r>
  </si>
  <si>
    <r>
      <t>N</t>
    </r>
    <r>
      <rPr>
        <b/>
        <vertAlign val="subscript"/>
        <sz val="10"/>
        <color theme="4" tint="-0.499984740745262"/>
        <rFont val="Arial"/>
        <family val="2"/>
      </rPr>
      <t>i</t>
    </r>
    <r>
      <rPr>
        <b/>
        <sz val="10"/>
        <color theme="4" tint="-0.499984740745262"/>
        <rFont val="Arial"/>
        <family val="2"/>
      </rPr>
      <t xml:space="preserve"> [KN]</t>
    </r>
  </si>
  <si>
    <r>
      <t>M</t>
    </r>
    <r>
      <rPr>
        <b/>
        <vertAlign val="subscript"/>
        <sz val="10"/>
        <color theme="4" tint="-0.499984740745262"/>
        <rFont val="Arial"/>
        <family val="2"/>
      </rPr>
      <t>i</t>
    </r>
    <r>
      <rPr>
        <b/>
        <sz val="10"/>
        <color theme="4" tint="-0.499984740745262"/>
        <rFont val="Arial"/>
        <family val="2"/>
      </rPr>
      <t xml:space="preserve"> [KN.m]</t>
    </r>
  </si>
  <si>
    <r>
      <t>T</t>
    </r>
    <r>
      <rPr>
        <b/>
        <vertAlign val="subscript"/>
        <sz val="10"/>
        <color theme="4" tint="-0.499984740745262"/>
        <rFont val="Arial"/>
        <family val="2"/>
      </rPr>
      <t>i</t>
    </r>
    <r>
      <rPr>
        <b/>
        <sz val="10"/>
        <color theme="4" tint="-0.499984740745262"/>
        <rFont val="Arial"/>
        <family val="2"/>
      </rPr>
      <t xml:space="preserve"> [KN]</t>
    </r>
  </si>
  <si>
    <r>
      <t>Fc</t>
    </r>
    <r>
      <rPr>
        <b/>
        <vertAlign val="subscript"/>
        <sz val="11"/>
        <color theme="4" tint="-0.499984740745262"/>
        <rFont val="Calibri"/>
        <family val="2"/>
        <scheme val="minor"/>
      </rPr>
      <t>28</t>
    </r>
    <r>
      <rPr>
        <b/>
        <sz val="11"/>
        <color theme="4" tint="-0.499984740745262"/>
        <rFont val="Calibri"/>
        <family val="2"/>
        <scheme val="minor"/>
      </rPr>
      <t xml:space="preserve"> (Mpa)</t>
    </r>
  </si>
  <si>
    <r>
      <t>h</t>
    </r>
    <r>
      <rPr>
        <b/>
        <vertAlign val="subscript"/>
        <sz val="10"/>
        <color rgb="FFFF0000"/>
        <rFont val="Calibri"/>
        <family val="2"/>
        <scheme val="minor"/>
      </rPr>
      <t xml:space="preserve">critique </t>
    </r>
    <r>
      <rPr>
        <b/>
        <sz val="10"/>
        <color rgb="FFFF0000"/>
        <rFont val="Calibri"/>
        <family val="2"/>
        <scheme val="minor"/>
      </rPr>
      <t>(m)</t>
    </r>
  </si>
  <si>
    <r>
      <t>Ø</t>
    </r>
    <r>
      <rPr>
        <sz val="8"/>
        <color theme="4" tint="-0.499984740745262"/>
        <rFont val="Calibri"/>
        <family val="2"/>
        <scheme val="minor"/>
      </rPr>
      <t>l</t>
    </r>
    <r>
      <rPr>
        <sz val="12"/>
        <color theme="4" tint="-0.499984740745262"/>
        <rFont val="Calibri"/>
        <family val="2"/>
        <scheme val="minor"/>
      </rPr>
      <t xml:space="preserve"> (cm)</t>
    </r>
  </si>
  <si>
    <r>
      <rPr>
        <sz val="11"/>
        <color theme="4" tint="-0.499984740745262"/>
        <rFont val="Calibri"/>
        <family val="2"/>
        <scheme val="minor"/>
      </rPr>
      <t>St</t>
    </r>
    <r>
      <rPr>
        <sz val="9"/>
        <color theme="4" tint="-0.499984740745262"/>
        <rFont val="Calibri"/>
        <family val="2"/>
        <scheme val="minor"/>
      </rPr>
      <t>choisi</t>
    </r>
    <r>
      <rPr>
        <sz val="11"/>
        <color theme="4" tint="-0.499984740745262"/>
        <rFont val="Calibri"/>
        <family val="2"/>
        <scheme val="minor"/>
      </rPr>
      <t xml:space="preserve"> </t>
    </r>
    <r>
      <rPr>
        <sz val="12"/>
        <color theme="4" tint="-0.499984740745262"/>
        <rFont val="Calibri"/>
        <family val="2"/>
        <scheme val="minor"/>
      </rPr>
      <t>(cm)</t>
    </r>
  </si>
  <si>
    <r>
      <rPr>
        <sz val="11"/>
        <color theme="4" tint="-0.499984740745262"/>
        <rFont val="Calibri"/>
        <family val="2"/>
        <scheme val="minor"/>
      </rPr>
      <t>Øl</t>
    </r>
    <r>
      <rPr>
        <sz val="9"/>
        <color theme="4" tint="-0.499984740745262"/>
        <rFont val="Calibri"/>
        <family val="2"/>
        <scheme val="minor"/>
      </rPr>
      <t>max</t>
    </r>
    <r>
      <rPr>
        <sz val="11"/>
        <color theme="4" tint="-0.499984740745262"/>
        <rFont val="Calibri"/>
        <family val="2"/>
        <scheme val="minor"/>
      </rPr>
      <t xml:space="preserve"> </t>
    </r>
    <r>
      <rPr>
        <sz val="12"/>
        <color theme="4" tint="-0.499984740745262"/>
        <rFont val="Calibri"/>
        <family val="2"/>
        <scheme val="minor"/>
      </rPr>
      <t>(cm)</t>
    </r>
  </si>
  <si>
    <r>
      <rPr>
        <sz val="11"/>
        <color theme="4" tint="-0.499984740745262"/>
        <rFont val="Calibri"/>
        <family val="2"/>
        <scheme val="minor"/>
      </rPr>
      <t>St</t>
    </r>
    <r>
      <rPr>
        <sz val="9"/>
        <color theme="4" tint="-0.499984740745262"/>
        <rFont val="Calibri"/>
        <family val="2"/>
        <scheme val="minor"/>
      </rPr>
      <t>max</t>
    </r>
    <r>
      <rPr>
        <sz val="11"/>
        <color theme="4" tint="-0.499984740745262"/>
        <rFont val="Calibri"/>
        <family val="2"/>
        <scheme val="minor"/>
      </rPr>
      <t xml:space="preserve"> </t>
    </r>
    <r>
      <rPr>
        <sz val="12"/>
        <color theme="4" tint="-0.499984740745262"/>
        <rFont val="Calibri"/>
        <family val="2"/>
        <scheme val="minor"/>
      </rPr>
      <t>(cm)</t>
    </r>
  </si>
  <si>
    <r>
      <t>Lc</t>
    </r>
    <r>
      <rPr>
        <vertAlign val="subscript"/>
        <sz val="11"/>
        <color theme="3" tint="-0.499984740745262"/>
        <rFont val="Calibri"/>
        <family val="2"/>
        <scheme val="minor"/>
      </rPr>
      <t>g</t>
    </r>
    <r>
      <rPr>
        <sz val="11"/>
        <color theme="3" tint="-0.499984740745262"/>
        <rFont val="Calibri"/>
        <family val="2"/>
        <scheme val="minor"/>
      </rPr>
      <t xml:space="preserve"> (min) (cm)</t>
    </r>
  </si>
  <si>
    <r>
      <t>bc</t>
    </r>
    <r>
      <rPr>
        <vertAlign val="subscript"/>
        <sz val="11"/>
        <color theme="3" tint="-0.499984740745262"/>
        <rFont val="Calibri"/>
        <family val="2"/>
        <scheme val="minor"/>
      </rPr>
      <t>g</t>
    </r>
    <r>
      <rPr>
        <sz val="11"/>
        <color theme="3" tint="-0.499984740745262"/>
        <rFont val="Calibri"/>
        <family val="2"/>
        <scheme val="minor"/>
      </rPr>
      <t xml:space="preserve">  (min) (cm)</t>
    </r>
  </si>
  <si>
    <r>
      <t>Lc</t>
    </r>
    <r>
      <rPr>
        <vertAlign val="subscript"/>
        <sz val="11"/>
        <color theme="3" tint="-0.499984740745262"/>
        <rFont val="Calibri"/>
        <family val="2"/>
        <scheme val="minor"/>
      </rPr>
      <t>d</t>
    </r>
    <r>
      <rPr>
        <sz val="11"/>
        <color theme="3" tint="-0.499984740745262"/>
        <rFont val="Calibri"/>
        <family val="2"/>
        <scheme val="minor"/>
      </rPr>
      <t xml:space="preserve">  (min) (cm)</t>
    </r>
  </si>
  <si>
    <r>
      <t>bc</t>
    </r>
    <r>
      <rPr>
        <vertAlign val="subscript"/>
        <sz val="11"/>
        <color theme="3" tint="-0.499984740745262"/>
        <rFont val="Calibri"/>
        <family val="2"/>
        <scheme val="minor"/>
      </rPr>
      <t>d</t>
    </r>
    <r>
      <rPr>
        <sz val="11"/>
        <color theme="3" tint="-0.499984740745262"/>
        <rFont val="Calibri"/>
        <family val="2"/>
        <scheme val="minor"/>
      </rPr>
      <t xml:space="preserve">  (min) (cm)</t>
    </r>
  </si>
  <si>
    <r>
      <t>H</t>
    </r>
    <r>
      <rPr>
        <b/>
        <vertAlign val="subscript"/>
        <sz val="11"/>
        <color theme="4" tint="-0.499984740745262"/>
        <rFont val="Calibri"/>
        <family val="2"/>
        <scheme val="minor"/>
      </rPr>
      <t>i</t>
    </r>
    <r>
      <rPr>
        <b/>
        <sz val="11"/>
        <color theme="4" tint="-0.499984740745262"/>
        <rFont val="Calibri"/>
        <family val="2"/>
        <scheme val="minor"/>
      </rPr>
      <t xml:space="preserve"> [m]</t>
    </r>
  </si>
  <si>
    <r>
      <t>N</t>
    </r>
    <r>
      <rPr>
        <b/>
        <vertAlign val="subscript"/>
        <sz val="11"/>
        <color theme="4" tint="-0.499984740745262"/>
        <rFont val="Calibri"/>
        <family val="2"/>
        <scheme val="minor"/>
      </rPr>
      <t>i</t>
    </r>
    <r>
      <rPr>
        <b/>
        <sz val="11"/>
        <color theme="4" tint="-0.499984740745262"/>
        <rFont val="Calibri"/>
        <family val="2"/>
        <scheme val="minor"/>
      </rPr>
      <t xml:space="preserve"> [KN]</t>
    </r>
  </si>
  <si>
    <r>
      <t>M</t>
    </r>
    <r>
      <rPr>
        <b/>
        <vertAlign val="subscript"/>
        <sz val="11"/>
        <color theme="4" tint="-0.499984740745262"/>
        <rFont val="Calibri"/>
        <family val="2"/>
        <scheme val="minor"/>
      </rPr>
      <t>i</t>
    </r>
    <r>
      <rPr>
        <b/>
        <sz val="11"/>
        <color theme="4" tint="-0.499984740745262"/>
        <rFont val="Calibri"/>
        <family val="2"/>
        <scheme val="minor"/>
      </rPr>
      <t xml:space="preserve"> [KN.m]</t>
    </r>
  </si>
  <si>
    <r>
      <t>T</t>
    </r>
    <r>
      <rPr>
        <b/>
        <vertAlign val="subscript"/>
        <sz val="11"/>
        <color theme="4" tint="-0.499984740745262"/>
        <rFont val="Calibri"/>
        <family val="2"/>
        <scheme val="minor"/>
      </rPr>
      <t>i</t>
    </r>
    <r>
      <rPr>
        <b/>
        <sz val="11"/>
        <color theme="4" tint="-0.499984740745262"/>
        <rFont val="Calibri"/>
        <family val="2"/>
        <scheme val="minor"/>
      </rPr>
      <t xml:space="preserve"> [KN]</t>
    </r>
  </si>
  <si>
    <r>
      <t>A</t>
    </r>
    <r>
      <rPr>
        <b/>
        <vertAlign val="subscript"/>
        <sz val="11"/>
        <color theme="4" tint="-0.499984740745262"/>
        <rFont val="Calibri"/>
        <family val="2"/>
        <scheme val="minor"/>
      </rPr>
      <t>sv</t>
    </r>
    <r>
      <rPr>
        <b/>
        <sz val="11"/>
        <color theme="4" tint="-0.499984740745262"/>
        <rFont val="Calibri"/>
        <family val="2"/>
        <scheme val="minor"/>
      </rPr>
      <t xml:space="preserve"> (cm²)</t>
    </r>
  </si>
  <si>
    <r>
      <t>A</t>
    </r>
    <r>
      <rPr>
        <b/>
        <vertAlign val="subscript"/>
        <sz val="11"/>
        <color theme="4" tint="-0.499984740745262"/>
        <rFont val="Calibri"/>
        <family val="2"/>
        <scheme val="minor"/>
      </rPr>
      <t>svmin</t>
    </r>
    <r>
      <rPr>
        <b/>
        <sz val="11"/>
        <color theme="4" tint="-0.499984740745262"/>
        <rFont val="Calibri"/>
        <family val="2"/>
        <scheme val="minor"/>
      </rPr>
      <t xml:space="preserve"> (cm²)</t>
    </r>
  </si>
  <si>
    <r>
      <rPr>
        <sz val="11"/>
        <color theme="3" tint="-0.499984740745262"/>
        <rFont val="Calibri"/>
        <family val="2"/>
        <scheme val="minor"/>
      </rPr>
      <t xml:space="preserve">St </t>
    </r>
    <r>
      <rPr>
        <sz val="12"/>
        <color theme="3" tint="-0.499984740745262"/>
        <rFont val="Calibri"/>
        <family val="2"/>
        <scheme val="minor"/>
      </rPr>
      <t>(cm)</t>
    </r>
  </si>
  <si>
    <t>CALCUL LINTEAUX</t>
  </si>
  <si>
    <t xml:space="preserve">L (m) </t>
  </si>
  <si>
    <t>V (KN)</t>
  </si>
  <si>
    <r>
      <t>d</t>
    </r>
    <r>
      <rPr>
        <b/>
        <vertAlign val="subscript"/>
        <sz val="11"/>
        <color theme="4" tint="-0.499984740745262"/>
        <rFont val="Calibri"/>
        <family val="2"/>
        <scheme val="minor"/>
      </rPr>
      <t>1,2</t>
    </r>
    <r>
      <rPr>
        <b/>
        <sz val="11"/>
        <color theme="4" tint="-0.499984740745262"/>
        <rFont val="Calibri"/>
        <family val="2"/>
        <scheme val="minor"/>
      </rPr>
      <t xml:space="preserve"> (m)</t>
    </r>
  </si>
  <si>
    <r>
      <rPr>
        <b/>
        <sz val="11"/>
        <color theme="4" tint="-0.499984740745262"/>
        <rFont val="Symbol"/>
        <family val="1"/>
        <charset val="2"/>
      </rPr>
      <t>t</t>
    </r>
    <r>
      <rPr>
        <b/>
        <vertAlign val="subscript"/>
        <sz val="11"/>
        <color theme="4" tint="-0.499984740745262"/>
        <rFont val="Calibri"/>
        <family val="2"/>
      </rPr>
      <t>b</t>
    </r>
    <r>
      <rPr>
        <b/>
        <sz val="11"/>
        <color theme="4" tint="-0.499984740745262"/>
        <rFont val="Calibri"/>
        <family val="2"/>
        <scheme val="minor"/>
      </rPr>
      <t xml:space="preserve"> (Mpa)</t>
    </r>
  </si>
  <si>
    <r>
      <rPr>
        <b/>
        <sz val="11"/>
        <color theme="4" tint="-0.499984740745262"/>
        <rFont val="Symbol"/>
        <family val="1"/>
        <charset val="2"/>
      </rPr>
      <t>t</t>
    </r>
    <r>
      <rPr>
        <b/>
        <vertAlign val="subscript"/>
        <sz val="11"/>
        <color theme="4" tint="-0.499984740745262"/>
        <rFont val="Calibri"/>
        <family val="2"/>
      </rPr>
      <t>blim</t>
    </r>
    <r>
      <rPr>
        <b/>
        <sz val="11"/>
        <color theme="4" tint="-0.499984740745262"/>
        <rFont val="Calibri"/>
        <family val="2"/>
        <scheme val="minor"/>
      </rPr>
      <t xml:space="preserve"> (Mpa)</t>
    </r>
  </si>
  <si>
    <t>Z (m)</t>
  </si>
  <si>
    <r>
      <t>A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l </t>
    </r>
    <r>
      <rPr>
        <b/>
        <sz val="11"/>
        <color theme="4" tint="-0.499984740745262"/>
        <rFont val="Calibri"/>
        <family val="2"/>
        <scheme val="minor"/>
      </rPr>
      <t>(cm²)</t>
    </r>
  </si>
  <si>
    <t>M (KN.m)</t>
  </si>
  <si>
    <r>
      <t>A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lmin </t>
    </r>
    <r>
      <rPr>
        <b/>
        <sz val="11"/>
        <color theme="4" tint="-0.499984740745262"/>
        <rFont val="Calibri"/>
        <family val="2"/>
        <scheme val="minor"/>
      </rPr>
      <t>(cm²)</t>
    </r>
  </si>
  <si>
    <r>
      <t>A</t>
    </r>
    <r>
      <rPr>
        <b/>
        <vertAlign val="subscript"/>
        <sz val="11"/>
        <color rgb="FF7030A0"/>
        <rFont val="Calibri"/>
        <family val="2"/>
        <scheme val="minor"/>
      </rPr>
      <t xml:space="preserve">lchoisi </t>
    </r>
    <r>
      <rPr>
        <b/>
        <sz val="11"/>
        <color rgb="FF7030A0"/>
        <rFont val="Calibri"/>
        <family val="2"/>
        <scheme val="minor"/>
      </rPr>
      <t>(cm²)</t>
    </r>
  </si>
  <si>
    <t>Al (cm²)</t>
  </si>
  <si>
    <t>At (cm²)</t>
  </si>
  <si>
    <r>
      <rPr>
        <b/>
        <sz val="11"/>
        <color theme="4" tint="-0.499984740745262"/>
        <rFont val="Calibri"/>
        <family val="2"/>
      </rPr>
      <t>λ</t>
    </r>
    <r>
      <rPr>
        <b/>
        <vertAlign val="subscript"/>
        <sz val="11"/>
        <color theme="4" tint="-0.499984740745262"/>
        <rFont val="Calibri"/>
        <family val="2"/>
      </rPr>
      <t>g</t>
    </r>
  </si>
  <si>
    <t>Premier sous- cas</t>
  </si>
  <si>
    <t>Linteau long</t>
  </si>
  <si>
    <t>Linteau court</t>
  </si>
  <si>
    <t>Deuxieme sous-cas</t>
  </si>
  <si>
    <r>
      <t>A</t>
    </r>
    <r>
      <rPr>
        <b/>
        <vertAlign val="subscript"/>
        <sz val="11"/>
        <color rgb="FF7030A0"/>
        <rFont val="Calibri"/>
        <family val="2"/>
        <scheme val="minor"/>
      </rPr>
      <t xml:space="preserve">tchoisi </t>
    </r>
    <r>
      <rPr>
        <b/>
        <sz val="11"/>
        <color rgb="FF7030A0"/>
        <rFont val="Calibri"/>
        <family val="2"/>
        <scheme val="minor"/>
      </rPr>
      <t>(cm²)</t>
    </r>
  </si>
  <si>
    <r>
      <t>S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tmin </t>
    </r>
    <r>
      <rPr>
        <b/>
        <sz val="11"/>
        <color theme="4" tint="-0.499984740745262"/>
        <rFont val="Calibri"/>
        <family val="2"/>
        <scheme val="minor"/>
      </rPr>
      <t>(cm)</t>
    </r>
  </si>
  <si>
    <r>
      <rPr>
        <b/>
        <sz val="11"/>
        <color theme="4" tint="-0.499984740745262"/>
        <rFont val="Symbol"/>
        <family val="1"/>
        <charset val="2"/>
      </rPr>
      <t>t</t>
    </r>
    <r>
      <rPr>
        <b/>
        <vertAlign val="subscript"/>
        <sz val="11"/>
        <color theme="4" tint="-0.499984740745262"/>
        <rFont val="Calibri"/>
        <family val="2"/>
      </rPr>
      <t>b</t>
    </r>
    <r>
      <rPr>
        <b/>
        <sz val="11"/>
        <color theme="4" tint="-0.499984740745262"/>
        <rFont val="Calibri"/>
        <family val="2"/>
      </rPr>
      <t xml:space="preserve"> </t>
    </r>
    <r>
      <rPr>
        <b/>
        <sz val="11"/>
        <color theme="4" tint="-0.499984740745262"/>
        <rFont val="Arial"/>
        <family val="2"/>
      </rPr>
      <t>≤</t>
    </r>
    <r>
      <rPr>
        <b/>
        <sz val="11"/>
        <color theme="4" tint="-0.499984740745262"/>
        <rFont val="Calibri"/>
        <family val="2"/>
      </rPr>
      <t xml:space="preserve"> 0,06 f</t>
    </r>
    <r>
      <rPr>
        <b/>
        <vertAlign val="subscript"/>
        <sz val="11"/>
        <color theme="4" tint="-0.499984740745262"/>
        <rFont val="Calibri"/>
        <family val="2"/>
      </rPr>
      <t>c28</t>
    </r>
  </si>
  <si>
    <r>
      <t>M</t>
    </r>
    <r>
      <rPr>
        <b/>
        <vertAlign val="subscript"/>
        <sz val="11"/>
        <color theme="4" tint="-0.499984740745262"/>
        <rFont val="Calibri"/>
        <family val="2"/>
        <scheme val="minor"/>
      </rPr>
      <t>ci</t>
    </r>
    <r>
      <rPr>
        <b/>
        <sz val="11"/>
        <color theme="4" tint="-0.499984740745262"/>
        <rFont val="Calibri"/>
        <family val="2"/>
        <scheme val="minor"/>
      </rPr>
      <t xml:space="preserve"> (KN.m)</t>
    </r>
  </si>
  <si>
    <r>
      <t>M</t>
    </r>
    <r>
      <rPr>
        <b/>
        <vertAlign val="subscript"/>
        <sz val="11"/>
        <color theme="4" tint="-0.499984740745262"/>
        <rFont val="Calibri"/>
        <family val="2"/>
        <scheme val="minor"/>
      </rPr>
      <t>cj</t>
    </r>
    <r>
      <rPr>
        <b/>
        <sz val="11"/>
        <color theme="4" tint="-0.499984740745262"/>
        <rFont val="Calibri"/>
        <family val="2"/>
        <scheme val="minor"/>
      </rPr>
      <t xml:space="preserve"> (KN.m)</t>
    </r>
  </si>
  <si>
    <r>
      <t>V</t>
    </r>
    <r>
      <rPr>
        <b/>
        <vertAlign val="subscript"/>
        <sz val="11"/>
        <color theme="4" tint="-0.499984740745262"/>
        <rFont val="Calibri"/>
        <family val="2"/>
        <scheme val="minor"/>
      </rPr>
      <t>1</t>
    </r>
    <r>
      <rPr>
        <b/>
        <sz val="11"/>
        <color theme="4" tint="-0.499984740745262"/>
        <rFont val="Calibri"/>
        <family val="2"/>
        <scheme val="minor"/>
      </rPr>
      <t xml:space="preserve"> (KN)</t>
    </r>
  </si>
  <si>
    <r>
      <t>V</t>
    </r>
    <r>
      <rPr>
        <b/>
        <vertAlign val="subscript"/>
        <sz val="11"/>
        <color theme="4" tint="-0.499984740745262"/>
        <rFont val="Calibri"/>
        <family val="2"/>
        <scheme val="minor"/>
      </rPr>
      <t>2</t>
    </r>
    <r>
      <rPr>
        <b/>
        <sz val="11"/>
        <color theme="4" tint="-0.499984740745262"/>
        <rFont val="Calibri"/>
        <family val="2"/>
        <scheme val="minor"/>
      </rPr>
      <t xml:space="preserve"> (KN)</t>
    </r>
  </si>
  <si>
    <r>
      <t>V</t>
    </r>
    <r>
      <rPr>
        <b/>
        <sz val="11"/>
        <color theme="4" tint="-0.499984740745262"/>
        <rFont val="Calibri"/>
        <family val="2"/>
        <scheme val="minor"/>
      </rPr>
      <t xml:space="preserve"> (KN)</t>
    </r>
  </si>
  <si>
    <r>
      <t>S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tchoisi </t>
    </r>
    <r>
      <rPr>
        <b/>
        <sz val="11"/>
        <color theme="4" tint="-0.499984740745262"/>
        <rFont val="Calibri"/>
        <family val="2"/>
        <scheme val="minor"/>
      </rPr>
      <t>(cm)</t>
    </r>
  </si>
  <si>
    <r>
      <t>At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min </t>
    </r>
    <r>
      <rPr>
        <b/>
        <sz val="11"/>
        <color theme="4" tint="-0.499984740745262"/>
        <rFont val="Calibri"/>
        <family val="2"/>
        <scheme val="minor"/>
      </rPr>
      <t>(cm²)</t>
    </r>
  </si>
  <si>
    <r>
      <t>Ac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min </t>
    </r>
    <r>
      <rPr>
        <b/>
        <sz val="11"/>
        <color theme="4" tint="-0.499984740745262"/>
        <rFont val="Calibri"/>
        <family val="2"/>
        <scheme val="minor"/>
      </rPr>
      <t>(cm²)</t>
    </r>
  </si>
  <si>
    <r>
      <rPr>
        <b/>
        <sz val="11"/>
        <color theme="4" tint="-0.499984740745262"/>
        <rFont val="Symbol"/>
        <family val="1"/>
        <charset val="2"/>
      </rPr>
      <t>t</t>
    </r>
    <r>
      <rPr>
        <b/>
        <vertAlign val="subscript"/>
        <sz val="11"/>
        <color theme="4" tint="-0.499984740745262"/>
        <rFont val="Calibri"/>
        <family val="2"/>
      </rPr>
      <t>b</t>
    </r>
    <r>
      <rPr>
        <b/>
        <sz val="11"/>
        <color theme="4" tint="-0.499984740745262"/>
        <rFont val="Calibri"/>
        <family val="2"/>
      </rPr>
      <t xml:space="preserve"> &gt; 0,06 f</t>
    </r>
    <r>
      <rPr>
        <b/>
        <vertAlign val="subscript"/>
        <sz val="11"/>
        <color theme="4" tint="-0.499984740745262"/>
        <rFont val="Calibri"/>
        <family val="2"/>
      </rPr>
      <t>c28</t>
    </r>
  </si>
  <si>
    <r>
      <t>tg (</t>
    </r>
    <r>
      <rPr>
        <b/>
        <sz val="11"/>
        <color theme="4" tint="-0.499984740745262"/>
        <rFont val="Calibri"/>
        <family val="2"/>
      </rPr>
      <t>α</t>
    </r>
    <r>
      <rPr>
        <b/>
        <sz val="11"/>
        <color theme="4" tint="-0.499984740745262"/>
        <rFont val="Calibri"/>
        <family val="2"/>
        <scheme val="minor"/>
      </rPr>
      <t>)</t>
    </r>
  </si>
  <si>
    <t>α°</t>
  </si>
  <si>
    <r>
      <t>sin (</t>
    </r>
    <r>
      <rPr>
        <b/>
        <sz val="11"/>
        <color theme="4" tint="-0.499984740745262"/>
        <rFont val="Calibri"/>
        <family val="2"/>
      </rPr>
      <t>α</t>
    </r>
    <r>
      <rPr>
        <b/>
        <sz val="11"/>
        <color theme="4" tint="-0.499984740745262"/>
        <rFont val="Calibri"/>
        <family val="2"/>
        <scheme val="minor"/>
      </rPr>
      <t>)</t>
    </r>
  </si>
  <si>
    <r>
      <t>A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D </t>
    </r>
    <r>
      <rPr>
        <b/>
        <sz val="11"/>
        <color theme="4" tint="-0.499984740745262"/>
        <rFont val="Calibri"/>
        <family val="2"/>
        <scheme val="minor"/>
      </rPr>
      <t>(cm²)</t>
    </r>
  </si>
  <si>
    <r>
      <t>A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Dmin </t>
    </r>
    <r>
      <rPr>
        <b/>
        <sz val="11"/>
        <color theme="4" tint="-0.499984740745262"/>
        <rFont val="Calibri"/>
        <family val="2"/>
        <scheme val="minor"/>
      </rPr>
      <t>(cm²)</t>
    </r>
  </si>
  <si>
    <t>AD (cm²)</t>
  </si>
  <si>
    <t>FERRAILLAGE DES LINTEAUX</t>
  </si>
  <si>
    <t>0,06 fc28</t>
  </si>
  <si>
    <r>
      <t>N</t>
    </r>
    <r>
      <rPr>
        <b/>
        <vertAlign val="subscript"/>
        <sz val="12"/>
        <color theme="7" tint="-0.499984740745262"/>
        <rFont val="Arial Narrow"/>
        <family val="2"/>
      </rPr>
      <t>brins</t>
    </r>
  </si>
  <si>
    <r>
      <rPr>
        <b/>
        <sz val="11"/>
        <color rgb="FF7030A0"/>
        <rFont val="Arial"/>
        <family val="2"/>
      </rPr>
      <t>ϕ</t>
    </r>
    <r>
      <rPr>
        <b/>
        <vertAlign val="subscript"/>
        <sz val="11"/>
        <color rgb="FF7030A0"/>
        <rFont val="Calibri"/>
        <family val="2"/>
        <scheme val="minor"/>
      </rPr>
      <t xml:space="preserve">tchoisi </t>
    </r>
    <r>
      <rPr>
        <b/>
        <sz val="11"/>
        <color rgb="FF7030A0"/>
        <rFont val="Calibri"/>
        <family val="2"/>
        <scheme val="minor"/>
      </rPr>
      <t>(cm)</t>
    </r>
  </si>
  <si>
    <r>
      <t>Ac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choisi </t>
    </r>
    <r>
      <rPr>
        <b/>
        <sz val="11"/>
        <color theme="4" tint="-0.499984740745262"/>
        <rFont val="Calibri"/>
        <family val="2"/>
        <scheme val="minor"/>
      </rPr>
      <t>(cm²)</t>
    </r>
  </si>
  <si>
    <t>DONNES</t>
  </si>
  <si>
    <t>VERIFICATION DES CONTRAINTES</t>
  </si>
  <si>
    <r>
      <t>A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Dchoisi </t>
    </r>
    <r>
      <rPr>
        <b/>
        <sz val="11"/>
        <color theme="4" tint="-0.499984740745262"/>
        <rFont val="Calibri"/>
        <family val="2"/>
        <scheme val="minor"/>
      </rPr>
      <t>(cm²)</t>
    </r>
  </si>
  <si>
    <t>d' (m)</t>
  </si>
  <si>
    <r>
      <t>V</t>
    </r>
    <r>
      <rPr>
        <b/>
        <vertAlign val="subscript"/>
        <sz val="11"/>
        <color theme="4" tint="-0.499984740745262"/>
        <rFont val="Calibri"/>
        <family val="2"/>
        <scheme val="minor"/>
      </rPr>
      <t>u</t>
    </r>
    <r>
      <rPr>
        <b/>
        <sz val="11"/>
        <color theme="4" tint="-0.499984740745262"/>
        <rFont val="Calibri"/>
        <family val="2"/>
        <scheme val="minor"/>
      </rPr>
      <t xml:space="preserve"> (KN)</t>
    </r>
  </si>
  <si>
    <r>
      <t>N</t>
    </r>
    <r>
      <rPr>
        <b/>
        <vertAlign val="subscript"/>
        <sz val="11"/>
        <color theme="4" tint="-0.499984740745262"/>
        <rFont val="Calibri"/>
        <family val="2"/>
        <scheme val="minor"/>
      </rPr>
      <t>imax</t>
    </r>
    <r>
      <rPr>
        <b/>
        <sz val="11"/>
        <color theme="4" tint="-0.499984740745262"/>
        <rFont val="Calibri"/>
        <family val="2"/>
        <scheme val="minor"/>
      </rPr>
      <t xml:space="preserve"> [KN]</t>
    </r>
  </si>
  <si>
    <r>
      <rPr>
        <sz val="10"/>
        <color theme="3" tint="-0.499984740745262"/>
        <rFont val="Arial Narrow"/>
        <family val="2"/>
      </rPr>
      <t>L</t>
    </r>
    <r>
      <rPr>
        <sz val="9"/>
        <color theme="3" tint="-0.499984740745262"/>
        <rFont val="Arial Narrow"/>
        <family val="2"/>
      </rPr>
      <t xml:space="preserve">c,calcul </t>
    </r>
    <r>
      <rPr>
        <sz val="12"/>
        <color theme="3" tint="-0.499984740745262"/>
        <rFont val="Arial Narrow"/>
        <family val="2"/>
      </rPr>
      <t>(cm)</t>
    </r>
  </si>
  <si>
    <r>
      <rPr>
        <sz val="11"/>
        <color theme="3" tint="-0.499984740745262"/>
        <rFont val="Arial Narrow"/>
        <family val="2"/>
      </rPr>
      <t>L</t>
    </r>
    <r>
      <rPr>
        <sz val="9"/>
        <color theme="3" tint="-0.499984740745262"/>
        <rFont val="Arial Narrow"/>
        <family val="2"/>
      </rPr>
      <t xml:space="preserve">c,calcul </t>
    </r>
    <r>
      <rPr>
        <sz val="12"/>
        <color theme="3" tint="-0.499984740745262"/>
        <rFont val="Arial Narrow"/>
        <family val="2"/>
      </rPr>
      <t>(cm)</t>
    </r>
  </si>
  <si>
    <t>mdification Ing Morsli Hammou</t>
  </si>
  <si>
    <t xml:space="preserve"> 0.00 m</t>
  </si>
  <si>
    <t>Zone superieure</t>
  </si>
  <si>
    <t>Vers 1.5.3</t>
  </si>
  <si>
    <r>
      <t>S</t>
    </r>
    <r>
      <rPr>
        <b/>
        <vertAlign val="subscript"/>
        <sz val="11"/>
        <color theme="4" tint="-0.499984740745262"/>
        <rFont val="Calibri"/>
        <family val="2"/>
        <scheme val="minor"/>
      </rPr>
      <t xml:space="preserve">tmax </t>
    </r>
    <r>
      <rPr>
        <b/>
        <sz val="11"/>
        <color theme="4" tint="-0.499984740745262"/>
        <rFont val="Calibri"/>
        <family val="2"/>
        <scheme val="minor"/>
      </rPr>
      <t>(cm)</t>
    </r>
  </si>
</sst>
</file>

<file path=xl/styles.xml><?xml version="1.0" encoding="utf-8"?>
<styleSheet xmlns="http://schemas.openxmlformats.org/spreadsheetml/2006/main">
  <numFmts count="9">
    <numFmt numFmtId="164" formatCode="0.0000"/>
    <numFmt numFmtId="165" formatCode="0.0"/>
    <numFmt numFmtId="166" formatCode="0.00\ &quot;cm&quot;"/>
    <numFmt numFmtId="167" formatCode="0.0\ &quot;cm&quot;"/>
    <numFmt numFmtId="168" formatCode="0.00\ &quot;kN.m&quot;"/>
    <numFmt numFmtId="169" formatCode="0.00\ &quot;cm2&quot;"/>
    <numFmt numFmtId="170" formatCode="0.00&quot; cm2&quot;"/>
    <numFmt numFmtId="171" formatCode="0.000"/>
    <numFmt numFmtId="172" formatCode="General&quot; =&quot;"/>
  </numFmts>
  <fonts count="13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u/>
      <sz val="10"/>
      <color indexed="12"/>
      <name val="Arial"/>
      <family val="2"/>
    </font>
    <font>
      <b/>
      <i/>
      <sz val="10"/>
      <name val="Times New Roman"/>
      <family val="1"/>
    </font>
    <font>
      <b/>
      <sz val="16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name val="Arial Narrow"/>
      <family val="2"/>
    </font>
    <font>
      <b/>
      <sz val="13"/>
      <color theme="8" tint="-0.499984740745262"/>
      <name val="Arial Narrow"/>
      <family val="2"/>
    </font>
    <font>
      <b/>
      <sz val="13"/>
      <color theme="8" tint="-0.499984740745262"/>
      <name val="Calibri"/>
      <family val="2"/>
      <scheme val="minor"/>
    </font>
    <font>
      <b/>
      <i/>
      <sz val="10"/>
      <color theme="1"/>
      <name val="Times New Roman"/>
      <family val="1"/>
    </font>
    <font>
      <b/>
      <sz val="11"/>
      <color rgb="FFFF000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FF0000"/>
      <name val="Arial Narrow"/>
      <family val="2"/>
    </font>
    <font>
      <sz val="12"/>
      <color rgb="FF000000"/>
      <name val="Arial Narrow"/>
      <family val="2"/>
    </font>
    <font>
      <sz val="10"/>
      <color theme="1"/>
      <name val="Calibri"/>
      <family val="2"/>
      <charset val="162"/>
    </font>
    <font>
      <b/>
      <sz val="11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12"/>
      <color rgb="FF0070C0"/>
      <name val="Calibri"/>
      <family val="2"/>
      <scheme val="minor"/>
    </font>
    <font>
      <b/>
      <sz val="12"/>
      <color rgb="FF0070C0"/>
      <name val="Arial Narrow"/>
      <family val="2"/>
    </font>
    <font>
      <b/>
      <sz val="10"/>
      <color rgb="FFFFFF00"/>
      <name val="Arial Narrow"/>
      <family val="2"/>
    </font>
    <font>
      <sz val="10"/>
      <color theme="1"/>
      <name val="Calibri"/>
      <family val="2"/>
      <scheme val="minor"/>
    </font>
    <font>
      <b/>
      <vertAlign val="subscript"/>
      <sz val="11"/>
      <color theme="1"/>
      <name val="Arial Narrow"/>
      <family val="2"/>
    </font>
    <font>
      <b/>
      <vertAlign val="subscript"/>
      <sz val="10"/>
      <color theme="1"/>
      <name val="Arial Narrow"/>
      <family val="2"/>
    </font>
    <font>
      <b/>
      <vertAlign val="subscript"/>
      <sz val="12"/>
      <color theme="1"/>
      <name val="Arial Narrow"/>
      <family val="2"/>
    </font>
    <font>
      <b/>
      <sz val="11"/>
      <color rgb="FF00206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0000"/>
      <name val="Arial Narrow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sz val="10"/>
      <color theme="1"/>
      <name val="Noto Sans Symbols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A5A5A5"/>
      <name val="Arial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Symbol"/>
      <family val="1"/>
      <charset val="2"/>
    </font>
    <font>
      <i/>
      <sz val="8"/>
      <color theme="1"/>
      <name val="Arial"/>
      <family val="2"/>
    </font>
    <font>
      <i/>
      <sz val="10"/>
      <color theme="1"/>
      <name val="Symbol"/>
      <family val="1"/>
      <charset val="2"/>
    </font>
    <font>
      <sz val="14"/>
      <color theme="1"/>
      <name val="Arial"/>
      <family val="2"/>
    </font>
    <font>
      <b/>
      <sz val="13"/>
      <color theme="1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22"/>
      <color theme="1"/>
      <name val="Times New Roman"/>
      <family val="1"/>
    </font>
    <font>
      <sz val="10"/>
      <color rgb="FF7F7F7F"/>
      <name val="Arial"/>
      <family val="2"/>
    </font>
    <font>
      <b/>
      <sz val="22"/>
      <color theme="1"/>
      <name val="Arial"/>
      <family val="2"/>
    </font>
    <font>
      <b/>
      <sz val="10"/>
      <color theme="1"/>
      <name val="Helvetica Neue"/>
    </font>
    <font>
      <sz val="11"/>
      <color rgb="FFBFBFBF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2"/>
      <color theme="1"/>
      <name val="Batang"/>
      <family val="1"/>
    </font>
    <font>
      <b/>
      <sz val="12"/>
      <color theme="1"/>
      <name val="Cambria"/>
      <family val="1"/>
    </font>
    <font>
      <b/>
      <vertAlign val="subscript"/>
      <sz val="9"/>
      <color theme="1"/>
      <name val="Arial Narrow"/>
      <family val="2"/>
    </font>
    <font>
      <b/>
      <vertAlign val="subscript"/>
      <sz val="10"/>
      <color theme="1"/>
      <name val="Batang"/>
      <family val="1"/>
    </font>
    <font>
      <sz val="12"/>
      <color theme="1"/>
      <name val="Calibri"/>
      <family val="2"/>
      <scheme val="minor"/>
    </font>
    <font>
      <b/>
      <sz val="10"/>
      <color theme="9" tint="-0.249977111117893"/>
      <name val="Arial Narrow"/>
      <family val="2"/>
    </font>
    <font>
      <b/>
      <sz val="12"/>
      <color rgb="FFFFC000"/>
      <name val="Arial Narrow"/>
      <family val="2"/>
    </font>
    <font>
      <b/>
      <sz val="12"/>
      <color rgb="FFFFFF00"/>
      <name val="Calibri"/>
      <family val="2"/>
      <scheme val="minor"/>
    </font>
    <font>
      <b/>
      <sz val="12"/>
      <color rgb="FF002060"/>
      <name val="Arial Narrow"/>
      <family val="2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78"/>
    </font>
    <font>
      <sz val="11"/>
      <color theme="0"/>
      <name val="Aparajita"/>
      <family val="2"/>
    </font>
    <font>
      <b/>
      <sz val="11"/>
      <color rgb="FFFA7D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name val="Calibri"/>
      <family val="2"/>
      <scheme val="minor"/>
    </font>
    <font>
      <sz val="12"/>
      <color theme="3" tint="-0.499984740745262"/>
      <name val="Symbol"/>
      <family val="1"/>
      <charset val="2"/>
    </font>
    <font>
      <sz val="9"/>
      <color theme="3" tint="-0.499984740745262"/>
      <name val="Arial Narrow"/>
      <family val="2"/>
    </font>
    <font>
      <sz val="11"/>
      <color theme="3" tint="-0.499984740745262"/>
      <name val="Arial Narrow"/>
      <family val="2"/>
    </font>
    <font>
      <sz val="12"/>
      <color theme="3" tint="-0.499984740745262"/>
      <name val="Arial Narrow"/>
      <family val="2"/>
    </font>
    <font>
      <sz val="8"/>
      <color theme="3" tint="-0.499984740745262"/>
      <name val="Arial Narrow"/>
      <family val="2"/>
    </font>
    <font>
      <sz val="8"/>
      <color theme="3" tint="-0.499984740745262"/>
      <name val="Symbol"/>
      <family val="1"/>
      <charset val="2"/>
    </font>
    <font>
      <sz val="9"/>
      <color theme="3" tint="-0.499984740745262"/>
      <name val="Eras Medium ITC"/>
      <family val="2"/>
    </font>
    <font>
      <b/>
      <sz val="11"/>
      <color rgb="FFFFFF0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9"/>
      <color theme="3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0"/>
      <color theme="3" tint="-0.499984740745262"/>
      <name val="Arial Narrow"/>
      <family val="2"/>
    </font>
    <font>
      <sz val="11"/>
      <color theme="9" tint="-0.49998474074526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bscript"/>
      <sz val="11"/>
      <color theme="3" tint="-0.499984740745262"/>
      <name val="Calibri"/>
      <family val="2"/>
      <scheme val="minor"/>
    </font>
    <font>
      <vertAlign val="subscript"/>
      <sz val="11"/>
      <color theme="3" tint="-0.499984740745262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10"/>
      <color theme="4" tint="-0.499984740745262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vertAlign val="subscript"/>
      <sz val="11"/>
      <color theme="4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bscript"/>
      <sz val="10"/>
      <color theme="4" tint="-0.499984740745262"/>
      <name val="Arial"/>
      <family val="2"/>
    </font>
    <font>
      <b/>
      <sz val="12"/>
      <color theme="4" tint="-0.499984740745262"/>
      <name val="Arial Narrow"/>
      <family val="2"/>
    </font>
    <font>
      <b/>
      <sz val="12"/>
      <color theme="3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vertAlign val="subscript"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9" tint="-0.499984740745262"/>
      <name val="Arial Narrow"/>
      <family val="2"/>
    </font>
    <font>
      <b/>
      <sz val="10"/>
      <color rgb="FF3333FF"/>
      <name val="Calibri"/>
      <family val="2"/>
      <scheme val="minor"/>
    </font>
    <font>
      <b/>
      <sz val="11"/>
      <color theme="4" tint="-0.499984740745262"/>
      <name val="Symbol"/>
      <family val="1"/>
      <charset val="2"/>
    </font>
    <font>
      <b/>
      <sz val="11"/>
      <color theme="4" tint="-0.499984740745262"/>
      <name val="Calibri"/>
      <family val="2"/>
    </font>
    <font>
      <b/>
      <vertAlign val="subscript"/>
      <sz val="11"/>
      <color theme="4" tint="-0.499984740745262"/>
      <name val="Calibri"/>
      <family val="2"/>
    </font>
    <font>
      <b/>
      <sz val="11"/>
      <color rgb="FF7030A0"/>
      <name val="Calibri"/>
      <family val="2"/>
      <scheme val="minor"/>
    </font>
    <font>
      <b/>
      <vertAlign val="subscript"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4" tint="-0.499984740745262"/>
      <name val="Arial"/>
      <family val="2"/>
    </font>
    <font>
      <b/>
      <vertAlign val="subscript"/>
      <sz val="12"/>
      <color theme="7" tint="-0.499984740745262"/>
      <name val="Arial Narrow"/>
      <family val="2"/>
    </font>
    <font>
      <b/>
      <sz val="11"/>
      <color rgb="FF7030A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E2EFD9"/>
        <bgColor rgb="FFE2EFD9"/>
      </patternFill>
    </fill>
    <fill>
      <patternFill patternType="solid">
        <fgColor rgb="FFCCFFCC"/>
        <bgColor rgb="FFCCFFCC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CCFFFF"/>
        <bgColor rgb="FFCCFFFF"/>
      </patternFill>
    </fill>
    <fill>
      <patternFill patternType="solid">
        <fgColor rgb="FFF2F2F2"/>
        <bgColor rgb="FFF2F2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38" fillId="0" borderId="0"/>
    <xf numFmtId="0" fontId="76" fillId="29" borderId="66" applyNumberFormat="0" applyAlignment="0" applyProtection="0"/>
    <xf numFmtId="0" fontId="77" fillId="29" borderId="65" applyNumberFormat="0" applyAlignment="0" applyProtection="0"/>
    <xf numFmtId="0" fontId="78" fillId="30" borderId="0" applyNumberFormat="0" applyBorder="0" applyAlignment="0" applyProtection="0"/>
  </cellStyleXfs>
  <cellXfs count="56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/>
    <xf numFmtId="2" fontId="0" fillId="0" borderId="5" xfId="0" applyNumberFormat="1" applyBorder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1" fontId="5" fillId="0" borderId="13" xfId="0" applyNumberFormat="1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4" borderId="10" xfId="0" applyFont="1" applyFill="1" applyBorder="1" applyAlignment="1" applyProtection="1">
      <alignment horizontal="left" vertical="center"/>
      <protection hidden="1"/>
    </xf>
    <xf numFmtId="0" fontId="5" fillId="4" borderId="11" xfId="0" applyFont="1" applyFill="1" applyBorder="1"/>
    <xf numFmtId="0" fontId="10" fillId="4" borderId="11" xfId="1" applyFill="1" applyBorder="1" applyAlignment="1" applyProtection="1">
      <alignment horizontal="center" vertical="center"/>
      <protection hidden="1"/>
    </xf>
    <xf numFmtId="0" fontId="11" fillId="4" borderId="11" xfId="0" applyFont="1" applyFill="1" applyBorder="1" applyAlignment="1" applyProtection="1">
      <alignment horizontal="left" vertical="center"/>
      <protection hidden="1"/>
    </xf>
    <xf numFmtId="0" fontId="8" fillId="4" borderId="11" xfId="0" applyFont="1" applyFill="1" applyBorder="1" applyAlignment="1" applyProtection="1">
      <alignment horizontal="centerContinuous" vertical="center"/>
      <protection hidden="1"/>
    </xf>
    <xf numFmtId="0" fontId="5" fillId="4" borderId="12" xfId="0" applyFont="1" applyFill="1" applyBorder="1"/>
    <xf numFmtId="0" fontId="12" fillId="4" borderId="9" xfId="0" applyFont="1" applyFill="1" applyBorder="1" applyAlignment="1" applyProtection="1">
      <alignment vertical="center"/>
      <protection hidden="1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2" fontId="0" fillId="0" borderId="23" xfId="0" applyNumberFormat="1" applyBorder="1" applyAlignment="1">
      <alignment horizontal="center"/>
    </xf>
    <xf numFmtId="0" fontId="7" fillId="3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0" fillId="0" borderId="0" xfId="0" applyAlignment="1"/>
    <xf numFmtId="2" fontId="13" fillId="0" borderId="6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2" fontId="1" fillId="5" borderId="13" xfId="0" applyNumberFormat="1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 vertical="center"/>
    </xf>
    <xf numFmtId="2" fontId="1" fillId="6" borderId="13" xfId="0" applyNumberFormat="1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/>
    </xf>
    <xf numFmtId="2" fontId="6" fillId="2" borderId="13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9" fillId="4" borderId="11" xfId="0" applyFont="1" applyFill="1" applyBorder="1" applyAlignment="1" applyProtection="1">
      <alignment horizontal="left" vertical="center"/>
      <protection hidden="1"/>
    </xf>
    <xf numFmtId="0" fontId="18" fillId="4" borderId="1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1" fillId="3" borderId="13" xfId="0" applyFont="1" applyFill="1" applyBorder="1" applyAlignment="1">
      <alignment horizontal="center" vertical="center"/>
    </xf>
    <xf numFmtId="1" fontId="21" fillId="2" borderId="1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9" borderId="35" xfId="0" applyFill="1" applyBorder="1"/>
    <xf numFmtId="0" fontId="0" fillId="9" borderId="36" xfId="0" applyFill="1" applyBorder="1"/>
    <xf numFmtId="0" fontId="0" fillId="9" borderId="10" xfId="0" applyFill="1" applyBorder="1"/>
    <xf numFmtId="0" fontId="0" fillId="9" borderId="12" xfId="0" applyFill="1" applyBorder="1"/>
    <xf numFmtId="0" fontId="0" fillId="9" borderId="0" xfId="0" applyFill="1" applyBorder="1"/>
    <xf numFmtId="0" fontId="0" fillId="9" borderId="11" xfId="0" applyFill="1" applyBorder="1"/>
    <xf numFmtId="2" fontId="20" fillId="0" borderId="13" xfId="0" applyNumberFormat="1" applyFont="1" applyBorder="1" applyAlignment="1" applyProtection="1">
      <alignment horizontal="center" vertical="center"/>
    </xf>
    <xf numFmtId="2" fontId="22" fillId="0" borderId="35" xfId="0" applyNumberFormat="1" applyFont="1" applyBorder="1" applyAlignment="1" applyProtection="1">
      <alignment horizontal="center" vertical="center"/>
    </xf>
    <xf numFmtId="2" fontId="20" fillId="0" borderId="0" xfId="0" applyNumberFormat="1" applyFont="1" applyBorder="1" applyAlignment="1" applyProtection="1">
      <alignment horizontal="center" vertical="center"/>
    </xf>
    <xf numFmtId="2" fontId="22" fillId="0" borderId="0" xfId="0" applyNumberFormat="1" applyFont="1" applyBorder="1" applyAlignment="1" applyProtection="1">
      <alignment horizontal="center" vertical="center"/>
    </xf>
    <xf numFmtId="0" fontId="0" fillId="0" borderId="0" xfId="0" applyFill="1"/>
    <xf numFmtId="2" fontId="20" fillId="0" borderId="0" xfId="0" applyNumberFormat="1" applyFont="1" applyFill="1" applyBorder="1" applyAlignment="1" applyProtection="1">
      <alignment vertical="center"/>
    </xf>
    <xf numFmtId="0" fontId="0" fillId="0" borderId="0" xfId="0" applyFill="1" applyBorder="1"/>
    <xf numFmtId="0" fontId="1" fillId="0" borderId="0" xfId="0" applyFont="1" applyFill="1" applyBorder="1" applyAlignment="1">
      <alignment vertical="center" textRotation="90"/>
    </xf>
    <xf numFmtId="0" fontId="29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5" fillId="4" borderId="11" xfId="0" applyFont="1" applyFill="1" applyBorder="1" applyAlignment="1"/>
    <xf numFmtId="0" fontId="29" fillId="0" borderId="11" xfId="0" applyFont="1" applyFill="1" applyBorder="1" applyAlignment="1">
      <alignment horizontal="center" vertical="center"/>
    </xf>
    <xf numFmtId="0" fontId="29" fillId="9" borderId="7" xfId="0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center" vertical="center"/>
    </xf>
    <xf numFmtId="0" fontId="29" fillId="9" borderId="9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2" borderId="13" xfId="0" applyFont="1" applyFill="1" applyBorder="1" applyAlignment="1" applyProtection="1">
      <alignment horizontal="center" vertical="center"/>
    </xf>
    <xf numFmtId="2" fontId="21" fillId="2" borderId="13" xfId="0" applyNumberFormat="1" applyFont="1" applyFill="1" applyBorder="1" applyAlignment="1" applyProtection="1">
      <alignment horizontal="center" vertical="center"/>
    </xf>
    <xf numFmtId="2" fontId="1" fillId="5" borderId="13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0" fillId="0" borderId="0" xfId="0" applyBorder="1" applyAlignment="1"/>
    <xf numFmtId="0" fontId="20" fillId="0" borderId="13" xfId="0" applyFont="1" applyBorder="1" applyAlignment="1" applyProtection="1">
      <alignment horizontal="center" vertical="center"/>
    </xf>
    <xf numFmtId="0" fontId="0" fillId="10" borderId="0" xfId="0" applyFill="1"/>
    <xf numFmtId="0" fontId="21" fillId="3" borderId="13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1" fontId="23" fillId="0" borderId="0" xfId="0" applyNumberFormat="1" applyFont="1" applyBorder="1" applyAlignment="1">
      <alignment horizontal="center"/>
    </xf>
    <xf numFmtId="1" fontId="1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1" fontId="1" fillId="0" borderId="36" xfId="0" applyNumberFormat="1" applyFont="1" applyFill="1" applyBorder="1" applyAlignment="1">
      <alignment horizontal="center" vertical="center"/>
    </xf>
    <xf numFmtId="2" fontId="23" fillId="0" borderId="13" xfId="0" applyNumberFormat="1" applyFont="1" applyBorder="1" applyAlignment="1" applyProtection="1">
      <alignment horizontal="center"/>
    </xf>
    <xf numFmtId="2" fontId="20" fillId="0" borderId="13" xfId="0" applyNumberFormat="1" applyFont="1" applyFill="1" applyBorder="1" applyAlignment="1" applyProtection="1">
      <alignment horizontal="center" vertical="center"/>
    </xf>
    <xf numFmtId="0" fontId="20" fillId="0" borderId="13" xfId="0" applyFont="1" applyFill="1" applyBorder="1" applyAlignment="1" applyProtection="1">
      <alignment horizontal="center" vertical="center"/>
    </xf>
    <xf numFmtId="0" fontId="36" fillId="2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36" fillId="8" borderId="13" xfId="0" applyFont="1" applyFill="1" applyBorder="1" applyAlignment="1">
      <alignment horizontal="center"/>
    </xf>
    <xf numFmtId="0" fontId="0" fillId="7" borderId="0" xfId="0" applyFill="1"/>
    <xf numFmtId="0" fontId="38" fillId="0" borderId="0" xfId="3" applyFont="1" applyAlignment="1"/>
    <xf numFmtId="0" fontId="39" fillId="0" borderId="0" xfId="3" applyFont="1"/>
    <xf numFmtId="0" fontId="40" fillId="0" borderId="0" xfId="3" applyFont="1"/>
    <xf numFmtId="0" fontId="40" fillId="13" borderId="0" xfId="3" applyFont="1" applyFill="1" applyBorder="1"/>
    <xf numFmtId="0" fontId="41" fillId="13" borderId="0" xfId="3" applyFont="1" applyFill="1" applyBorder="1"/>
    <xf numFmtId="165" fontId="40" fillId="13" borderId="0" xfId="3" applyNumberFormat="1" applyFont="1" applyFill="1" applyBorder="1"/>
    <xf numFmtId="2" fontId="40" fillId="13" borderId="0" xfId="3" applyNumberFormat="1" applyFont="1" applyFill="1" applyBorder="1"/>
    <xf numFmtId="2" fontId="41" fillId="13" borderId="0" xfId="3" applyNumberFormat="1" applyFont="1" applyFill="1" applyBorder="1"/>
    <xf numFmtId="0" fontId="39" fillId="14" borderId="0" xfId="3" applyFont="1" applyFill="1" applyBorder="1"/>
    <xf numFmtId="0" fontId="42" fillId="0" borderId="38" xfId="3" applyFont="1" applyBorder="1" applyAlignment="1">
      <alignment horizontal="center"/>
    </xf>
    <xf numFmtId="2" fontId="42" fillId="0" borderId="39" xfId="3" applyNumberFormat="1" applyFont="1" applyBorder="1" applyAlignment="1">
      <alignment horizontal="center"/>
    </xf>
    <xf numFmtId="0" fontId="42" fillId="0" borderId="39" xfId="3" applyFont="1" applyBorder="1" applyAlignment="1">
      <alignment horizontal="center"/>
    </xf>
    <xf numFmtId="0" fontId="42" fillId="0" borderId="39" xfId="3" applyFont="1" applyBorder="1" applyAlignment="1">
      <alignment horizontal="right"/>
    </xf>
    <xf numFmtId="2" fontId="43" fillId="0" borderId="39" xfId="3" applyNumberFormat="1" applyFont="1" applyBorder="1"/>
    <xf numFmtId="2" fontId="42" fillId="0" borderId="40" xfId="3" applyNumberFormat="1" applyFont="1" applyBorder="1" applyAlignment="1">
      <alignment horizontal="right"/>
    </xf>
    <xf numFmtId="2" fontId="42" fillId="0" borderId="41" xfId="3" applyNumberFormat="1" applyFont="1" applyBorder="1"/>
    <xf numFmtId="0" fontId="39" fillId="0" borderId="0" xfId="3" applyFont="1" applyAlignment="1">
      <alignment horizontal="center"/>
    </xf>
    <xf numFmtId="0" fontId="42" fillId="0" borderId="0" xfId="3" applyFont="1" applyAlignment="1">
      <alignment horizontal="left"/>
    </xf>
    <xf numFmtId="2" fontId="42" fillId="0" borderId="0" xfId="3" applyNumberFormat="1" applyFont="1" applyAlignment="1">
      <alignment horizontal="center"/>
    </xf>
    <xf numFmtId="2" fontId="43" fillId="0" borderId="0" xfId="3" applyNumberFormat="1" applyFont="1"/>
    <xf numFmtId="0" fontId="42" fillId="0" borderId="42" xfId="3" applyFont="1" applyBorder="1"/>
    <xf numFmtId="2" fontId="42" fillId="0" borderId="0" xfId="3" applyNumberFormat="1" applyFont="1"/>
    <xf numFmtId="2" fontId="44" fillId="0" borderId="0" xfId="3" applyNumberFormat="1" applyFont="1" applyAlignment="1">
      <alignment horizontal="center"/>
    </xf>
    <xf numFmtId="166" fontId="42" fillId="0" borderId="0" xfId="3" applyNumberFormat="1" applyFont="1" applyAlignment="1">
      <alignment horizontal="center"/>
    </xf>
    <xf numFmtId="2" fontId="43" fillId="0" borderId="0" xfId="3" applyNumberFormat="1" applyFont="1" applyAlignment="1">
      <alignment horizontal="center"/>
    </xf>
    <xf numFmtId="2" fontId="42" fillId="0" borderId="42" xfId="3" applyNumberFormat="1" applyFont="1" applyBorder="1" applyAlignment="1">
      <alignment horizontal="center"/>
    </xf>
    <xf numFmtId="0" fontId="39" fillId="0" borderId="41" xfId="3" applyFont="1" applyBorder="1"/>
    <xf numFmtId="2" fontId="42" fillId="15" borderId="0" xfId="3" applyNumberFormat="1" applyFont="1" applyFill="1" applyBorder="1" applyAlignment="1">
      <alignment horizontal="center" vertical="center"/>
    </xf>
    <xf numFmtId="2" fontId="44" fillId="0" borderId="0" xfId="3" applyNumberFormat="1" applyFont="1" applyAlignment="1">
      <alignment horizontal="right"/>
    </xf>
    <xf numFmtId="0" fontId="42" fillId="0" borderId="42" xfId="3" applyFont="1" applyBorder="1" applyAlignment="1">
      <alignment horizontal="left"/>
    </xf>
    <xf numFmtId="0" fontId="39" fillId="0" borderId="42" xfId="3" applyFont="1" applyBorder="1"/>
    <xf numFmtId="167" fontId="42" fillId="15" borderId="0" xfId="3" applyNumberFormat="1" applyFont="1" applyFill="1" applyBorder="1" applyAlignment="1">
      <alignment horizontal="center" vertical="center"/>
    </xf>
    <xf numFmtId="0" fontId="42" fillId="0" borderId="42" xfId="3" applyFont="1" applyBorder="1" applyAlignment="1">
      <alignment horizontal="right"/>
    </xf>
    <xf numFmtId="0" fontId="42" fillId="16" borderId="0" xfId="3" applyFont="1" applyFill="1" applyBorder="1" applyAlignment="1">
      <alignment horizontal="center"/>
    </xf>
    <xf numFmtId="0" fontId="7" fillId="0" borderId="42" xfId="3" applyFont="1" applyBorder="1" applyAlignment="1">
      <alignment horizontal="right"/>
    </xf>
    <xf numFmtId="2" fontId="39" fillId="0" borderId="0" xfId="3" applyNumberFormat="1" applyFont="1"/>
    <xf numFmtId="1" fontId="42" fillId="16" borderId="43" xfId="3" applyNumberFormat="1" applyFont="1" applyFill="1" applyBorder="1" applyAlignment="1">
      <alignment horizontal="center"/>
    </xf>
    <xf numFmtId="0" fontId="42" fillId="16" borderId="44" xfId="3" applyFont="1" applyFill="1" applyBorder="1" applyAlignment="1">
      <alignment horizontal="center"/>
    </xf>
    <xf numFmtId="0" fontId="42" fillId="16" borderId="44" xfId="3" applyFont="1" applyFill="1" applyBorder="1" applyAlignment="1">
      <alignment horizontal="right"/>
    </xf>
    <xf numFmtId="0" fontId="47" fillId="16" borderId="44" xfId="3" applyFont="1" applyFill="1" applyBorder="1" applyAlignment="1">
      <alignment horizontal="center"/>
    </xf>
    <xf numFmtId="0" fontId="47" fillId="16" borderId="45" xfId="3" applyFont="1" applyFill="1" applyBorder="1" applyAlignment="1">
      <alignment horizontal="center"/>
    </xf>
    <xf numFmtId="0" fontId="46" fillId="16" borderId="46" xfId="3" applyFont="1" applyFill="1" applyBorder="1"/>
    <xf numFmtId="0" fontId="42" fillId="0" borderId="41" xfId="3" applyFont="1" applyBorder="1" applyAlignment="1">
      <alignment horizontal="center"/>
    </xf>
    <xf numFmtId="0" fontId="42" fillId="0" borderId="0" xfId="3" applyFont="1" applyAlignment="1">
      <alignment horizontal="center"/>
    </xf>
    <xf numFmtId="0" fontId="42" fillId="0" borderId="0" xfId="3" applyFont="1" applyAlignment="1">
      <alignment horizontal="right"/>
    </xf>
    <xf numFmtId="2" fontId="42" fillId="0" borderId="42" xfId="3" applyNumberFormat="1" applyFont="1" applyBorder="1" applyAlignment="1">
      <alignment horizontal="right"/>
    </xf>
    <xf numFmtId="0" fontId="39" fillId="0" borderId="0" xfId="3" applyFont="1" applyAlignment="1">
      <alignment vertical="center"/>
    </xf>
    <xf numFmtId="1" fontId="42" fillId="16" borderId="41" xfId="3" applyNumberFormat="1" applyFont="1" applyFill="1" applyBorder="1" applyAlignment="1">
      <alignment horizontal="center"/>
    </xf>
    <xf numFmtId="0" fontId="42" fillId="16" borderId="0" xfId="3" applyFont="1" applyFill="1" applyBorder="1" applyAlignment="1">
      <alignment horizontal="right"/>
    </xf>
    <xf numFmtId="0" fontId="47" fillId="16" borderId="0" xfId="3" applyFont="1" applyFill="1" applyBorder="1" applyAlignment="1">
      <alignment horizontal="center"/>
    </xf>
    <xf numFmtId="0" fontId="46" fillId="16" borderId="47" xfId="3" applyFont="1" applyFill="1" applyBorder="1"/>
    <xf numFmtId="0" fontId="39" fillId="0" borderId="38" xfId="3" applyFont="1" applyBorder="1"/>
    <xf numFmtId="0" fontId="39" fillId="0" borderId="39" xfId="3" applyFont="1" applyBorder="1"/>
    <xf numFmtId="0" fontId="39" fillId="0" borderId="40" xfId="3" applyFont="1" applyBorder="1"/>
    <xf numFmtId="2" fontId="48" fillId="16" borderId="41" xfId="3" applyNumberFormat="1" applyFont="1" applyFill="1" applyBorder="1" applyAlignment="1">
      <alignment horizontal="left"/>
    </xf>
    <xf numFmtId="2" fontId="48" fillId="16" borderId="0" xfId="3" applyNumberFormat="1" applyFont="1" applyFill="1" applyBorder="1" applyAlignment="1">
      <alignment horizontal="center"/>
    </xf>
    <xf numFmtId="0" fontId="42" fillId="16" borderId="0" xfId="3" applyFont="1" applyFill="1" applyBorder="1"/>
    <xf numFmtId="0" fontId="42" fillId="16" borderId="42" xfId="3" applyFont="1" applyFill="1" applyBorder="1" applyAlignment="1">
      <alignment horizontal="left"/>
    </xf>
    <xf numFmtId="0" fontId="42" fillId="16" borderId="41" xfId="3" applyFont="1" applyFill="1" applyBorder="1" applyAlignment="1">
      <alignment horizontal="left"/>
    </xf>
    <xf numFmtId="2" fontId="42" fillId="19" borderId="47" xfId="3" applyNumberFormat="1" applyFont="1" applyFill="1" applyBorder="1" applyAlignment="1">
      <alignment horizontal="center"/>
    </xf>
    <xf numFmtId="0" fontId="42" fillId="17" borderId="1" xfId="3" applyFont="1" applyFill="1" applyBorder="1" applyAlignment="1">
      <alignment horizontal="right"/>
    </xf>
    <xf numFmtId="0" fontId="42" fillId="20" borderId="1" xfId="3" applyFont="1" applyFill="1" applyBorder="1" applyAlignment="1">
      <alignment horizontal="center"/>
    </xf>
    <xf numFmtId="2" fontId="42" fillId="19" borderId="48" xfId="3" applyNumberFormat="1" applyFont="1" applyFill="1" applyBorder="1" applyAlignment="1">
      <alignment horizontal="center"/>
    </xf>
    <xf numFmtId="2" fontId="42" fillId="21" borderId="49" xfId="3" applyNumberFormat="1" applyFont="1" applyFill="1" applyBorder="1" applyAlignment="1">
      <alignment horizontal="center"/>
    </xf>
    <xf numFmtId="2" fontId="40" fillId="0" borderId="0" xfId="3" applyNumberFormat="1" applyFont="1"/>
    <xf numFmtId="2" fontId="42" fillId="21" borderId="48" xfId="3" applyNumberFormat="1" applyFont="1" applyFill="1" applyBorder="1" applyAlignment="1">
      <alignment horizontal="center"/>
    </xf>
    <xf numFmtId="0" fontId="42" fillId="20" borderId="48" xfId="3" applyFont="1" applyFill="1" applyBorder="1" applyAlignment="1">
      <alignment horizontal="center"/>
    </xf>
    <xf numFmtId="0" fontId="42" fillId="16" borderId="41" xfId="3" applyFont="1" applyFill="1" applyBorder="1"/>
    <xf numFmtId="0" fontId="7" fillId="16" borderId="42" xfId="3" applyFont="1" applyFill="1" applyBorder="1" applyAlignment="1">
      <alignment horizontal="left"/>
    </xf>
    <xf numFmtId="0" fontId="40" fillId="0" borderId="0" xfId="3" applyFont="1" applyAlignment="1">
      <alignment horizontal="center"/>
    </xf>
    <xf numFmtId="0" fontId="42" fillId="20" borderId="0" xfId="3" applyFont="1" applyFill="1" applyBorder="1" applyAlignment="1">
      <alignment horizontal="center"/>
    </xf>
    <xf numFmtId="165" fontId="42" fillId="16" borderId="0" xfId="3" applyNumberFormat="1" applyFont="1" applyFill="1" applyBorder="1" applyAlignment="1">
      <alignment horizontal="center"/>
    </xf>
    <xf numFmtId="0" fontId="42" fillId="16" borderId="41" xfId="3" applyFont="1" applyFill="1" applyBorder="1" applyAlignment="1">
      <alignment horizontal="center"/>
    </xf>
    <xf numFmtId="0" fontId="54" fillId="16" borderId="41" xfId="3" applyFont="1" applyFill="1" applyBorder="1"/>
    <xf numFmtId="0" fontId="54" fillId="16" borderId="0" xfId="3" applyFont="1" applyFill="1" applyBorder="1"/>
    <xf numFmtId="0" fontId="40" fillId="13" borderId="0" xfId="3" applyFont="1" applyFill="1" applyBorder="1" applyAlignment="1">
      <alignment horizontal="center"/>
    </xf>
    <xf numFmtId="0" fontId="58" fillId="0" borderId="55" xfId="3" applyFont="1" applyBorder="1" applyAlignment="1">
      <alignment horizontal="center" vertical="center"/>
    </xf>
    <xf numFmtId="0" fontId="42" fillId="16" borderId="56" xfId="3" applyFont="1" applyFill="1" applyBorder="1" applyAlignment="1">
      <alignment horizontal="right"/>
    </xf>
    <xf numFmtId="0" fontId="59" fillId="16" borderId="57" xfId="3" applyFont="1" applyFill="1" applyBorder="1" applyAlignment="1">
      <alignment vertical="center"/>
    </xf>
    <xf numFmtId="0" fontId="43" fillId="0" borderId="58" xfId="3" applyFont="1" applyBorder="1" applyAlignment="1">
      <alignment horizontal="center" vertical="center"/>
    </xf>
    <xf numFmtId="0" fontId="61" fillId="16" borderId="59" xfId="3" applyFont="1" applyFill="1" applyBorder="1" applyAlignment="1">
      <alignment vertical="center"/>
    </xf>
    <xf numFmtId="0" fontId="40" fillId="13" borderId="0" xfId="3" applyFont="1" applyFill="1" applyBorder="1" applyAlignment="1">
      <alignment horizontal="center" vertical="center"/>
    </xf>
    <xf numFmtId="0" fontId="41" fillId="13" borderId="0" xfId="3" applyFont="1" applyFill="1" applyBorder="1" applyAlignment="1">
      <alignment horizontal="center"/>
    </xf>
    <xf numFmtId="0" fontId="62" fillId="0" borderId="60" xfId="3" applyFont="1" applyBorder="1" applyAlignment="1">
      <alignment horizontal="center" vertical="center"/>
    </xf>
    <xf numFmtId="0" fontId="42" fillId="16" borderId="61" xfId="3" applyFont="1" applyFill="1" applyBorder="1" applyAlignment="1">
      <alignment horizontal="right"/>
    </xf>
    <xf numFmtId="0" fontId="59" fillId="16" borderId="62" xfId="3" applyFont="1" applyFill="1" applyBorder="1" applyAlignment="1">
      <alignment vertical="center"/>
    </xf>
    <xf numFmtId="0" fontId="63" fillId="0" borderId="0" xfId="3" applyFont="1"/>
    <xf numFmtId="0" fontId="63" fillId="0" borderId="0" xfId="3" applyFont="1" applyAlignment="1">
      <alignment horizontal="center" vertical="center"/>
    </xf>
    <xf numFmtId="2" fontId="63" fillId="0" borderId="0" xfId="3" applyNumberFormat="1" applyFont="1"/>
    <xf numFmtId="164" fontId="63" fillId="0" borderId="0" xfId="3" applyNumberFormat="1" applyFont="1"/>
    <xf numFmtId="164" fontId="39" fillId="0" borderId="0" xfId="3" applyNumberFormat="1" applyFont="1"/>
    <xf numFmtId="2" fontId="63" fillId="0" borderId="0" xfId="3" applyNumberFormat="1" applyFont="1" applyAlignment="1">
      <alignment horizontal="center" vertical="center"/>
    </xf>
    <xf numFmtId="164" fontId="63" fillId="0" borderId="0" xfId="3" applyNumberFormat="1" applyFont="1" applyAlignment="1">
      <alignment horizontal="center" vertical="center"/>
    </xf>
    <xf numFmtId="167" fontId="42" fillId="0" borderId="0" xfId="3" applyNumberFormat="1" applyFont="1" applyAlignment="1">
      <alignment horizontal="right" vertical="center"/>
    </xf>
    <xf numFmtId="167" fontId="42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right"/>
    </xf>
    <xf numFmtId="164" fontId="39" fillId="0" borderId="0" xfId="3" applyNumberFormat="1" applyFont="1" applyAlignment="1">
      <alignment vertical="center"/>
    </xf>
    <xf numFmtId="0" fontId="39" fillId="0" borderId="0" xfId="3" applyFont="1" applyAlignment="1">
      <alignment horizontal="right" vertical="center"/>
    </xf>
    <xf numFmtId="171" fontId="39" fillId="0" borderId="0" xfId="3" applyNumberFormat="1" applyFont="1" applyAlignment="1">
      <alignment vertical="center"/>
    </xf>
    <xf numFmtId="2" fontId="39" fillId="0" borderId="0" xfId="3" applyNumberFormat="1" applyFont="1" applyAlignment="1">
      <alignment vertical="center"/>
    </xf>
    <xf numFmtId="0" fontId="42" fillId="15" borderId="0" xfId="3" applyFont="1" applyFill="1" applyBorder="1" applyAlignment="1">
      <alignment horizontal="left"/>
    </xf>
    <xf numFmtId="0" fontId="50" fillId="0" borderId="0" xfId="3" applyFont="1"/>
    <xf numFmtId="172" fontId="39" fillId="0" borderId="0" xfId="3" applyNumberFormat="1" applyFont="1" applyAlignment="1">
      <alignment horizontal="right"/>
    </xf>
    <xf numFmtId="0" fontId="39" fillId="15" borderId="0" xfId="3" applyFont="1" applyFill="1" applyBorder="1" applyAlignment="1">
      <alignment horizontal="center"/>
    </xf>
    <xf numFmtId="0" fontId="39" fillId="15" borderId="0" xfId="3" applyFont="1" applyFill="1" applyBorder="1" applyAlignment="1">
      <alignment horizontal="center" vertical="center"/>
    </xf>
    <xf numFmtId="0" fontId="40" fillId="0" borderId="0" xfId="3" quotePrefix="1" applyFont="1"/>
    <xf numFmtId="0" fontId="42" fillId="20" borderId="0" xfId="3" applyNumberFormat="1" applyFont="1" applyFill="1" applyBorder="1" applyAlignment="1">
      <alignment horizontal="center"/>
    </xf>
    <xf numFmtId="2" fontId="42" fillId="20" borderId="0" xfId="3" applyNumberFormat="1" applyFont="1" applyFill="1" applyBorder="1" applyAlignment="1">
      <alignment horizontal="center"/>
    </xf>
    <xf numFmtId="2" fontId="7" fillId="22" borderId="0" xfId="3" applyNumberFormat="1" applyFont="1" applyFill="1" applyBorder="1" applyAlignment="1">
      <alignment horizontal="center"/>
    </xf>
    <xf numFmtId="2" fontId="42" fillId="20" borderId="47" xfId="3" applyNumberFormat="1" applyFont="1" applyFill="1" applyBorder="1" applyAlignment="1">
      <alignment horizontal="center"/>
    </xf>
    <xf numFmtId="168" fontId="39" fillId="0" borderId="0" xfId="3" applyNumberFormat="1" applyFont="1"/>
    <xf numFmtId="2" fontId="42" fillId="0" borderId="13" xfId="0" applyNumberFormat="1" applyFont="1" applyBorder="1" applyAlignment="1" applyProtection="1">
      <alignment horizontal="center" vertical="center"/>
      <protection locked="0"/>
    </xf>
    <xf numFmtId="0" fontId="42" fillId="0" borderId="0" xfId="0" applyFont="1"/>
    <xf numFmtId="0" fontId="42" fillId="0" borderId="0" xfId="0" applyFont="1" applyBorder="1"/>
    <xf numFmtId="2" fontId="7" fillId="7" borderId="13" xfId="0" applyNumberFormat="1" applyFont="1" applyFill="1" applyBorder="1" applyAlignment="1" applyProtection="1">
      <alignment horizontal="center" vertical="center"/>
      <protection locked="0"/>
    </xf>
    <xf numFmtId="0" fontId="66" fillId="0" borderId="0" xfId="3" applyFont="1"/>
    <xf numFmtId="0" fontId="66" fillId="15" borderId="46" xfId="3" applyFont="1" applyFill="1" applyBorder="1" applyAlignment="1">
      <alignment horizontal="center"/>
    </xf>
    <xf numFmtId="164" fontId="66" fillId="0" borderId="0" xfId="3" applyNumberFormat="1" applyFont="1"/>
    <xf numFmtId="2" fontId="66" fillId="15" borderId="0" xfId="3" applyNumberFormat="1" applyFont="1" applyFill="1" applyBorder="1"/>
    <xf numFmtId="164" fontId="66" fillId="15" borderId="0" xfId="3" applyNumberFormat="1" applyFont="1" applyFill="1" applyBorder="1"/>
    <xf numFmtId="2" fontId="66" fillId="0" borderId="0" xfId="3" applyNumberFormat="1" applyFont="1"/>
    <xf numFmtId="0" fontId="45" fillId="0" borderId="0" xfId="3" applyFont="1" applyAlignment="1"/>
    <xf numFmtId="0" fontId="21" fillId="3" borderId="13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5" fillId="4" borderId="12" xfId="0" applyFont="1" applyFill="1" applyBorder="1" applyAlignment="1"/>
    <xf numFmtId="2" fontId="71" fillId="0" borderId="13" xfId="0" applyNumberFormat="1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0" fillId="4" borderId="26" xfId="1" applyFill="1" applyBorder="1" applyAlignment="1" applyProtection="1">
      <alignment horizontal="center" vertical="center"/>
      <protection hidden="1"/>
    </xf>
    <xf numFmtId="0" fontId="79" fillId="30" borderId="65" xfId="6" applyFont="1" applyBorder="1" applyAlignment="1">
      <alignment horizontal="center"/>
    </xf>
    <xf numFmtId="0" fontId="81" fillId="29" borderId="65" xfId="5" applyFont="1" applyAlignment="1">
      <alignment horizontal="center"/>
    </xf>
    <xf numFmtId="2" fontId="82" fillId="29" borderId="66" xfId="4" applyNumberFormat="1" applyFont="1" applyAlignment="1">
      <alignment horizontal="center"/>
    </xf>
    <xf numFmtId="2" fontId="37" fillId="0" borderId="13" xfId="0" applyNumberFormat="1" applyFont="1" applyFill="1" applyBorder="1" applyAlignment="1" applyProtection="1">
      <alignment horizontal="center"/>
    </xf>
    <xf numFmtId="1" fontId="37" fillId="0" borderId="13" xfId="0" applyNumberFormat="1" applyFont="1" applyFill="1" applyBorder="1" applyAlignment="1" applyProtection="1">
      <alignment horizontal="center"/>
    </xf>
    <xf numFmtId="2" fontId="73" fillId="26" borderId="13" xfId="0" applyNumberFormat="1" applyFont="1" applyFill="1" applyBorder="1" applyAlignment="1" applyProtection="1">
      <alignment horizontal="center"/>
    </xf>
    <xf numFmtId="0" fontId="84" fillId="32" borderId="13" xfId="0" applyFont="1" applyFill="1" applyBorder="1" applyAlignment="1">
      <alignment horizontal="center" vertical="center"/>
    </xf>
    <xf numFmtId="0" fontId="87" fillId="32" borderId="13" xfId="0" applyFont="1" applyFill="1" applyBorder="1" applyAlignment="1">
      <alignment horizontal="center" vertical="center"/>
    </xf>
    <xf numFmtId="0" fontId="87" fillId="32" borderId="13" xfId="0" applyFont="1" applyFill="1" applyBorder="1" applyAlignment="1">
      <alignment horizontal="left" vertical="center"/>
    </xf>
    <xf numFmtId="1" fontId="0" fillId="0" borderId="13" xfId="0" applyNumberFormat="1" applyFont="1" applyBorder="1" applyAlignment="1" applyProtection="1">
      <alignment horizontal="center" vertical="center"/>
      <protection locked="0"/>
    </xf>
    <xf numFmtId="2" fontId="0" fillId="0" borderId="13" xfId="0" applyNumberFormat="1" applyFont="1" applyBorder="1" applyAlignment="1" applyProtection="1">
      <alignment horizontal="center" vertical="center"/>
      <protection locked="0"/>
    </xf>
    <xf numFmtId="2" fontId="0" fillId="0" borderId="13" xfId="0" applyNumberFormat="1" applyFont="1" applyFill="1" applyBorder="1" applyAlignment="1" applyProtection="1">
      <alignment horizontal="center" vertical="center"/>
      <protection locked="0"/>
    </xf>
    <xf numFmtId="0" fontId="92" fillId="32" borderId="13" xfId="0" applyFont="1" applyFill="1" applyBorder="1" applyAlignment="1">
      <alignment horizontal="center" vertical="center"/>
    </xf>
    <xf numFmtId="0" fontId="94" fillId="32" borderId="13" xfId="0" applyFont="1" applyFill="1" applyBorder="1" applyAlignment="1">
      <alignment horizontal="center" vertical="center"/>
    </xf>
    <xf numFmtId="0" fontId="98" fillId="32" borderId="13" xfId="0" applyFont="1" applyFill="1" applyBorder="1" applyAlignment="1">
      <alignment horizontal="center" vertical="center"/>
    </xf>
    <xf numFmtId="1" fontId="100" fillId="31" borderId="13" xfId="0" applyNumberFormat="1" applyFont="1" applyFill="1" applyBorder="1" applyAlignment="1" applyProtection="1">
      <alignment horizontal="center" vertical="center"/>
    </xf>
    <xf numFmtId="2" fontId="100" fillId="31" borderId="13" xfId="0" applyNumberFormat="1" applyFont="1" applyFill="1" applyBorder="1" applyAlignment="1" applyProtection="1">
      <alignment horizontal="center" vertical="center"/>
    </xf>
    <xf numFmtId="164" fontId="100" fillId="31" borderId="13" xfId="0" applyNumberFormat="1" applyFont="1" applyFill="1" applyBorder="1" applyAlignment="1" applyProtection="1">
      <alignment horizontal="center" vertical="center"/>
    </xf>
    <xf numFmtId="2" fontId="0" fillId="0" borderId="34" xfId="0" applyNumberFormat="1" applyFont="1" applyFill="1" applyBorder="1" applyAlignment="1" applyProtection="1">
      <alignment horizontal="center" vertical="center"/>
      <protection locked="0"/>
    </xf>
    <xf numFmtId="0" fontId="98" fillId="32" borderId="13" xfId="0" applyFont="1" applyFill="1" applyBorder="1" applyAlignment="1">
      <alignment horizontal="center" vertical="top"/>
    </xf>
    <xf numFmtId="0" fontId="14" fillId="11" borderId="7" xfId="0" applyFont="1" applyFill="1" applyBorder="1"/>
    <xf numFmtId="0" fontId="14" fillId="11" borderId="8" xfId="0" applyFont="1" applyFill="1" applyBorder="1" applyAlignment="1"/>
    <xf numFmtId="0" fontId="14" fillId="11" borderId="9" xfId="0" applyFont="1" applyFill="1" applyBorder="1" applyAlignment="1"/>
    <xf numFmtId="0" fontId="31" fillId="11" borderId="11" xfId="0" applyFont="1" applyFill="1" applyBorder="1" applyAlignment="1"/>
    <xf numFmtId="0" fontId="31" fillId="11" borderId="0" xfId="0" applyFont="1" applyFill="1" applyBorder="1" applyAlignment="1"/>
    <xf numFmtId="0" fontId="31" fillId="11" borderId="35" xfId="0" applyFont="1" applyFill="1" applyBorder="1"/>
    <xf numFmtId="0" fontId="31" fillId="11" borderId="36" xfId="0" applyFont="1" applyFill="1" applyBorder="1" applyAlignment="1"/>
    <xf numFmtId="0" fontId="31" fillId="11" borderId="10" xfId="0" applyFont="1" applyFill="1" applyBorder="1"/>
    <xf numFmtId="0" fontId="31" fillId="11" borderId="7" xfId="0" applyFont="1" applyFill="1" applyBorder="1"/>
    <xf numFmtId="0" fontId="31" fillId="11" borderId="8" xfId="0" applyFont="1" applyFill="1" applyBorder="1"/>
    <xf numFmtId="0" fontId="31" fillId="11" borderId="9" xfId="0" applyFont="1" applyFill="1" applyBorder="1"/>
    <xf numFmtId="0" fontId="31" fillId="11" borderId="0" xfId="0" applyFont="1" applyFill="1" applyBorder="1"/>
    <xf numFmtId="0" fontId="14" fillId="11" borderId="0" xfId="0" applyFont="1" applyFill="1" applyBorder="1" applyAlignment="1"/>
    <xf numFmtId="0" fontId="31" fillId="11" borderId="36" xfId="0" applyFont="1" applyFill="1" applyBorder="1"/>
    <xf numFmtId="0" fontId="31" fillId="11" borderId="36" xfId="0" applyFont="1" applyFill="1" applyBorder="1" applyAlignment="1">
      <alignment horizontal="center"/>
    </xf>
    <xf numFmtId="0" fontId="31" fillId="11" borderId="11" xfId="0" applyFont="1" applyFill="1" applyBorder="1"/>
    <xf numFmtId="0" fontId="31" fillId="11" borderId="12" xfId="0" applyFont="1" applyFill="1" applyBorder="1"/>
    <xf numFmtId="0" fontId="92" fillId="32" borderId="13" xfId="0" applyFont="1" applyFill="1" applyBorder="1" applyAlignment="1">
      <alignment horizontal="center" vertical="center"/>
    </xf>
    <xf numFmtId="2" fontId="36" fillId="31" borderId="13" xfId="0" applyNumberFormat="1" applyFont="1" applyFill="1" applyBorder="1" applyAlignment="1" applyProtection="1">
      <alignment horizontal="center" vertical="center"/>
    </xf>
    <xf numFmtId="0" fontId="106" fillId="32" borderId="13" xfId="0" applyFont="1" applyFill="1" applyBorder="1" applyAlignment="1">
      <alignment horizontal="center" vertical="center"/>
    </xf>
    <xf numFmtId="2" fontId="107" fillId="31" borderId="13" xfId="0" applyNumberFormat="1" applyFont="1" applyFill="1" applyBorder="1" applyAlignment="1" applyProtection="1">
      <alignment horizontal="center" vertical="center"/>
    </xf>
    <xf numFmtId="0" fontId="109" fillId="32" borderId="13" xfId="0" applyFont="1" applyFill="1" applyBorder="1" applyAlignment="1">
      <alignment horizontal="center" vertical="top"/>
    </xf>
    <xf numFmtId="0" fontId="109" fillId="32" borderId="13" xfId="0" applyFont="1" applyFill="1" applyBorder="1" applyAlignment="1">
      <alignment vertical="center"/>
    </xf>
    <xf numFmtId="0" fontId="109" fillId="32" borderId="13" xfId="0" applyFont="1" applyFill="1" applyBorder="1" applyAlignment="1">
      <alignment horizontal="center" vertical="center"/>
    </xf>
    <xf numFmtId="0" fontId="109" fillId="32" borderId="34" xfId="0" applyFont="1" applyFill="1" applyBorder="1" applyAlignment="1">
      <alignment horizontal="center" vertical="center"/>
    </xf>
    <xf numFmtId="2" fontId="112" fillId="31" borderId="13" xfId="0" applyNumberFormat="1" applyFont="1" applyFill="1" applyBorder="1" applyAlignment="1" applyProtection="1">
      <alignment horizontal="center" vertical="center"/>
    </xf>
    <xf numFmtId="1" fontId="106" fillId="32" borderId="13" xfId="0" applyNumberFormat="1" applyFont="1" applyFill="1" applyBorder="1" applyAlignment="1">
      <alignment horizontal="center" vertical="center"/>
    </xf>
    <xf numFmtId="1" fontId="106" fillId="32" borderId="63" xfId="0" applyNumberFormat="1" applyFont="1" applyFill="1" applyBorder="1" applyAlignment="1">
      <alignment horizontal="center" vertical="center"/>
    </xf>
    <xf numFmtId="0" fontId="106" fillId="34" borderId="13" xfId="0" applyFont="1" applyFill="1" applyBorder="1" applyAlignment="1">
      <alignment horizontal="center" vertical="center"/>
    </xf>
    <xf numFmtId="0" fontId="115" fillId="32" borderId="13" xfId="0" applyFont="1" applyFill="1" applyBorder="1" applyAlignment="1">
      <alignment horizontal="left" vertical="center"/>
    </xf>
    <xf numFmtId="0" fontId="98" fillId="32" borderId="13" xfId="0" applyFont="1" applyFill="1" applyBorder="1" applyAlignment="1">
      <alignment horizontal="left" vertical="center"/>
    </xf>
    <xf numFmtId="1" fontId="107" fillId="31" borderId="13" xfId="0" applyNumberFormat="1" applyFont="1" applyFill="1" applyBorder="1" applyAlignment="1" applyProtection="1">
      <alignment horizontal="center" vertical="center"/>
    </xf>
    <xf numFmtId="0" fontId="107" fillId="31" borderId="13" xfId="0" applyFont="1" applyFill="1" applyBorder="1" applyAlignment="1" applyProtection="1">
      <alignment horizontal="center" vertical="center"/>
    </xf>
    <xf numFmtId="0" fontId="109" fillId="32" borderId="13" xfId="0" applyFont="1" applyFill="1" applyBorder="1" applyAlignment="1">
      <alignment horizontal="left" vertical="center"/>
    </xf>
    <xf numFmtId="0" fontId="102" fillId="32" borderId="13" xfId="0" applyFont="1" applyFill="1" applyBorder="1" applyAlignment="1">
      <alignment horizontal="center" vertical="center"/>
    </xf>
    <xf numFmtId="1" fontId="107" fillId="31" borderId="13" xfId="0" applyNumberFormat="1" applyFont="1" applyFill="1" applyBorder="1" applyAlignment="1">
      <alignment horizontal="center" vertical="center"/>
    </xf>
    <xf numFmtId="2" fontId="107" fillId="31" borderId="31" xfId="0" applyNumberFormat="1" applyFont="1" applyFill="1" applyBorder="1" applyAlignment="1">
      <alignment horizontal="center"/>
    </xf>
    <xf numFmtId="0" fontId="106" fillId="32" borderId="29" xfId="0" applyFont="1" applyFill="1" applyBorder="1" applyAlignment="1">
      <alignment horizontal="center" vertical="center"/>
    </xf>
    <xf numFmtId="0" fontId="106" fillId="32" borderId="28" xfId="0" applyFont="1" applyFill="1" applyBorder="1" applyAlignment="1">
      <alignment horizontal="center" vertical="center"/>
    </xf>
    <xf numFmtId="1" fontId="114" fillId="32" borderId="13" xfId="0" applyNumberFormat="1" applyFont="1" applyFill="1" applyBorder="1" applyAlignment="1">
      <alignment horizontal="center" vertical="center"/>
    </xf>
    <xf numFmtId="2" fontId="71" fillId="0" borderId="13" xfId="0" applyNumberFormat="1" applyFont="1" applyFill="1" applyBorder="1" applyAlignment="1" applyProtection="1">
      <alignment horizontal="center" vertical="center"/>
      <protection locked="0"/>
    </xf>
    <xf numFmtId="2" fontId="123" fillId="31" borderId="13" xfId="0" applyNumberFormat="1" applyFont="1" applyFill="1" applyBorder="1" applyAlignment="1" applyProtection="1">
      <alignment horizontal="center" vertical="center"/>
    </xf>
    <xf numFmtId="2" fontId="124" fillId="31" borderId="13" xfId="0" applyNumberFormat="1" applyFont="1" applyFill="1" applyBorder="1" applyAlignment="1" applyProtection="1">
      <alignment horizontal="center" vertical="center"/>
    </xf>
    <xf numFmtId="2" fontId="124" fillId="31" borderId="13" xfId="0" applyNumberFormat="1" applyFont="1" applyFill="1" applyBorder="1" applyAlignment="1" applyProtection="1">
      <alignment horizontal="center"/>
    </xf>
    <xf numFmtId="0" fontId="92" fillId="32" borderId="13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vertical="top"/>
    </xf>
    <xf numFmtId="0" fontId="109" fillId="32" borderId="30" xfId="0" applyFont="1" applyFill="1" applyBorder="1" applyAlignment="1">
      <alignment horizontal="center" vertical="center"/>
    </xf>
    <xf numFmtId="0" fontId="109" fillId="32" borderId="37" xfId="0" applyFont="1" applyFill="1" applyBorder="1" applyAlignment="1">
      <alignment horizontal="center" vertical="center"/>
    </xf>
    <xf numFmtId="2" fontId="21" fillId="31" borderId="13" xfId="0" applyNumberFormat="1" applyFont="1" applyFill="1" applyBorder="1" applyAlignment="1" applyProtection="1">
      <alignment horizontal="center" vertical="center"/>
    </xf>
    <xf numFmtId="0" fontId="109" fillId="32" borderId="68" xfId="0" applyFont="1" applyFill="1" applyBorder="1" applyAlignment="1">
      <alignment horizontal="center" vertical="center"/>
    </xf>
    <xf numFmtId="0" fontId="109" fillId="32" borderId="69" xfId="0" applyFont="1" applyFill="1" applyBorder="1" applyAlignment="1">
      <alignment horizontal="center" vertical="center"/>
    </xf>
    <xf numFmtId="0" fontId="109" fillId="32" borderId="70" xfId="0" applyFont="1" applyFill="1" applyBorder="1" applyAlignment="1">
      <alignment horizontal="center" vertical="center"/>
    </xf>
    <xf numFmtId="2" fontId="124" fillId="31" borderId="74" xfId="0" applyNumberFormat="1" applyFont="1" applyFill="1" applyBorder="1" applyAlignment="1" applyProtection="1">
      <alignment horizontal="center" vertical="center"/>
    </xf>
    <xf numFmtId="0" fontId="108" fillId="32" borderId="68" xfId="0" applyFont="1" applyFill="1" applyBorder="1" applyAlignment="1">
      <alignment horizontal="center" vertical="center" wrapText="1"/>
    </xf>
    <xf numFmtId="0" fontId="108" fillId="32" borderId="69" xfId="0" applyFont="1" applyFill="1" applyBorder="1" applyAlignment="1">
      <alignment horizontal="center" vertical="center" wrapText="1"/>
    </xf>
    <xf numFmtId="0" fontId="108" fillId="32" borderId="69" xfId="0" applyFont="1" applyFill="1" applyBorder="1" applyAlignment="1">
      <alignment horizontal="center" vertical="center"/>
    </xf>
    <xf numFmtId="0" fontId="108" fillId="32" borderId="70" xfId="0" applyFont="1" applyFill="1" applyBorder="1" applyAlignment="1">
      <alignment horizontal="center" vertical="center" wrapText="1"/>
    </xf>
    <xf numFmtId="2" fontId="124" fillId="31" borderId="71" xfId="0" applyNumberFormat="1" applyFont="1" applyFill="1" applyBorder="1" applyAlignment="1" applyProtection="1">
      <alignment horizontal="center"/>
    </xf>
    <xf numFmtId="2" fontId="124" fillId="31" borderId="72" xfId="0" applyNumberFormat="1" applyFont="1" applyFill="1" applyBorder="1" applyAlignment="1" applyProtection="1">
      <alignment horizontal="center"/>
    </xf>
    <xf numFmtId="2" fontId="124" fillId="31" borderId="73" xfId="0" applyNumberFormat="1" applyFont="1" applyFill="1" applyBorder="1" applyAlignment="1" applyProtection="1">
      <alignment horizontal="center"/>
    </xf>
    <xf numFmtId="2" fontId="124" fillId="31" borderId="74" xfId="0" applyNumberFormat="1" applyFont="1" applyFill="1" applyBorder="1" applyAlignment="1" applyProtection="1">
      <alignment horizontal="center"/>
    </xf>
    <xf numFmtId="2" fontId="124" fillId="31" borderId="75" xfId="0" applyNumberFormat="1" applyFont="1" applyFill="1" applyBorder="1" applyAlignment="1" applyProtection="1">
      <alignment horizontal="center"/>
    </xf>
    <xf numFmtId="2" fontId="124" fillId="31" borderId="30" xfId="0" applyNumberFormat="1" applyFont="1" applyFill="1" applyBorder="1" applyAlignment="1" applyProtection="1">
      <alignment horizontal="center" vertical="center"/>
    </xf>
    <xf numFmtId="2" fontId="37" fillId="28" borderId="37" xfId="0" applyNumberFormat="1" applyFont="1" applyFill="1" applyBorder="1" applyAlignment="1" applyProtection="1">
      <alignment horizontal="center"/>
    </xf>
    <xf numFmtId="2" fontId="124" fillId="28" borderId="37" xfId="0" applyNumberFormat="1" applyFont="1" applyFill="1" applyBorder="1" applyAlignment="1" applyProtection="1">
      <alignment horizontal="center"/>
    </xf>
    <xf numFmtId="2" fontId="37" fillId="28" borderId="71" xfId="0" applyNumberFormat="1" applyFont="1" applyFill="1" applyBorder="1" applyAlignment="1" applyProtection="1">
      <alignment horizontal="center"/>
    </xf>
    <xf numFmtId="2" fontId="37" fillId="28" borderId="72" xfId="0" applyNumberFormat="1" applyFont="1" applyFill="1" applyBorder="1" applyAlignment="1" applyProtection="1">
      <alignment horizontal="center"/>
    </xf>
    <xf numFmtId="2" fontId="124" fillId="28" borderId="71" xfId="0" applyNumberFormat="1" applyFont="1" applyFill="1" applyBorder="1" applyAlignment="1" applyProtection="1">
      <alignment horizontal="center"/>
    </xf>
    <xf numFmtId="2" fontId="124" fillId="28" borderId="72" xfId="0" applyNumberFormat="1" applyFont="1" applyFill="1" applyBorder="1" applyAlignment="1" applyProtection="1">
      <alignment horizontal="center"/>
    </xf>
    <xf numFmtId="2" fontId="124" fillId="28" borderId="73" xfId="0" applyNumberFormat="1" applyFont="1" applyFill="1" applyBorder="1" applyAlignment="1" applyProtection="1">
      <alignment horizontal="center"/>
    </xf>
    <xf numFmtId="2" fontId="124" fillId="28" borderId="75" xfId="0" applyNumberFormat="1" applyFont="1" applyFill="1" applyBorder="1" applyAlignment="1" applyProtection="1">
      <alignment horizontal="center"/>
    </xf>
    <xf numFmtId="0" fontId="92" fillId="32" borderId="13" xfId="0" applyFont="1" applyFill="1" applyBorder="1" applyAlignment="1">
      <alignment horizontal="center" vertical="center"/>
    </xf>
    <xf numFmtId="0" fontId="109" fillId="32" borderId="13" xfId="0" applyFont="1" applyFill="1" applyBorder="1" applyAlignment="1">
      <alignment horizontal="center" vertical="center"/>
    </xf>
    <xf numFmtId="0" fontId="109" fillId="32" borderId="13" xfId="0" applyFont="1" applyFill="1" applyBorder="1" applyAlignment="1">
      <alignment horizontal="center" vertical="center"/>
    </xf>
    <xf numFmtId="0" fontId="109" fillId="32" borderId="31" xfId="0" applyFont="1" applyFill="1" applyBorder="1" applyAlignment="1">
      <alignment horizontal="center" vertical="center"/>
    </xf>
    <xf numFmtId="2" fontId="1" fillId="31" borderId="13" xfId="0" applyNumberFormat="1" applyFont="1" applyFill="1" applyBorder="1" applyAlignment="1" applyProtection="1">
      <alignment horizontal="center" vertical="center"/>
    </xf>
    <xf numFmtId="0" fontId="129" fillId="32" borderId="1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127" fillId="32" borderId="13" xfId="0" applyFont="1" applyFill="1" applyBorder="1" applyAlignment="1">
      <alignment horizontal="center" vertical="center"/>
    </xf>
    <xf numFmtId="171" fontId="1" fillId="31" borderId="13" xfId="0" applyNumberFormat="1" applyFont="1" applyFill="1" applyBorder="1" applyAlignment="1" applyProtection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109" fillId="35" borderId="13" xfId="0" applyFont="1" applyFill="1" applyBorder="1" applyAlignment="1">
      <alignment horizontal="center" vertical="center"/>
    </xf>
    <xf numFmtId="0" fontId="109" fillId="35" borderId="31" xfId="0" applyFont="1" applyFill="1" applyBorder="1" applyAlignment="1">
      <alignment horizontal="center" vertical="center"/>
    </xf>
    <xf numFmtId="2" fontId="1" fillId="0" borderId="13" xfId="0" applyNumberFormat="1" applyFont="1" applyBorder="1" applyAlignment="1" applyProtection="1">
      <alignment horizontal="center" vertical="center"/>
      <protection locked="0"/>
    </xf>
    <xf numFmtId="1" fontId="1" fillId="0" borderId="13" xfId="0" applyNumberFormat="1" applyFont="1" applyBorder="1" applyAlignment="1" applyProtection="1">
      <alignment horizontal="center" vertical="center"/>
      <protection locked="0"/>
    </xf>
    <xf numFmtId="0" fontId="92" fillId="32" borderId="13" xfId="0" applyFont="1" applyFill="1" applyBorder="1" applyAlignment="1">
      <alignment horizontal="center" vertical="center"/>
    </xf>
    <xf numFmtId="2" fontId="0" fillId="0" borderId="30" xfId="0" applyNumberFormat="1" applyFont="1" applyBorder="1" applyAlignment="1" applyProtection="1">
      <alignment horizontal="center" vertical="center"/>
      <protection locked="0"/>
    </xf>
    <xf numFmtId="171" fontId="0" fillId="0" borderId="30" xfId="0" applyNumberFormat="1" applyFont="1" applyBorder="1" applyAlignment="1" applyProtection="1">
      <alignment horizontal="center" vertical="center"/>
      <protection locked="0"/>
    </xf>
    <xf numFmtId="2" fontId="1" fillId="31" borderId="30" xfId="0" applyNumberFormat="1" applyFont="1" applyFill="1" applyBorder="1" applyAlignment="1" applyProtection="1">
      <alignment horizontal="center" vertical="center"/>
    </xf>
    <xf numFmtId="0" fontId="129" fillId="32" borderId="31" xfId="0" applyFont="1" applyFill="1" applyBorder="1" applyAlignment="1">
      <alignment horizontal="center" vertical="center"/>
    </xf>
    <xf numFmtId="0" fontId="10" fillId="4" borderId="0" xfId="1" applyFill="1" applyBorder="1" applyAlignment="1" applyProtection="1">
      <alignment horizontal="center" vertical="center"/>
      <protection hidden="1"/>
    </xf>
    <xf numFmtId="0" fontId="9" fillId="4" borderId="0" xfId="0" applyFont="1" applyFill="1" applyBorder="1" applyAlignment="1" applyProtection="1">
      <alignment horizontal="left" vertical="center"/>
      <protection hidden="1"/>
    </xf>
    <xf numFmtId="0" fontId="8" fillId="4" borderId="0" xfId="0" applyFont="1" applyFill="1" applyBorder="1" applyAlignment="1" applyProtection="1">
      <alignment horizontal="centerContinuous" vertical="center"/>
      <protection hidden="1"/>
    </xf>
    <xf numFmtId="169" fontId="1" fillId="31" borderId="13" xfId="0" applyNumberFormat="1" applyFont="1" applyFill="1" applyBorder="1" applyAlignment="1" applyProtection="1">
      <alignment horizontal="center" vertical="center"/>
    </xf>
    <xf numFmtId="169" fontId="0" fillId="0" borderId="13" xfId="0" applyNumberFormat="1" applyFont="1" applyFill="1" applyBorder="1" applyAlignment="1" applyProtection="1">
      <alignment horizontal="center" vertical="center"/>
      <protection locked="0"/>
    </xf>
    <xf numFmtId="166" fontId="1" fillId="31" borderId="13" xfId="0" applyNumberFormat="1" applyFont="1" applyFill="1" applyBorder="1" applyAlignment="1" applyProtection="1">
      <alignment horizontal="center" vertical="center"/>
    </xf>
    <xf numFmtId="166" fontId="0" fillId="0" borderId="13" xfId="0" applyNumberFormat="1" applyFont="1" applyFill="1" applyBorder="1" applyAlignment="1" applyProtection="1">
      <alignment horizontal="center" vertical="center"/>
      <protection locked="0"/>
    </xf>
    <xf numFmtId="0" fontId="0" fillId="0" borderId="15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10" borderId="18" xfId="0" applyFill="1" applyBorder="1" applyProtection="1"/>
    <xf numFmtId="0" fontId="0" fillId="10" borderId="0" xfId="0" applyFill="1" applyBorder="1" applyProtection="1"/>
    <xf numFmtId="0" fontId="0" fillId="10" borderId="19" xfId="0" applyFill="1" applyBorder="1" applyProtection="1"/>
    <xf numFmtId="2" fontId="0" fillId="10" borderId="19" xfId="0" applyNumberFormat="1" applyFill="1" applyBorder="1" applyAlignment="1" applyProtection="1">
      <alignment horizontal="left"/>
    </xf>
    <xf numFmtId="0" fontId="0" fillId="0" borderId="18" xfId="0" applyBorder="1" applyProtection="1"/>
    <xf numFmtId="0" fontId="0" fillId="0" borderId="0" xfId="0" applyBorder="1" applyProtection="1"/>
    <xf numFmtId="0" fontId="0" fillId="0" borderId="19" xfId="0" applyBorder="1" applyProtection="1"/>
    <xf numFmtId="0" fontId="0" fillId="0" borderId="20" xfId="0" applyBorder="1" applyProtection="1"/>
    <xf numFmtId="0" fontId="0" fillId="0" borderId="21" xfId="0" applyBorder="1" applyProtection="1"/>
    <xf numFmtId="0" fontId="0" fillId="0" borderId="22" xfId="0" applyBorder="1" applyProtection="1"/>
    <xf numFmtId="2" fontId="100" fillId="31" borderId="67" xfId="0" applyNumberFormat="1" applyFont="1" applyFill="1" applyBorder="1" applyAlignment="1">
      <alignment horizontal="center" vertical="center"/>
    </xf>
    <xf numFmtId="2" fontId="23" fillId="0" borderId="71" xfId="0" applyNumberFormat="1" applyFont="1" applyFill="1" applyBorder="1" applyAlignment="1" applyProtection="1">
      <alignment horizontal="center"/>
      <protection locked="0"/>
    </xf>
    <xf numFmtId="2" fontId="23" fillId="0" borderId="73" xfId="0" applyNumberFormat="1" applyFont="1" applyFill="1" applyBorder="1" applyAlignment="1" applyProtection="1">
      <alignment horizontal="center"/>
      <protection locked="0"/>
    </xf>
    <xf numFmtId="0" fontId="71" fillId="0" borderId="72" xfId="0" applyFont="1" applyBorder="1" applyAlignment="1" applyProtection="1">
      <alignment horizontal="center"/>
      <protection locked="0"/>
    </xf>
    <xf numFmtId="0" fontId="71" fillId="0" borderId="75" xfId="0" applyFont="1" applyBorder="1" applyAlignment="1" applyProtection="1">
      <alignment horizontal="center"/>
      <protection locked="0"/>
    </xf>
    <xf numFmtId="0" fontId="109" fillId="32" borderId="13" xfId="0" applyFont="1" applyFill="1" applyBorder="1" applyAlignment="1">
      <alignment horizontal="center" vertical="center"/>
    </xf>
    <xf numFmtId="2" fontId="65" fillId="0" borderId="13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2" fontId="64" fillId="0" borderId="13" xfId="0" applyNumberFormat="1" applyFont="1" applyBorder="1" applyAlignment="1" applyProtection="1">
      <alignment horizontal="center" vertical="center"/>
      <protection locked="0"/>
    </xf>
    <xf numFmtId="2" fontId="65" fillId="0" borderId="63" xfId="0" applyNumberFormat="1" applyFont="1" applyFill="1" applyBorder="1" applyAlignment="1" applyProtection="1">
      <alignment horizontal="center" vertical="center"/>
      <protection locked="0"/>
    </xf>
    <xf numFmtId="2" fontId="64" fillId="0" borderId="63" xfId="0" applyNumberFormat="1" applyFont="1" applyBorder="1" applyAlignment="1" applyProtection="1">
      <alignment horizontal="center" vertical="center"/>
      <protection locked="0"/>
    </xf>
    <xf numFmtId="1" fontId="111" fillId="0" borderId="13" xfId="0" applyNumberFormat="1" applyFont="1" applyBorder="1" applyAlignment="1" applyProtection="1">
      <alignment horizontal="center"/>
      <protection locked="0"/>
    </xf>
    <xf numFmtId="2" fontId="111" fillId="0" borderId="13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13" fillId="0" borderId="0" xfId="0" applyFont="1" applyAlignment="1"/>
    <xf numFmtId="0" fontId="13" fillId="0" borderId="0" xfId="0" applyFont="1" applyAlignment="1">
      <alignment textRotation="90"/>
    </xf>
    <xf numFmtId="0" fontId="13" fillId="0" borderId="0" xfId="0" applyFont="1" applyAlignment="1">
      <alignment vertical="center" textRotation="90" wrapText="1"/>
    </xf>
    <xf numFmtId="0" fontId="109" fillId="5" borderId="79" xfId="0" applyFont="1" applyFill="1" applyBorder="1" applyAlignment="1"/>
    <xf numFmtId="0" fontId="109" fillId="5" borderId="80" xfId="0" applyFont="1" applyFill="1" applyBorder="1" applyAlignment="1"/>
    <xf numFmtId="0" fontId="109" fillId="5" borderId="81" xfId="0" applyFont="1" applyFill="1" applyBorder="1" applyAlignment="1"/>
    <xf numFmtId="0" fontId="109" fillId="32" borderId="31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 textRotation="90" wrapText="1"/>
    </xf>
    <xf numFmtId="0" fontId="13" fillId="0" borderId="0" xfId="0" applyFont="1" applyAlignment="1">
      <alignment horizontal="right" vertical="center" textRotation="90"/>
    </xf>
    <xf numFmtId="0" fontId="12" fillId="4" borderId="7" xfId="0" applyFont="1" applyFill="1" applyBorder="1" applyAlignment="1" applyProtection="1">
      <alignment horizontal="center" vertical="center"/>
      <protection hidden="1"/>
    </xf>
    <xf numFmtId="0" fontId="12" fillId="4" borderId="8" xfId="0" applyFont="1" applyFill="1" applyBorder="1" applyAlignment="1" applyProtection="1">
      <alignment horizontal="center" vertical="center"/>
      <protection hidden="1"/>
    </xf>
    <xf numFmtId="0" fontId="12" fillId="4" borderId="9" xfId="0" applyFont="1" applyFill="1" applyBorder="1" applyAlignment="1" applyProtection="1">
      <alignment horizontal="center" vertical="center"/>
      <protection hidden="1"/>
    </xf>
    <xf numFmtId="0" fontId="100" fillId="31" borderId="30" xfId="0" applyFont="1" applyFill="1" applyBorder="1" applyAlignment="1">
      <alignment horizontal="center"/>
    </xf>
    <xf numFmtId="0" fontId="100" fillId="31" borderId="37" xfId="0" applyFont="1" applyFill="1" applyBorder="1" applyAlignment="1">
      <alignment horizontal="center"/>
    </xf>
    <xf numFmtId="0" fontId="100" fillId="31" borderId="31" xfId="0" applyFont="1" applyFill="1" applyBorder="1" applyAlignment="1">
      <alignment horizontal="center"/>
    </xf>
    <xf numFmtId="0" fontId="109" fillId="32" borderId="13" xfId="0" applyFont="1" applyFill="1" applyBorder="1" applyAlignment="1">
      <alignment horizontal="center" vertical="center"/>
    </xf>
    <xf numFmtId="0" fontId="35" fillId="0" borderId="30" xfId="0" applyFont="1" applyFill="1" applyBorder="1" applyAlignment="1" applyProtection="1">
      <alignment horizontal="center" vertical="center"/>
      <protection locked="0"/>
    </xf>
    <xf numFmtId="0" fontId="35" fillId="0" borderId="37" xfId="0" applyFont="1" applyFill="1" applyBorder="1" applyAlignment="1" applyProtection="1">
      <alignment horizontal="center" vertical="center"/>
      <protection locked="0"/>
    </xf>
    <xf numFmtId="0" fontId="35" fillId="0" borderId="31" xfId="0" applyFont="1" applyFill="1" applyBorder="1" applyAlignment="1" applyProtection="1">
      <alignment horizontal="center" vertical="center"/>
      <protection locked="0"/>
    </xf>
    <xf numFmtId="0" fontId="1" fillId="8" borderId="30" xfId="0" applyFont="1" applyFill="1" applyBorder="1" applyAlignment="1">
      <alignment horizontal="center"/>
    </xf>
    <xf numFmtId="0" fontId="1" fillId="8" borderId="37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09" fillId="32" borderId="30" xfId="0" applyFont="1" applyFill="1" applyBorder="1" applyAlignment="1">
      <alignment horizontal="center" vertical="center"/>
    </xf>
    <xf numFmtId="0" fontId="109" fillId="32" borderId="37" xfId="0" applyFont="1" applyFill="1" applyBorder="1" applyAlignment="1">
      <alignment horizontal="center" vertical="center"/>
    </xf>
    <xf numFmtId="0" fontId="109" fillId="32" borderId="31" xfId="0" applyFont="1" applyFill="1" applyBorder="1" applyAlignment="1">
      <alignment horizontal="center" vertical="center"/>
    </xf>
    <xf numFmtId="0" fontId="112" fillId="31" borderId="30" xfId="0" applyFont="1" applyFill="1" applyBorder="1" applyAlignment="1">
      <alignment horizontal="center"/>
    </xf>
    <xf numFmtId="0" fontId="112" fillId="31" borderId="37" xfId="0" applyFont="1" applyFill="1" applyBorder="1" applyAlignment="1">
      <alignment horizontal="center"/>
    </xf>
    <xf numFmtId="0" fontId="112" fillId="31" borderId="31" xfId="0" applyFont="1" applyFill="1" applyBorder="1" applyAlignment="1">
      <alignment horizontal="center"/>
    </xf>
    <xf numFmtId="0" fontId="106" fillId="32" borderId="30" xfId="0" applyFont="1" applyFill="1" applyBorder="1" applyAlignment="1">
      <alignment horizontal="center" vertical="center"/>
    </xf>
    <xf numFmtId="0" fontId="106" fillId="32" borderId="31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5" xfId="0" applyFont="1" applyBorder="1" applyAlignment="1" applyProtection="1">
      <alignment horizontal="center"/>
      <protection locked="0"/>
    </xf>
    <xf numFmtId="0" fontId="5" fillId="0" borderId="16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5" fillId="0" borderId="19" xfId="0" applyFont="1" applyBorder="1" applyAlignment="1" applyProtection="1">
      <alignment horizontal="center"/>
      <protection locked="0"/>
    </xf>
    <xf numFmtId="0" fontId="5" fillId="0" borderId="20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19" fillId="2" borderId="18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/>
    </xf>
    <xf numFmtId="0" fontId="30" fillId="33" borderId="13" xfId="0" applyFont="1" applyFill="1" applyBorder="1" applyAlignment="1">
      <alignment horizontal="center" vertical="center"/>
    </xf>
    <xf numFmtId="0" fontId="102" fillId="7" borderId="0" xfId="0" applyFont="1" applyFill="1" applyBorder="1" applyAlignment="1">
      <alignment horizontal="center" vertical="center"/>
    </xf>
    <xf numFmtId="0" fontId="72" fillId="7" borderId="8" xfId="0" applyFont="1" applyFill="1" applyBorder="1" applyAlignment="1">
      <alignment horizontal="center" vertical="center" wrapText="1"/>
    </xf>
    <xf numFmtId="0" fontId="72" fillId="7" borderId="0" xfId="0" applyFont="1" applyFill="1" applyBorder="1" applyAlignment="1">
      <alignment horizontal="center" vertical="center" wrapText="1"/>
    </xf>
    <xf numFmtId="0" fontId="105" fillId="5" borderId="24" xfId="0" applyFont="1" applyFill="1" applyBorder="1" applyAlignment="1">
      <alignment horizontal="center" vertical="center"/>
    </xf>
    <xf numFmtId="0" fontId="105" fillId="5" borderId="25" xfId="0" applyFont="1" applyFill="1" applyBorder="1" applyAlignment="1">
      <alignment horizontal="center" vertical="center"/>
    </xf>
    <xf numFmtId="0" fontId="105" fillId="5" borderId="2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14" fillId="11" borderId="36" xfId="0" applyFont="1" applyFill="1" applyBorder="1" applyAlignment="1">
      <alignment horizontal="left" textRotation="90"/>
    </xf>
    <xf numFmtId="0" fontId="14" fillId="11" borderId="0" xfId="0" applyFont="1" applyFill="1" applyBorder="1" applyAlignment="1">
      <alignment horizontal="center"/>
    </xf>
    <xf numFmtId="0" fontId="14" fillId="11" borderId="11" xfId="0" applyFont="1" applyFill="1" applyBorder="1" applyAlignment="1">
      <alignment horizontal="center" vertical="top"/>
    </xf>
    <xf numFmtId="0" fontId="125" fillId="11" borderId="8" xfId="0" applyFont="1" applyFill="1" applyBorder="1" applyAlignment="1">
      <alignment horizontal="center"/>
    </xf>
    <xf numFmtId="0" fontId="125" fillId="11" borderId="11" xfId="0" applyFont="1" applyFill="1" applyBorder="1" applyAlignment="1">
      <alignment horizontal="center" vertical="top"/>
    </xf>
    <xf numFmtId="0" fontId="125" fillId="11" borderId="8" xfId="0" applyFont="1" applyFill="1" applyBorder="1" applyAlignment="1">
      <alignment horizontal="right"/>
    </xf>
    <xf numFmtId="0" fontId="91" fillId="33" borderId="13" xfId="0" applyFont="1" applyFill="1" applyBorder="1" applyAlignment="1">
      <alignment horizontal="center" vertical="center"/>
    </xf>
    <xf numFmtId="0" fontId="92" fillId="32" borderId="13" xfId="0" applyFont="1" applyFill="1" applyBorder="1" applyAlignment="1">
      <alignment horizontal="center" vertical="center"/>
    </xf>
    <xf numFmtId="0" fontId="83" fillId="7" borderId="8" xfId="0" applyFont="1" applyFill="1" applyBorder="1" applyAlignment="1">
      <alignment horizontal="center" vertical="center" wrapText="1"/>
    </xf>
    <xf numFmtId="0" fontId="83" fillId="7" borderId="0" xfId="0" applyFont="1" applyFill="1" applyBorder="1" applyAlignment="1">
      <alignment horizontal="center" vertical="center" wrapText="1"/>
    </xf>
    <xf numFmtId="0" fontId="74" fillId="25" borderId="30" xfId="0" applyFont="1" applyFill="1" applyBorder="1" applyAlignment="1">
      <alignment horizontal="center" vertical="center"/>
    </xf>
    <xf numFmtId="0" fontId="74" fillId="25" borderId="37" xfId="0" applyFont="1" applyFill="1" applyBorder="1" applyAlignment="1">
      <alignment horizontal="center" vertical="center"/>
    </xf>
    <xf numFmtId="0" fontId="74" fillId="25" borderId="31" xfId="0" applyFont="1" applyFill="1" applyBorder="1" applyAlignment="1">
      <alignment horizontal="center" vertical="center"/>
    </xf>
    <xf numFmtId="0" fontId="101" fillId="11" borderId="37" xfId="0" applyFont="1" applyFill="1" applyBorder="1" applyAlignment="1">
      <alignment horizontal="center" wrapText="1"/>
    </xf>
    <xf numFmtId="0" fontId="101" fillId="11" borderId="31" xfId="0" applyFont="1" applyFill="1" applyBorder="1" applyAlignment="1">
      <alignment horizontal="center" wrapText="1"/>
    </xf>
    <xf numFmtId="0" fontId="92" fillId="32" borderId="64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8" fillId="2" borderId="37" xfId="0" applyFont="1" applyFill="1" applyBorder="1" applyAlignment="1">
      <alignment horizontal="center" vertical="center"/>
    </xf>
    <xf numFmtId="0" fontId="14" fillId="11" borderId="35" xfId="0" applyFont="1" applyFill="1" applyBorder="1" applyAlignment="1">
      <alignment horizontal="right" vertical="center" textRotation="90"/>
    </xf>
    <xf numFmtId="0" fontId="14" fillId="11" borderId="0" xfId="0" applyFont="1" applyFill="1" applyBorder="1" applyAlignment="1">
      <alignment horizontal="left" textRotation="90"/>
    </xf>
    <xf numFmtId="0" fontId="14" fillId="11" borderId="8" xfId="0" applyFont="1" applyFill="1" applyBorder="1" applyAlignment="1">
      <alignment horizontal="right"/>
    </xf>
    <xf numFmtId="0" fontId="14" fillId="11" borderId="12" xfId="0" applyFont="1" applyFill="1" applyBorder="1" applyAlignment="1">
      <alignment horizontal="center" vertical="top"/>
    </xf>
    <xf numFmtId="0" fontId="30" fillId="33" borderId="30" xfId="0" applyFont="1" applyFill="1" applyBorder="1" applyAlignment="1">
      <alignment horizontal="center" vertical="center"/>
    </xf>
    <xf numFmtId="0" fontId="30" fillId="33" borderId="37" xfId="0" applyFont="1" applyFill="1" applyBorder="1" applyAlignment="1">
      <alignment horizontal="center" vertical="center"/>
    </xf>
    <xf numFmtId="0" fontId="30" fillId="33" borderId="31" xfId="0" applyFont="1" applyFill="1" applyBorder="1" applyAlignment="1">
      <alignment horizontal="center" vertical="center"/>
    </xf>
    <xf numFmtId="0" fontId="97" fillId="11" borderId="30" xfId="0" applyFont="1" applyFill="1" applyBorder="1" applyAlignment="1">
      <alignment horizontal="center" wrapText="1"/>
    </xf>
    <xf numFmtId="0" fontId="97" fillId="11" borderId="31" xfId="0" applyFont="1" applyFill="1" applyBorder="1" applyAlignment="1">
      <alignment horizontal="center" wrapText="1"/>
    </xf>
    <xf numFmtId="0" fontId="116" fillId="32" borderId="76" xfId="0" applyFont="1" applyFill="1" applyBorder="1" applyAlignment="1">
      <alignment horizontal="center" vertical="center"/>
    </xf>
    <xf numFmtId="0" fontId="116" fillId="32" borderId="77" xfId="0" applyFont="1" applyFill="1" applyBorder="1" applyAlignment="1">
      <alignment horizontal="center" vertical="center"/>
    </xf>
    <xf numFmtId="2" fontId="75" fillId="27" borderId="71" xfId="0" applyNumberFormat="1" applyFont="1" applyFill="1" applyBorder="1" applyAlignment="1" applyProtection="1">
      <alignment horizontal="center"/>
    </xf>
    <xf numFmtId="2" fontId="75" fillId="27" borderId="72" xfId="0" applyNumberFormat="1" applyFont="1" applyFill="1" applyBorder="1" applyAlignment="1" applyProtection="1">
      <alignment horizontal="center"/>
    </xf>
    <xf numFmtId="0" fontId="119" fillId="32" borderId="13" xfId="0" applyFont="1" applyFill="1" applyBorder="1" applyAlignment="1">
      <alignment horizontal="center" vertical="center"/>
    </xf>
    <xf numFmtId="2" fontId="75" fillId="27" borderId="73" xfId="0" applyNumberFormat="1" applyFont="1" applyFill="1" applyBorder="1" applyAlignment="1" applyProtection="1">
      <alignment horizontal="center"/>
    </xf>
    <xf numFmtId="2" fontId="75" fillId="27" borderId="75" xfId="0" applyNumberFormat="1" applyFont="1" applyFill="1" applyBorder="1" applyAlignment="1" applyProtection="1">
      <alignment horizontal="center"/>
    </xf>
    <xf numFmtId="0" fontId="1" fillId="12" borderId="13" xfId="0" applyFont="1" applyFill="1" applyBorder="1" applyAlignment="1">
      <alignment horizontal="center"/>
    </xf>
    <xf numFmtId="0" fontId="21" fillId="3" borderId="13" xfId="0" applyFont="1" applyFill="1" applyBorder="1" applyAlignment="1">
      <alignment horizontal="center" vertical="center" wrapText="1"/>
    </xf>
    <xf numFmtId="0" fontId="10" fillId="4" borderId="11" xfId="1" applyFont="1" applyFill="1" applyBorder="1" applyAlignment="1" applyProtection="1">
      <alignment horizontal="center" vertical="center"/>
      <protection hidden="1"/>
    </xf>
    <xf numFmtId="0" fontId="21" fillId="3" borderId="13" xfId="0" applyFont="1" applyFill="1" applyBorder="1" applyAlignment="1">
      <alignment horizontal="center" vertical="center"/>
    </xf>
    <xf numFmtId="0" fontId="98" fillId="5" borderId="7" xfId="0" applyFont="1" applyFill="1" applyBorder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0" fontId="98" fillId="5" borderId="9" xfId="0" applyFont="1" applyFill="1" applyBorder="1" applyAlignment="1">
      <alignment horizontal="center" vertical="center"/>
    </xf>
    <xf numFmtId="0" fontId="98" fillId="5" borderId="10" xfId="0" applyFont="1" applyFill="1" applyBorder="1" applyAlignment="1">
      <alignment horizontal="center" vertical="center"/>
    </xf>
    <xf numFmtId="0" fontId="98" fillId="5" borderId="11" xfId="0" applyFont="1" applyFill="1" applyBorder="1" applyAlignment="1">
      <alignment horizontal="center" vertical="center"/>
    </xf>
    <xf numFmtId="0" fontId="98" fillId="5" borderId="12" xfId="0" applyFont="1" applyFill="1" applyBorder="1" applyAlignment="1">
      <alignment horizontal="center" vertical="center"/>
    </xf>
    <xf numFmtId="0" fontId="98" fillId="5" borderId="13" xfId="0" applyFont="1" applyFill="1" applyBorder="1" applyAlignment="1">
      <alignment horizontal="center" vertical="center"/>
    </xf>
    <xf numFmtId="0" fontId="109" fillId="5" borderId="7" xfId="0" applyFont="1" applyFill="1" applyBorder="1" applyAlignment="1">
      <alignment horizontal="center"/>
    </xf>
    <xf numFmtId="0" fontId="109" fillId="5" borderId="8" xfId="0" applyFont="1" applyFill="1" applyBorder="1" applyAlignment="1">
      <alignment horizontal="center"/>
    </xf>
    <xf numFmtId="0" fontId="9" fillId="4" borderId="24" xfId="0" applyFont="1" applyFill="1" applyBorder="1" applyAlignment="1" applyProtection="1">
      <alignment horizontal="center" vertical="center"/>
      <protection hidden="1"/>
    </xf>
    <xf numFmtId="0" fontId="9" fillId="4" borderId="25" xfId="0" applyFont="1" applyFill="1" applyBorder="1" applyAlignment="1" applyProtection="1">
      <alignment horizontal="center" vertical="center"/>
      <protection hidden="1"/>
    </xf>
    <xf numFmtId="0" fontId="12" fillId="4" borderId="20" xfId="0" applyFont="1" applyFill="1" applyBorder="1" applyAlignment="1" applyProtection="1">
      <alignment horizontal="center" vertical="center"/>
      <protection hidden="1"/>
    </xf>
    <xf numFmtId="0" fontId="12" fillId="4" borderId="21" xfId="0" applyFont="1" applyFill="1" applyBorder="1" applyAlignment="1" applyProtection="1">
      <alignment horizontal="center" vertical="center"/>
      <protection hidden="1"/>
    </xf>
    <xf numFmtId="0" fontId="12" fillId="4" borderId="25" xfId="0" applyFont="1" applyFill="1" applyBorder="1" applyAlignment="1" applyProtection="1">
      <alignment horizontal="center" vertical="center"/>
      <protection hidden="1"/>
    </xf>
    <xf numFmtId="0" fontId="12" fillId="4" borderId="26" xfId="0" applyFont="1" applyFill="1" applyBorder="1" applyAlignment="1" applyProtection="1">
      <alignment horizontal="center" vertical="center"/>
      <protection hidden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5" fillId="7" borderId="24" xfId="0" applyFont="1" applyFill="1" applyBorder="1" applyAlignment="1">
      <alignment horizontal="center"/>
    </xf>
    <xf numFmtId="0" fontId="35" fillId="7" borderId="25" xfId="0" applyFont="1" applyFill="1" applyBorder="1" applyAlignment="1">
      <alignment horizontal="center"/>
    </xf>
    <xf numFmtId="0" fontId="35" fillId="7" borderId="26" xfId="0" applyFont="1" applyFill="1" applyBorder="1" applyAlignment="1">
      <alignment horizontal="center"/>
    </xf>
    <xf numFmtId="0" fontId="12" fillId="4" borderId="24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14" fillId="8" borderId="30" xfId="0" applyFont="1" applyFill="1" applyBorder="1" applyAlignment="1">
      <alignment horizontal="center" vertical="center"/>
    </xf>
    <xf numFmtId="0" fontId="14" fillId="8" borderId="3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1" fillId="3" borderId="30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center" vertical="center"/>
    </xf>
    <xf numFmtId="0" fontId="1" fillId="12" borderId="30" xfId="0" applyFont="1" applyFill="1" applyBorder="1" applyAlignment="1">
      <alignment horizontal="center"/>
    </xf>
    <xf numFmtId="0" fontId="1" fillId="12" borderId="31" xfId="0" applyFont="1" applyFill="1" applyBorder="1" applyAlignment="1">
      <alignment horizontal="center"/>
    </xf>
    <xf numFmtId="0" fontId="21" fillId="0" borderId="13" xfId="0" applyFont="1" applyBorder="1" applyAlignment="1" applyProtection="1">
      <alignment horizontal="left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58" fillId="35" borderId="24" xfId="3" applyFont="1" applyFill="1" applyBorder="1" applyAlignment="1">
      <alignment horizontal="center" vertical="center"/>
    </xf>
    <xf numFmtId="0" fontId="58" fillId="35" borderId="25" xfId="3" applyFont="1" applyFill="1" applyBorder="1" applyAlignment="1">
      <alignment horizontal="center" vertical="center"/>
    </xf>
    <xf numFmtId="0" fontId="58" fillId="35" borderId="26" xfId="3" applyFont="1" applyFill="1" applyBorder="1" applyAlignment="1">
      <alignment horizontal="center" vertical="center"/>
    </xf>
    <xf numFmtId="0" fontId="42" fillId="20" borderId="56" xfId="3" applyFont="1" applyFill="1" applyBorder="1" applyAlignment="1">
      <alignment horizontal="center"/>
    </xf>
    <xf numFmtId="0" fontId="42" fillId="20" borderId="78" xfId="3" applyFont="1" applyFill="1" applyBorder="1" applyAlignment="1">
      <alignment horizontal="center"/>
    </xf>
    <xf numFmtId="0" fontId="42" fillId="20" borderId="61" xfId="3" applyFont="1" applyFill="1" applyBorder="1" applyAlignment="1">
      <alignment horizontal="center"/>
    </xf>
    <xf numFmtId="0" fontId="45" fillId="0" borderId="61" xfId="3" applyFont="1" applyBorder="1"/>
    <xf numFmtId="0" fontId="39" fillId="24" borderId="44" xfId="3" applyFont="1" applyFill="1" applyBorder="1" applyAlignment="1">
      <alignment horizontal="center"/>
    </xf>
    <xf numFmtId="0" fontId="45" fillId="0" borderId="44" xfId="3" applyFont="1" applyBorder="1"/>
    <xf numFmtId="0" fontId="45" fillId="0" borderId="43" xfId="3" applyFont="1" applyBorder="1"/>
    <xf numFmtId="0" fontId="60" fillId="20" borderId="0" xfId="3" applyFont="1" applyFill="1" applyBorder="1" applyAlignment="1">
      <alignment horizontal="left"/>
    </xf>
    <xf numFmtId="0" fontId="45" fillId="0" borderId="0" xfId="3" applyFont="1" applyBorder="1"/>
    <xf numFmtId="0" fontId="39" fillId="24" borderId="39" xfId="3" applyFont="1" applyFill="1" applyBorder="1" applyAlignment="1">
      <alignment horizontal="center"/>
    </xf>
    <xf numFmtId="0" fontId="45" fillId="0" borderId="39" xfId="3" applyFont="1" applyBorder="1"/>
    <xf numFmtId="0" fontId="45" fillId="0" borderId="38" xfId="3" applyFont="1" applyBorder="1"/>
    <xf numFmtId="168" fontId="46" fillId="17" borderId="0" xfId="3" applyNumberFormat="1" applyFont="1" applyFill="1" applyBorder="1" applyAlignment="1">
      <alignment horizontal="center"/>
    </xf>
    <xf numFmtId="2" fontId="42" fillId="15" borderId="42" xfId="3" applyNumberFormat="1" applyFont="1" applyFill="1" applyBorder="1" applyAlignment="1">
      <alignment horizontal="center"/>
    </xf>
    <xf numFmtId="170" fontId="39" fillId="13" borderId="1" xfId="3" applyNumberFormat="1" applyFont="1" applyFill="1" applyBorder="1" applyAlignment="1">
      <alignment horizontal="center"/>
    </xf>
    <xf numFmtId="0" fontId="45" fillId="0" borderId="1" xfId="3" applyFont="1" applyBorder="1"/>
    <xf numFmtId="0" fontId="56" fillId="0" borderId="54" xfId="3" applyFont="1" applyBorder="1" applyAlignment="1">
      <alignment horizontal="center" vertical="center"/>
    </xf>
    <xf numFmtId="0" fontId="45" fillId="0" borderId="50" xfId="3" applyFont="1" applyBorder="1"/>
    <xf numFmtId="0" fontId="42" fillId="16" borderId="44" xfId="3" applyFont="1" applyFill="1" applyBorder="1" applyAlignment="1">
      <alignment horizontal="center"/>
    </xf>
    <xf numFmtId="0" fontId="42" fillId="16" borderId="0" xfId="3" applyFont="1" applyFill="1" applyBorder="1" applyAlignment="1">
      <alignment horizontal="center"/>
    </xf>
    <xf numFmtId="0" fontId="45" fillId="0" borderId="41" xfId="3" applyFont="1" applyBorder="1"/>
    <xf numFmtId="0" fontId="42" fillId="16" borderId="39" xfId="3" applyFont="1" applyFill="1" applyBorder="1" applyAlignment="1">
      <alignment horizontal="center"/>
    </xf>
    <xf numFmtId="0" fontId="42" fillId="14" borderId="0" xfId="3" applyFont="1" applyFill="1" applyBorder="1" applyAlignment="1">
      <alignment horizontal="center"/>
    </xf>
    <xf numFmtId="2" fontId="50" fillId="18" borderId="45" xfId="3" applyNumberFormat="1" applyFont="1" applyFill="1" applyBorder="1" applyAlignment="1">
      <alignment horizontal="center"/>
    </xf>
    <xf numFmtId="2" fontId="39" fillId="13" borderId="1" xfId="3" applyNumberFormat="1" applyFont="1" applyFill="1" applyBorder="1" applyAlignment="1">
      <alignment horizontal="center" vertical="center"/>
    </xf>
    <xf numFmtId="169" fontId="49" fillId="18" borderId="40" xfId="3" applyNumberFormat="1" applyFont="1" applyFill="1" applyBorder="1" applyAlignment="1">
      <alignment horizontal="center"/>
    </xf>
    <xf numFmtId="0" fontId="55" fillId="23" borderId="53" xfId="3" applyFont="1" applyFill="1" applyBorder="1" applyAlignment="1">
      <alignment horizontal="center" vertical="center"/>
    </xf>
    <xf numFmtId="0" fontId="45" fillId="0" borderId="52" xfId="3" applyFont="1" applyBorder="1"/>
    <xf numFmtId="0" fontId="45" fillId="0" borderId="56" xfId="3" applyFont="1" applyBorder="1"/>
    <xf numFmtId="0" fontId="45" fillId="0" borderId="51" xfId="3" applyFont="1" applyBorder="1"/>
    <xf numFmtId="0" fontId="46" fillId="16" borderId="40" xfId="3" applyFont="1" applyFill="1" applyBorder="1" applyAlignment="1">
      <alignment horizontal="left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8" borderId="36" xfId="0" applyFill="1" applyBorder="1" applyAlignment="1">
      <alignment horizontal="center" vertical="center"/>
    </xf>
    <xf numFmtId="0" fontId="131" fillId="37" borderId="35" xfId="0" applyFont="1" applyFill="1" applyBorder="1" applyAlignment="1">
      <alignment horizontal="center" vertical="center"/>
    </xf>
    <xf numFmtId="0" fontId="131" fillId="37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5" borderId="0" xfId="0" applyFill="1" applyBorder="1" applyAlignment="1">
      <alignment horizontal="center" vertical="center"/>
    </xf>
    <xf numFmtId="2" fontId="0" fillId="37" borderId="30" xfId="0" applyNumberFormat="1" applyFill="1" applyBorder="1" applyAlignment="1" applyProtection="1">
      <alignment horizontal="center" vertical="center"/>
      <protection locked="0"/>
    </xf>
    <xf numFmtId="2" fontId="0" fillId="37" borderId="31" xfId="0" applyNumberFormat="1" applyFont="1" applyFill="1" applyBorder="1" applyAlignment="1" applyProtection="1">
      <alignment horizontal="center" vertical="center"/>
      <protection locked="0"/>
    </xf>
    <xf numFmtId="0" fontId="127" fillId="35" borderId="30" xfId="0" applyFont="1" applyFill="1" applyBorder="1" applyAlignment="1">
      <alignment horizontal="center" vertical="center"/>
    </xf>
    <xf numFmtId="0" fontId="109" fillId="35" borderId="31" xfId="0" applyFont="1" applyFill="1" applyBorder="1" applyAlignment="1">
      <alignment horizontal="center" vertical="center"/>
    </xf>
    <xf numFmtId="0" fontId="0" fillId="41" borderId="36" xfId="0" applyFill="1" applyBorder="1" applyAlignment="1">
      <alignment horizontal="center" vertical="center"/>
    </xf>
    <xf numFmtId="2" fontId="0" fillId="0" borderId="30" xfId="0" applyNumberFormat="1" applyFont="1" applyBorder="1" applyAlignment="1" applyProtection="1">
      <alignment horizontal="center" vertical="center" wrapText="1"/>
    </xf>
    <xf numFmtId="2" fontId="0" fillId="0" borderId="37" xfId="0" applyNumberFormat="1" applyFont="1" applyBorder="1" applyAlignment="1" applyProtection="1">
      <alignment horizontal="center" vertical="center" wrapText="1"/>
    </xf>
    <xf numFmtId="0" fontId="127" fillId="35" borderId="37" xfId="0" applyFont="1" applyFill="1" applyBorder="1" applyAlignment="1">
      <alignment horizontal="center" vertical="center"/>
    </xf>
    <xf numFmtId="2" fontId="0" fillId="39" borderId="37" xfId="0" applyNumberFormat="1" applyFont="1" applyFill="1" applyBorder="1" applyAlignment="1" applyProtection="1">
      <alignment horizontal="center" vertical="center" wrapText="1"/>
    </xf>
    <xf numFmtId="2" fontId="0" fillId="39" borderId="31" xfId="0" applyNumberFormat="1" applyFont="1" applyFill="1" applyBorder="1" applyAlignment="1" applyProtection="1">
      <alignment horizontal="center" vertical="center" wrapText="1"/>
    </xf>
    <xf numFmtId="0" fontId="129" fillId="36" borderId="7" xfId="0" applyFont="1" applyFill="1" applyBorder="1" applyAlignment="1">
      <alignment horizontal="center" vertical="center" wrapText="1"/>
    </xf>
    <xf numFmtId="0" fontId="129" fillId="36" borderId="8" xfId="0" applyFont="1" applyFill="1" applyBorder="1" applyAlignment="1">
      <alignment horizontal="center" vertical="center" wrapText="1"/>
    </xf>
    <xf numFmtId="0" fontId="129" fillId="36" borderId="10" xfId="0" applyFont="1" applyFill="1" applyBorder="1" applyAlignment="1">
      <alignment horizontal="center" vertical="center" wrapText="1"/>
    </xf>
    <xf numFmtId="0" fontId="129" fillId="36" borderId="11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top" wrapText="1"/>
    </xf>
    <xf numFmtId="0" fontId="15" fillId="7" borderId="8" xfId="0" applyFont="1" applyFill="1" applyBorder="1" applyAlignment="1">
      <alignment horizontal="center" vertical="top" wrapText="1"/>
    </xf>
    <xf numFmtId="0" fontId="15" fillId="7" borderId="9" xfId="0" applyFont="1" applyFill="1" applyBorder="1" applyAlignment="1">
      <alignment horizontal="center" vertical="top" wrapText="1"/>
    </xf>
    <xf numFmtId="0" fontId="15" fillId="7" borderId="10" xfId="0" applyFont="1" applyFill="1" applyBorder="1" applyAlignment="1">
      <alignment horizontal="center" vertical="top" wrapText="1"/>
    </xf>
    <xf numFmtId="0" fontId="15" fillId="7" borderId="11" xfId="0" applyFont="1" applyFill="1" applyBorder="1" applyAlignment="1">
      <alignment horizontal="center" vertical="top" wrapText="1"/>
    </xf>
    <xf numFmtId="0" fontId="15" fillId="7" borderId="12" xfId="0" applyFont="1" applyFill="1" applyBorder="1" applyAlignment="1">
      <alignment horizontal="center" vertical="top" wrapText="1"/>
    </xf>
    <xf numFmtId="0" fontId="10" fillId="7" borderId="13" xfId="1" applyFill="1" applyBorder="1" applyAlignment="1" applyProtection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</cellXfs>
  <cellStyles count="7">
    <cellStyle name="Accent6" xfId="6" builtinId="49"/>
    <cellStyle name="Calculation" xfId="5" builtinId="22"/>
    <cellStyle name="Hyperlink" xfId="1" builtinId="8"/>
    <cellStyle name="Normal" xfId="0" builtinId="0"/>
    <cellStyle name="Normal 2" xfId="2"/>
    <cellStyle name="Normal 3" xfId="3"/>
    <cellStyle name="Output" xfId="4" builtinId="21"/>
  </cellStyles>
  <dxfs count="17"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theme="2" tint="-0.749961851863155"/>
      </font>
      <fill>
        <patternFill>
          <bgColor theme="2" tint="-0.749961851863155"/>
        </patternFill>
      </fill>
    </dxf>
    <dxf>
      <font>
        <color rgb="FF002060"/>
      </font>
      <fill>
        <patternFill>
          <bgColor theme="6" tint="-0.24994659260841701"/>
        </patternFill>
      </fill>
    </dxf>
    <dxf>
      <font>
        <color rgb="FF00B050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333FF"/>
      <color rgb="FFFFCC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scatterChart>
        <c:scatterStyle val="lineMarker"/>
        <c:ser>
          <c:idx val="0"/>
          <c:order val="0"/>
          <c:tx>
            <c:v>Enveloppe de calcul décalée</c:v>
          </c:tx>
          <c:marker>
            <c:symbol val="star"/>
            <c:size val="9"/>
            <c:spPr>
              <a:ln>
                <a:solidFill>
                  <a:schemeClr val="tx1"/>
                </a:solidFill>
              </a:ln>
            </c:spPr>
          </c:marker>
          <c:dLbls>
            <c:numFmt formatCode="#,##0.00" sourceLinked="0"/>
            <c:txPr>
              <a:bodyPr rot="0"/>
              <a:lstStyle/>
              <a:p>
                <a:pPr>
                  <a:defRPr b="1">
                    <a:solidFill>
                      <a:srgbClr val="0070C0"/>
                    </a:solidFill>
                  </a:defRPr>
                </a:pPr>
                <a:endParaRPr lang="fr-FR"/>
              </a:p>
            </c:txPr>
            <c:dLblPos val="t"/>
            <c:showCatName val="1"/>
          </c:dLbls>
          <c:xVal>
            <c:numRef>
              <c:f>Calcul!$F$27:$F$30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50.846666666666692</c:v>
                </c:pt>
                <c:pt idx="2" formatCode="General">
                  <c:v>144.03</c:v>
                </c:pt>
                <c:pt idx="3" formatCode="General">
                  <c:v>144.03</c:v>
                </c:pt>
              </c:numCache>
            </c:numRef>
          </c:xVal>
          <c:yVal>
            <c:numRef>
              <c:f>Calcul!$G$27:$G$30</c:f>
              <c:numCache>
                <c:formatCode>General</c:formatCode>
                <c:ptCount val="4"/>
                <c:pt idx="0">
                  <c:v>15.3</c:v>
                </c:pt>
                <c:pt idx="1">
                  <c:v>15.3</c:v>
                </c:pt>
                <c:pt idx="2">
                  <c:v>2.5499999999999998</c:v>
                </c:pt>
                <c:pt idx="3">
                  <c:v>0</c:v>
                </c:pt>
              </c:numCache>
            </c:numRef>
          </c:yVal>
        </c:ser>
        <c:ser>
          <c:idx val="1"/>
          <c:order val="1"/>
          <c:tx>
            <c:v>Enevoloppe linéaire</c:v>
          </c:tx>
          <c:marker>
            <c:symbol val="star"/>
            <c:size val="8"/>
            <c:spPr>
              <a:ln>
                <a:solidFill>
                  <a:srgbClr val="002060"/>
                </a:solidFill>
              </a:ln>
            </c:spPr>
          </c:marker>
          <c:dLbls>
            <c:spPr>
              <a:noFill/>
            </c:spPr>
            <c:txPr>
              <a:bodyPr/>
              <a:lstStyle/>
              <a:p>
                <a:pPr>
                  <a:defRPr sz="1000" b="1">
                    <a:solidFill>
                      <a:srgbClr val="002060"/>
                    </a:solidFill>
                  </a:defRPr>
                </a:pPr>
                <a:endParaRPr lang="fr-FR"/>
              </a:p>
            </c:txPr>
            <c:dLblPos val="b"/>
            <c:showCatName val="1"/>
            <c:separator>, </c:separator>
          </c:dLbls>
          <c:xVal>
            <c:numRef>
              <c:f>Calcul!$F$17:$F$19</c:f>
              <c:numCache>
                <c:formatCode>General</c:formatCode>
                <c:ptCount val="3"/>
                <c:pt idx="0">
                  <c:v>0</c:v>
                </c:pt>
                <c:pt idx="1">
                  <c:v>32.21</c:v>
                </c:pt>
                <c:pt idx="2">
                  <c:v>144.03</c:v>
                </c:pt>
              </c:numCache>
            </c:numRef>
          </c:xVal>
          <c:yVal>
            <c:numRef>
              <c:f>Calcul!$G$17:$G$19</c:f>
              <c:numCache>
                <c:formatCode>General</c:formatCode>
                <c:ptCount val="3"/>
                <c:pt idx="0">
                  <c:v>15.3</c:v>
                </c:pt>
                <c:pt idx="1">
                  <c:v>15.3</c:v>
                </c:pt>
                <c:pt idx="2">
                  <c:v>0</c:v>
                </c:pt>
              </c:numCache>
            </c:numRef>
          </c:yVal>
        </c:ser>
        <c:axId val="90071424"/>
        <c:axId val="90073728"/>
      </c:scatterChart>
      <c:valAx>
        <c:axId val="90071424"/>
        <c:scaling>
          <c:orientation val="maxMin"/>
        </c:scaling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 (KN,m)</a:t>
                </a:r>
              </a:p>
            </c:rich>
          </c:tx>
        </c:title>
        <c:numFmt formatCode="General" sourceLinked="1"/>
        <c:tickLblPos val="nextTo"/>
        <c:crossAx val="90073728"/>
        <c:crosses val="autoZero"/>
        <c:crossBetween val="midCat"/>
      </c:valAx>
      <c:valAx>
        <c:axId val="90073728"/>
        <c:scaling>
          <c:orientation val="minMax"/>
        </c:scaling>
        <c:axPos val="r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/>
                  <a:t>Hw (m)</a:t>
                </a:r>
              </a:p>
            </c:rich>
          </c:tx>
        </c:title>
        <c:numFmt formatCode="#,##0.00" sourceLinked="0"/>
        <c:tickLblPos val="nextTo"/>
        <c:crossAx val="90071424"/>
        <c:crosses val="autoZero"/>
        <c:crossBetween val="midCat"/>
      </c:valAx>
      <c:spPr>
        <a:noFill/>
      </c:spPr>
    </c:plotArea>
    <c:legend>
      <c:legendPos val="t"/>
      <c:txPr>
        <a:bodyPr/>
        <a:lstStyle/>
        <a:p>
          <a:pPr>
            <a:defRPr sz="800"/>
          </a:pPr>
          <a:endParaRPr lang="fr-FR"/>
        </a:p>
      </c:txPr>
    </c:legend>
    <c:plotVisOnly val="1"/>
  </c:chart>
  <c:spPr>
    <a:noFill/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1.4 x Vu</c:v>
          </c:tx>
          <c:xVal>
            <c:numRef>
              <c:f>Calcul!$G$42:$G$62</c:f>
              <c:numCache>
                <c:formatCode>0.00</c:formatCode>
                <c:ptCount val="21"/>
                <c:pt idx="0">
                  <c:v>-157.5</c:v>
                </c:pt>
                <c:pt idx="1">
                  <c:v>-71.778000000000006</c:v>
                </c:pt>
                <c:pt idx="2">
                  <c:v>-63.895999999999994</c:v>
                </c:pt>
                <c:pt idx="3">
                  <c:v>-55.061999999999998</c:v>
                </c:pt>
                <c:pt idx="4">
                  <c:v>-58.365999999999993</c:v>
                </c:pt>
                <c:pt idx="5">
                  <c:v>-58.884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xVal>
          <c:yVal>
            <c:numRef>
              <c:f>Calcul!$F$42:$F$62</c:f>
              <c:numCache>
                <c:formatCode>0.00</c:formatCode>
                <c:ptCount val="21"/>
                <c:pt idx="0">
                  <c:v>0</c:v>
                </c:pt>
                <c:pt idx="1">
                  <c:v>3.06</c:v>
                </c:pt>
                <c:pt idx="2">
                  <c:v>6.12</c:v>
                </c:pt>
                <c:pt idx="3">
                  <c:v>9.18</c:v>
                </c:pt>
                <c:pt idx="4">
                  <c:v>12.24</c:v>
                </c:pt>
                <c:pt idx="5">
                  <c:v>15.3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yVal>
        </c:ser>
        <c:ser>
          <c:idx val="1"/>
          <c:order val="1"/>
          <c:tx>
            <c:v>Diagramme issue de l'analyse</c:v>
          </c:tx>
          <c:marker>
            <c:symbol val="star"/>
            <c:size val="7"/>
            <c:spPr>
              <a:ln w="19050">
                <a:solidFill>
                  <a:schemeClr val="tx2"/>
                </a:solidFill>
              </a:ln>
            </c:spPr>
          </c:marker>
          <c:xVal>
            <c:numRef>
              <c:f>Calcul!$D$42:$D$67</c:f>
              <c:numCache>
                <c:formatCode>0.00</c:formatCode>
                <c:ptCount val="26"/>
                <c:pt idx="0">
                  <c:v>-112.5</c:v>
                </c:pt>
                <c:pt idx="1">
                  <c:v>-51.27</c:v>
                </c:pt>
                <c:pt idx="2">
                  <c:v>-45.64</c:v>
                </c:pt>
                <c:pt idx="3">
                  <c:v>-39.33</c:v>
                </c:pt>
                <c:pt idx="4">
                  <c:v>-41.69</c:v>
                </c:pt>
                <c:pt idx="5">
                  <c:v>-42.06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xVal>
          <c:yVal>
            <c:numRef>
              <c:f>Calcul!$C$42:$C$67</c:f>
              <c:numCache>
                <c:formatCode>0.00</c:formatCode>
                <c:ptCount val="26"/>
                <c:pt idx="0">
                  <c:v>0</c:v>
                </c:pt>
                <c:pt idx="1">
                  <c:v>3.06</c:v>
                </c:pt>
                <c:pt idx="2">
                  <c:v>6.12</c:v>
                </c:pt>
                <c:pt idx="3">
                  <c:v>9.18</c:v>
                </c:pt>
                <c:pt idx="4">
                  <c:v>12.24</c:v>
                </c:pt>
                <c:pt idx="5">
                  <c:v>15.3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yVal>
        </c:ser>
        <c:ser>
          <c:idx val="2"/>
          <c:order val="2"/>
          <c:tx>
            <c:v>Diagramme amplifié</c:v>
          </c:tx>
          <c:marker>
            <c:symbol val="star"/>
            <c:size val="8"/>
            <c:spPr>
              <a:ln w="15875">
                <a:solidFill>
                  <a:srgbClr val="00B050"/>
                </a:solidFill>
              </a:ln>
            </c:spPr>
          </c:marker>
          <c:xVal>
            <c:numRef>
              <c:f>Calcul!$M$42:$M$67</c:f>
              <c:numCache>
                <c:formatCode>0.00</c:formatCode>
                <c:ptCount val="26"/>
                <c:pt idx="0">
                  <c:v>-157.5</c:v>
                </c:pt>
                <c:pt idx="1">
                  <c:v>-71.778000000000006</c:v>
                </c:pt>
                <c:pt idx="2">
                  <c:v>-66.523333333333341</c:v>
                </c:pt>
                <c:pt idx="3">
                  <c:v>-66.523333333333341</c:v>
                </c:pt>
                <c:pt idx="4">
                  <c:v>-66.523333333333341</c:v>
                </c:pt>
                <c:pt idx="5">
                  <c:v>-78.75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xVal>
          <c:yVal>
            <c:numRef>
              <c:f>Calcul!$L$42:$L$67</c:f>
              <c:numCache>
                <c:formatCode>0.00</c:formatCode>
                <c:ptCount val="26"/>
                <c:pt idx="0">
                  <c:v>0</c:v>
                </c:pt>
                <c:pt idx="1">
                  <c:v>3.06</c:v>
                </c:pt>
                <c:pt idx="2">
                  <c:v>5.1000000000000005</c:v>
                </c:pt>
                <c:pt idx="3">
                  <c:v>5.1000000000000005</c:v>
                </c:pt>
                <c:pt idx="4">
                  <c:v>5.1000000000000005</c:v>
                </c:pt>
                <c:pt idx="5">
                  <c:v>15.3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yVal>
        </c:ser>
        <c:axId val="126930944"/>
        <c:axId val="126934016"/>
      </c:scatterChart>
      <c:valAx>
        <c:axId val="126930944"/>
        <c:scaling>
          <c:orientation val="minMax"/>
        </c:scaling>
        <c:axPos val="b"/>
        <c:min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fr-FR" sz="1050" b="1" i="0" baseline="0"/>
                  <a:t>T (KN)</a:t>
                </a:r>
              </a:p>
            </c:rich>
          </c:tx>
        </c:title>
        <c:numFmt formatCode="0.00" sourceLinked="1"/>
        <c:tickLblPos val="nextTo"/>
        <c:crossAx val="126934016"/>
        <c:crosses val="autoZero"/>
        <c:crossBetween val="midCat"/>
      </c:valAx>
      <c:valAx>
        <c:axId val="126934016"/>
        <c:scaling>
          <c:orientation val="minMax"/>
        </c:scaling>
        <c:axPos val="l"/>
        <c:minorGridlines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fr-FR" sz="1050" b="1" i="0" baseline="0"/>
                  <a:t>Hw  (m)</a:t>
                </a:r>
              </a:p>
            </c:rich>
          </c:tx>
        </c:title>
        <c:numFmt formatCode="0.00" sourceLinked="1"/>
        <c:minorTickMark val="in"/>
        <c:tickLblPos val="high"/>
        <c:crossAx val="126930944"/>
        <c:crosses val="autoZero"/>
        <c:crossBetween val="midCat"/>
      </c:valAx>
    </c:plotArea>
    <c:legend>
      <c:legendPos val="t"/>
    </c:legend>
    <c:plotVisOnly val="1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scatterChart>
        <c:scatterStyle val="lineMarker"/>
        <c:ser>
          <c:idx val="4"/>
          <c:order val="4"/>
          <c:marker>
            <c:symbol val="none"/>
          </c:marker>
          <c:xVal>
            <c:numRef>
              <c:f>Calcul!$F$27:$F$30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50.846666666666692</c:v>
                </c:pt>
                <c:pt idx="2" formatCode="General">
                  <c:v>144.03</c:v>
                </c:pt>
                <c:pt idx="3" formatCode="General">
                  <c:v>144.03</c:v>
                </c:pt>
              </c:numCache>
            </c:numRef>
          </c:xVal>
          <c:yVal>
            <c:numRef>
              <c:f>Calcul!$G$27:$G$30</c:f>
              <c:numCache>
                <c:formatCode>General</c:formatCode>
                <c:ptCount val="4"/>
                <c:pt idx="0">
                  <c:v>15.3</c:v>
                </c:pt>
                <c:pt idx="1">
                  <c:v>15.3</c:v>
                </c:pt>
                <c:pt idx="2">
                  <c:v>2.5499999999999998</c:v>
                </c:pt>
                <c:pt idx="3">
                  <c:v>0</c:v>
                </c:pt>
              </c:numCache>
            </c:numRef>
          </c:yVal>
        </c:ser>
        <c:ser>
          <c:idx val="5"/>
          <c:order val="5"/>
          <c:marker>
            <c:symbol val="none"/>
          </c:marker>
          <c:xVal>
            <c:numRef>
              <c:f>Calcul!$F$17:$F$19</c:f>
              <c:numCache>
                <c:formatCode>General</c:formatCode>
                <c:ptCount val="3"/>
                <c:pt idx="0">
                  <c:v>0</c:v>
                </c:pt>
                <c:pt idx="1">
                  <c:v>32.21</c:v>
                </c:pt>
                <c:pt idx="2">
                  <c:v>144.03</c:v>
                </c:pt>
              </c:numCache>
            </c:numRef>
          </c:xVal>
          <c:yVal>
            <c:numRef>
              <c:f>Calcul!$G$17:$G$19</c:f>
              <c:numCache>
                <c:formatCode>General</c:formatCode>
                <c:ptCount val="3"/>
                <c:pt idx="0">
                  <c:v>15.3</c:v>
                </c:pt>
                <c:pt idx="1">
                  <c:v>15.3</c:v>
                </c:pt>
                <c:pt idx="2">
                  <c:v>0</c:v>
                </c:pt>
              </c:numCache>
            </c:numRef>
          </c:yVal>
        </c:ser>
        <c:ser>
          <c:idx val="6"/>
          <c:order val="6"/>
          <c:marker>
            <c:symbol val="none"/>
          </c:marker>
          <c:xVal>
            <c:numRef>
              <c:f>Calcul!$F$27:$F$30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50.846666666666692</c:v>
                </c:pt>
                <c:pt idx="2" formatCode="General">
                  <c:v>144.03</c:v>
                </c:pt>
                <c:pt idx="3" formatCode="General">
                  <c:v>144.03</c:v>
                </c:pt>
              </c:numCache>
            </c:numRef>
          </c:xVal>
          <c:yVal>
            <c:numRef>
              <c:f>Calcul!$G$27:$G$30</c:f>
              <c:numCache>
                <c:formatCode>General</c:formatCode>
                <c:ptCount val="4"/>
                <c:pt idx="0">
                  <c:v>15.3</c:v>
                </c:pt>
                <c:pt idx="1">
                  <c:v>15.3</c:v>
                </c:pt>
                <c:pt idx="2">
                  <c:v>2.5499999999999998</c:v>
                </c:pt>
                <c:pt idx="3">
                  <c:v>0</c:v>
                </c:pt>
              </c:numCache>
            </c:numRef>
          </c:yVal>
        </c:ser>
        <c:ser>
          <c:idx val="7"/>
          <c:order val="7"/>
          <c:marker>
            <c:symbol val="none"/>
          </c:marker>
          <c:xVal>
            <c:numRef>
              <c:f>Calcul!$F$17:$F$19</c:f>
              <c:numCache>
                <c:formatCode>General</c:formatCode>
                <c:ptCount val="3"/>
                <c:pt idx="0">
                  <c:v>0</c:v>
                </c:pt>
                <c:pt idx="1">
                  <c:v>32.21</c:v>
                </c:pt>
                <c:pt idx="2">
                  <c:v>144.03</c:v>
                </c:pt>
              </c:numCache>
            </c:numRef>
          </c:xVal>
          <c:yVal>
            <c:numRef>
              <c:f>Calcul!$G$17:$G$19</c:f>
              <c:numCache>
                <c:formatCode>General</c:formatCode>
                <c:ptCount val="3"/>
                <c:pt idx="0">
                  <c:v>15.3</c:v>
                </c:pt>
                <c:pt idx="1">
                  <c:v>15.3</c:v>
                </c:pt>
                <c:pt idx="2">
                  <c:v>0</c:v>
                </c:pt>
              </c:numCache>
            </c:numRef>
          </c:yVal>
        </c:ser>
        <c:ser>
          <c:idx val="2"/>
          <c:order val="2"/>
          <c:marker>
            <c:symbol val="none"/>
          </c:marker>
          <c:xVal>
            <c:numRef>
              <c:f>Calcul!$F$27:$F$30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50.846666666666692</c:v>
                </c:pt>
                <c:pt idx="2" formatCode="General">
                  <c:v>144.03</c:v>
                </c:pt>
                <c:pt idx="3" formatCode="General">
                  <c:v>144.03</c:v>
                </c:pt>
              </c:numCache>
            </c:numRef>
          </c:xVal>
          <c:yVal>
            <c:numRef>
              <c:f>Calcul!$G$27:$G$30</c:f>
              <c:numCache>
                <c:formatCode>General</c:formatCode>
                <c:ptCount val="4"/>
                <c:pt idx="0">
                  <c:v>15.3</c:v>
                </c:pt>
                <c:pt idx="1">
                  <c:v>15.3</c:v>
                </c:pt>
                <c:pt idx="2">
                  <c:v>2.5499999999999998</c:v>
                </c:pt>
                <c:pt idx="3">
                  <c:v>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xVal>
            <c:numRef>
              <c:f>Calcul!$F$17:$F$19</c:f>
              <c:numCache>
                <c:formatCode>General</c:formatCode>
                <c:ptCount val="3"/>
                <c:pt idx="0">
                  <c:v>0</c:v>
                </c:pt>
                <c:pt idx="1">
                  <c:v>32.21</c:v>
                </c:pt>
                <c:pt idx="2">
                  <c:v>144.03</c:v>
                </c:pt>
              </c:numCache>
            </c:numRef>
          </c:xVal>
          <c:yVal>
            <c:numRef>
              <c:f>Calcul!$G$17:$G$19</c:f>
              <c:numCache>
                <c:formatCode>General</c:formatCode>
                <c:ptCount val="3"/>
                <c:pt idx="0">
                  <c:v>15.3</c:v>
                </c:pt>
                <c:pt idx="1">
                  <c:v>15.3</c:v>
                </c:pt>
                <c:pt idx="2">
                  <c:v>0</c:v>
                </c:pt>
              </c:numCache>
            </c:numRef>
          </c:yVal>
        </c:ser>
        <c:ser>
          <c:idx val="0"/>
          <c:order val="0"/>
          <c:tx>
            <c:v>Enveloppe de calcul</c:v>
          </c:tx>
          <c:marker>
            <c:symbol val="none"/>
          </c:marker>
          <c:dLbls>
            <c:dLblPos val="t"/>
            <c:showCatName val="1"/>
          </c:dLbls>
          <c:xVal>
            <c:numRef>
              <c:f>Calcul!$F$27:$F$30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50.846666666666692</c:v>
                </c:pt>
                <c:pt idx="2" formatCode="General">
                  <c:v>144.03</c:v>
                </c:pt>
                <c:pt idx="3" formatCode="General">
                  <c:v>144.03</c:v>
                </c:pt>
              </c:numCache>
            </c:numRef>
          </c:xVal>
          <c:yVal>
            <c:numRef>
              <c:f>Calcul!$G$27:$G$30</c:f>
              <c:numCache>
                <c:formatCode>General</c:formatCode>
                <c:ptCount val="4"/>
                <c:pt idx="0">
                  <c:v>15.3</c:v>
                </c:pt>
                <c:pt idx="1">
                  <c:v>15.3</c:v>
                </c:pt>
                <c:pt idx="2">
                  <c:v>2.5499999999999998</c:v>
                </c:pt>
                <c:pt idx="3">
                  <c:v>0</c:v>
                </c:pt>
              </c:numCache>
            </c:numRef>
          </c:yVal>
        </c:ser>
        <c:ser>
          <c:idx val="1"/>
          <c:order val="1"/>
          <c:tx>
            <c:v>Enevoloppe linéaire</c:v>
          </c:tx>
          <c:marker>
            <c:symbol val="none"/>
          </c:marker>
          <c:dLbls>
            <c:spPr>
              <a:noFill/>
            </c:spPr>
            <c:dLblPos val="b"/>
            <c:showCatName val="1"/>
            <c:separator>, </c:separator>
          </c:dLbls>
          <c:xVal>
            <c:numRef>
              <c:f>Calcul!$F$17:$F$19</c:f>
              <c:numCache>
                <c:formatCode>General</c:formatCode>
                <c:ptCount val="3"/>
                <c:pt idx="0">
                  <c:v>0</c:v>
                </c:pt>
                <c:pt idx="1">
                  <c:v>32.21</c:v>
                </c:pt>
                <c:pt idx="2">
                  <c:v>144.03</c:v>
                </c:pt>
              </c:numCache>
            </c:numRef>
          </c:xVal>
          <c:yVal>
            <c:numRef>
              <c:f>Calcul!$G$17:$G$19</c:f>
              <c:numCache>
                <c:formatCode>General</c:formatCode>
                <c:ptCount val="3"/>
                <c:pt idx="0">
                  <c:v>15.3</c:v>
                </c:pt>
                <c:pt idx="1">
                  <c:v>15.3</c:v>
                </c:pt>
                <c:pt idx="2">
                  <c:v>0</c:v>
                </c:pt>
              </c:numCache>
            </c:numRef>
          </c:yVal>
        </c:ser>
        <c:axId val="81980800"/>
        <c:axId val="84850176"/>
      </c:scatterChart>
      <c:valAx>
        <c:axId val="81980800"/>
        <c:scaling>
          <c:orientation val="maxMin"/>
        </c:scaling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 (KN,m)</a:t>
                </a:r>
              </a:p>
            </c:rich>
          </c:tx>
        </c:title>
        <c:numFmt formatCode="General" sourceLinked="1"/>
        <c:tickLblPos val="nextTo"/>
        <c:crossAx val="84850176"/>
        <c:crosses val="autoZero"/>
        <c:crossBetween val="midCat"/>
      </c:valAx>
      <c:valAx>
        <c:axId val="84850176"/>
        <c:scaling>
          <c:orientation val="minMax"/>
        </c:scaling>
        <c:axPos val="r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/>
                  <a:t>Hw (m)</a:t>
                </a:r>
              </a:p>
            </c:rich>
          </c:tx>
        </c:title>
        <c:numFmt formatCode="General" sourceLinked="1"/>
        <c:tickLblPos val="nextTo"/>
        <c:crossAx val="81980800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1.4 x Vu</c:v>
          </c:tx>
          <c:xVal>
            <c:numRef>
              <c:f>Calcul!$G$42:$G$62</c:f>
              <c:numCache>
                <c:formatCode>0.00</c:formatCode>
                <c:ptCount val="21"/>
                <c:pt idx="0">
                  <c:v>-157.5</c:v>
                </c:pt>
                <c:pt idx="1">
                  <c:v>-71.778000000000006</c:v>
                </c:pt>
                <c:pt idx="2">
                  <c:v>-63.895999999999994</c:v>
                </c:pt>
                <c:pt idx="3">
                  <c:v>-55.061999999999998</c:v>
                </c:pt>
                <c:pt idx="4">
                  <c:v>-58.365999999999993</c:v>
                </c:pt>
                <c:pt idx="5">
                  <c:v>-58.884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xVal>
          <c:yVal>
            <c:numRef>
              <c:f>Calcul!$F$42:$F$62</c:f>
              <c:numCache>
                <c:formatCode>0.00</c:formatCode>
                <c:ptCount val="21"/>
                <c:pt idx="0">
                  <c:v>0</c:v>
                </c:pt>
                <c:pt idx="1">
                  <c:v>3.06</c:v>
                </c:pt>
                <c:pt idx="2">
                  <c:v>6.12</c:v>
                </c:pt>
                <c:pt idx="3">
                  <c:v>9.18</c:v>
                </c:pt>
                <c:pt idx="4">
                  <c:v>12.24</c:v>
                </c:pt>
                <c:pt idx="5">
                  <c:v>15.3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yVal>
        </c:ser>
        <c:ser>
          <c:idx val="1"/>
          <c:order val="1"/>
          <c:tx>
            <c:v>Diagramme issue de l'analyse</c:v>
          </c:tx>
          <c:marker>
            <c:symbol val="star"/>
            <c:size val="7"/>
            <c:spPr>
              <a:ln w="19050">
                <a:solidFill>
                  <a:schemeClr val="tx2"/>
                </a:solidFill>
              </a:ln>
            </c:spPr>
          </c:marker>
          <c:xVal>
            <c:numRef>
              <c:f>Calcul!$D$42:$D$67</c:f>
              <c:numCache>
                <c:formatCode>0.00</c:formatCode>
                <c:ptCount val="26"/>
                <c:pt idx="0">
                  <c:v>-112.5</c:v>
                </c:pt>
                <c:pt idx="1">
                  <c:v>-51.27</c:v>
                </c:pt>
                <c:pt idx="2">
                  <c:v>-45.64</c:v>
                </c:pt>
                <c:pt idx="3">
                  <c:v>-39.33</c:v>
                </c:pt>
                <c:pt idx="4">
                  <c:v>-41.69</c:v>
                </c:pt>
                <c:pt idx="5">
                  <c:v>-42.06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xVal>
          <c:yVal>
            <c:numRef>
              <c:f>Calcul!$C$42:$C$67</c:f>
              <c:numCache>
                <c:formatCode>0.00</c:formatCode>
                <c:ptCount val="26"/>
                <c:pt idx="0">
                  <c:v>0</c:v>
                </c:pt>
                <c:pt idx="1">
                  <c:v>3.06</c:v>
                </c:pt>
                <c:pt idx="2">
                  <c:v>6.12</c:v>
                </c:pt>
                <c:pt idx="3">
                  <c:v>9.18</c:v>
                </c:pt>
                <c:pt idx="4">
                  <c:v>12.24</c:v>
                </c:pt>
                <c:pt idx="5">
                  <c:v>15.3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yVal>
        </c:ser>
        <c:ser>
          <c:idx val="2"/>
          <c:order val="2"/>
          <c:tx>
            <c:v>Diagramme amplifié</c:v>
          </c:tx>
          <c:marker>
            <c:symbol val="star"/>
            <c:size val="8"/>
            <c:spPr>
              <a:ln w="15875">
                <a:solidFill>
                  <a:srgbClr val="00B050"/>
                </a:solidFill>
              </a:ln>
            </c:spPr>
          </c:marker>
          <c:xVal>
            <c:numRef>
              <c:f>Calcul!$M$42:$M$67</c:f>
              <c:numCache>
                <c:formatCode>0.00</c:formatCode>
                <c:ptCount val="26"/>
                <c:pt idx="0">
                  <c:v>-157.5</c:v>
                </c:pt>
                <c:pt idx="1">
                  <c:v>-71.778000000000006</c:v>
                </c:pt>
                <c:pt idx="2">
                  <c:v>-66.523333333333341</c:v>
                </c:pt>
                <c:pt idx="3">
                  <c:v>-66.523333333333341</c:v>
                </c:pt>
                <c:pt idx="4">
                  <c:v>-66.523333333333341</c:v>
                </c:pt>
                <c:pt idx="5">
                  <c:v>-78.75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xVal>
          <c:yVal>
            <c:numRef>
              <c:f>Calcul!$L$42:$L$67</c:f>
              <c:numCache>
                <c:formatCode>0.00</c:formatCode>
                <c:ptCount val="26"/>
                <c:pt idx="0">
                  <c:v>0</c:v>
                </c:pt>
                <c:pt idx="1">
                  <c:v>3.06</c:v>
                </c:pt>
                <c:pt idx="2">
                  <c:v>5.1000000000000005</c:v>
                </c:pt>
                <c:pt idx="3">
                  <c:v>5.1000000000000005</c:v>
                </c:pt>
                <c:pt idx="4">
                  <c:v>5.1000000000000005</c:v>
                </c:pt>
                <c:pt idx="5">
                  <c:v>15.3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yVal>
        </c:ser>
        <c:axId val="84867328"/>
        <c:axId val="89629440"/>
      </c:scatterChart>
      <c:valAx>
        <c:axId val="84867328"/>
        <c:scaling>
          <c:orientation val="minMax"/>
        </c:scaling>
        <c:axPos val="b"/>
        <c:min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fr-FR" sz="1050" b="1" i="0" baseline="0"/>
                  <a:t>T (KN)</a:t>
                </a:r>
              </a:p>
            </c:rich>
          </c:tx>
        </c:title>
        <c:numFmt formatCode="0.00" sourceLinked="1"/>
        <c:tickLblPos val="nextTo"/>
        <c:crossAx val="89629440"/>
        <c:crosses val="autoZero"/>
        <c:crossBetween val="midCat"/>
      </c:valAx>
      <c:valAx>
        <c:axId val="89629440"/>
        <c:scaling>
          <c:orientation val="minMax"/>
        </c:scaling>
        <c:axPos val="l"/>
        <c:minorGridlines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fr-FR" sz="1050" b="1" i="0" baseline="0"/>
                  <a:t>Hw  (m)</a:t>
                </a:r>
              </a:p>
            </c:rich>
          </c:tx>
        </c:title>
        <c:numFmt formatCode="0.00" sourceLinked="1"/>
        <c:minorTickMark val="in"/>
        <c:tickLblPos val="high"/>
        <c:crossAx val="84867328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33"/>
  <c:chart>
    <c:plotArea>
      <c:layout/>
      <c:areaChart>
        <c:grouping val="standard"/>
        <c:ser>
          <c:idx val="0"/>
          <c:order val="0"/>
          <c:tx>
            <c:strRef>
              <c:f>Calcul!$O$106</c:f>
              <c:strCache>
                <c:ptCount val="1"/>
                <c:pt idx="0">
                  <c:v>σ</c:v>
                </c:pt>
              </c:strCache>
            </c:strRef>
          </c:tx>
          <c:spPr>
            <a:gradFill>
              <a:gsLst>
                <a:gs pos="0">
                  <a:srgbClr val="FFF200"/>
                </a:gs>
                <a:gs pos="45000">
                  <a:srgbClr val="FF7A00"/>
                </a:gs>
                <a:gs pos="70000">
                  <a:srgbClr val="FF0300"/>
                </a:gs>
                <a:gs pos="100000">
                  <a:srgbClr val="4D0808"/>
                </a:gs>
              </a:gsLst>
              <a:lin ang="5400000" scaled="0"/>
            </a:gradFill>
          </c:spPr>
          <c:dLbls>
            <c:dLbl>
              <c:idx val="0"/>
              <c:layout>
                <c:manualLayout>
                  <c:x val="2.0997375328084256E-2"/>
                  <c:y val="1.8181818181818566E-2"/>
                </c:manualLayout>
              </c:layout>
              <c:showVal val="1"/>
              <c:separator>. </c:separator>
            </c:dLbl>
            <c:dLbl>
              <c:idx val="1"/>
              <c:layout>
                <c:manualLayout>
                  <c:x val="-2.7996500437445351E-2"/>
                  <c:y val="0"/>
                </c:manualLayout>
              </c:layout>
              <c:showVal val="1"/>
              <c:separator>. </c:separator>
            </c:dLbl>
            <c:txPr>
              <a:bodyPr rot="-5400000" vert="horz" anchor="b" anchorCtr="1"/>
              <a:lstStyle/>
              <a:p>
                <a:pPr>
                  <a:defRPr b="1"/>
                </a:pPr>
                <a:endParaRPr lang="fr-FR"/>
              </a:p>
            </c:txPr>
            <c:showVal val="1"/>
            <c:separator>. </c:separator>
          </c:dLbls>
          <c:cat>
            <c:numRef>
              <c:f>Calcul!$P$105:$Q$105</c:f>
              <c:numCache>
                <c:formatCode>0.00</c:formatCode>
                <c:ptCount val="2"/>
                <c:pt idx="0">
                  <c:v>0</c:v>
                </c:pt>
                <c:pt idx="1">
                  <c:v>1.6</c:v>
                </c:pt>
              </c:numCache>
            </c:numRef>
          </c:cat>
          <c:val>
            <c:numRef>
              <c:f>Calcul!$P$106:$Q$106</c:f>
              <c:numCache>
                <c:formatCode>0.00</c:formatCode>
                <c:ptCount val="2"/>
                <c:pt idx="0">
                  <c:v>-3.56</c:v>
                </c:pt>
                <c:pt idx="1">
                  <c:v>-0.19</c:v>
                </c:pt>
              </c:numCache>
            </c:numRef>
          </c:val>
        </c:ser>
        <c:ser>
          <c:idx val="1"/>
          <c:order val="1"/>
          <c:tx>
            <c:v>LT</c:v>
          </c:tx>
          <c:val>
            <c:numRef>
              <c:f>Calcul!$M$115</c:f>
              <c:numCache>
                <c:formatCode>General</c:formatCode>
                <c:ptCount val="1"/>
              </c:numCache>
            </c:numRef>
          </c:val>
        </c:ser>
        <c:dropLines>
          <c:spPr>
            <a:ln w="15875" cap="flat" cmpd="sng">
              <a:gradFill flip="none" rotWithShape="1"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5400000" scaled="1"/>
                <a:tileRect/>
              </a:gradFill>
              <a:round/>
              <a:headEnd type="none"/>
            </a:ln>
          </c:spPr>
        </c:dropLines>
        <c:axId val="90106112"/>
        <c:axId val="92217728"/>
      </c:areaChart>
      <c:dateAx>
        <c:axId val="90106112"/>
        <c:scaling>
          <c:orientation val="minMax"/>
        </c:scaling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Lw (m)</a:t>
                </a:r>
              </a:p>
            </c:rich>
          </c:tx>
        </c:title>
        <c:numFmt formatCode="0.00" sourceLinked="1"/>
        <c:minorTickMark val="in"/>
        <c:tickLblPos val="low"/>
        <c:txPr>
          <a:bodyPr rot="0" vert="horz" anchor="ctr" anchorCtr="0"/>
          <a:lstStyle/>
          <a:p>
            <a:pPr>
              <a:defRPr/>
            </a:pPr>
            <a:endParaRPr lang="fr-FR"/>
          </a:p>
        </c:txPr>
        <c:crossAx val="92217728"/>
        <c:crosses val="autoZero"/>
        <c:lblOffset val="100"/>
        <c:baseTimeUnit val="days"/>
      </c:dateAx>
      <c:valAx>
        <c:axId val="92217728"/>
        <c:scaling>
          <c:orientation val="minMax"/>
        </c:scaling>
        <c:axPos val="r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l-GR"/>
                  <a:t>σ</a:t>
                </a:r>
                <a:r>
                  <a:rPr lang="fr-FR"/>
                  <a:t> (MPa)</a:t>
                </a:r>
              </a:p>
            </c:rich>
          </c:tx>
        </c:title>
        <c:numFmt formatCode="0.00" sourceLinked="1"/>
        <c:tickLblPos val="nextTo"/>
        <c:crossAx val="90106112"/>
        <c:crosses val="max"/>
        <c:crossBetween val="between"/>
      </c:valAx>
    </c:plotArea>
    <c:plotVisOnly val="1"/>
  </c:chart>
  <c:printSettings>
    <c:headerFooter/>
    <c:pageMargins b="0.75000000000001221" l="0.70000000000000062" r="0.70000000000000062" t="0.7500000000000122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4"/>
  <c:chart>
    <c:plotArea>
      <c:layout>
        <c:manualLayout>
          <c:xMode val="edge"/>
          <c:yMode val="edge"/>
          <c:x val="0.20440473326309241"/>
          <c:y val="4.5822756630623192E-2"/>
          <c:w val="0.73256528885090089"/>
          <c:h val="0.87228410833749292"/>
        </c:manualLayout>
      </c:layout>
      <c:scatterChart>
        <c:scatterStyle val="lineMarker"/>
        <c:ser>
          <c:idx val="0"/>
          <c:order val="0"/>
          <c:marker>
            <c:symbol val="diamond"/>
            <c:size val="3"/>
          </c:marker>
          <c:xVal>
            <c:numRef>
              <c:f>'CALCUL Mrd'!$Q$6:$Q$85</c:f>
              <c:numCache>
                <c:formatCode>0.00</c:formatCode>
                <c:ptCount val="80"/>
                <c:pt idx="0">
                  <c:v>11.689583333333363</c:v>
                </c:pt>
                <c:pt idx="1">
                  <c:v>11.689583333333363</c:v>
                </c:pt>
                <c:pt idx="2">
                  <c:v>11.689583333333363</c:v>
                </c:pt>
                <c:pt idx="3">
                  <c:v>11.689583333333363</c:v>
                </c:pt>
                <c:pt idx="4">
                  <c:v>11.689583333333363</c:v>
                </c:pt>
                <c:pt idx="5">
                  <c:v>11.689583333333363</c:v>
                </c:pt>
                <c:pt idx="6">
                  <c:v>11.689583333333363</c:v>
                </c:pt>
                <c:pt idx="7">
                  <c:v>11.689583333333363</c:v>
                </c:pt>
                <c:pt idx="8">
                  <c:v>11.689583333333363</c:v>
                </c:pt>
                <c:pt idx="9">
                  <c:v>11.689583333333363</c:v>
                </c:pt>
                <c:pt idx="10">
                  <c:v>39.893022486772537</c:v>
                </c:pt>
                <c:pt idx="11">
                  <c:v>144.47515331890338</c:v>
                </c:pt>
                <c:pt idx="12">
                  <c:v>308.30239901944208</c:v>
                </c:pt>
                <c:pt idx="13">
                  <c:v>357.44468909944942</c:v>
                </c:pt>
                <c:pt idx="14">
                  <c:v>412.31317902143684</c:v>
                </c:pt>
                <c:pt idx="15">
                  <c:v>466.82271560846578</c:v>
                </c:pt>
                <c:pt idx="16">
                  <c:v>520.98285296574784</c:v>
                </c:pt>
                <c:pt idx="17">
                  <c:v>628.2952010582012</c:v>
                </c:pt>
                <c:pt idx="18">
                  <c:v>681.4686416494136</c:v>
                </c:pt>
                <c:pt idx="19">
                  <c:v>734.33519082504813</c:v>
                </c:pt>
                <c:pt idx="20">
                  <c:v>786.90666887125246</c:v>
                </c:pt>
                <c:pt idx="21">
                  <c:v>839.1954273229893</c:v>
                </c:pt>
                <c:pt idx="22">
                  <c:v>891.21437914862929</c:v>
                </c:pt>
                <c:pt idx="23">
                  <c:v>942.97703101623824</c:v>
                </c:pt>
                <c:pt idx="24">
                  <c:v>994.49751781100076</c:v>
                </c:pt>
                <c:pt idx="25">
                  <c:v>1045.7906395891691</c:v>
                </c:pt>
                <c:pt idx="26">
                  <c:v>1096.8719011715802</c:v>
                </c:pt>
                <c:pt idx="27">
                  <c:v>1147.7575545993502</c:v>
                </c:pt>
                <c:pt idx="28">
                  <c:v>1198.2474166666668</c:v>
                </c:pt>
                <c:pt idx="29">
                  <c:v>1228.0096666666668</c:v>
                </c:pt>
                <c:pt idx="30">
                  <c:v>1257.1104166666671</c:v>
                </c:pt>
                <c:pt idx="31">
                  <c:v>1415.3400091666667</c:v>
                </c:pt>
                <c:pt idx="32">
                  <c:v>1511.7354166666671</c:v>
                </c:pt>
                <c:pt idx="33">
                  <c:v>1700.2104166666675</c:v>
                </c:pt>
                <c:pt idx="34">
                  <c:v>1822.5354166666671</c:v>
                </c:pt>
                <c:pt idx="35">
                  <c:v>1858.8916666666673</c:v>
                </c:pt>
                <c:pt idx="36">
                  <c:v>1878.710416666667</c:v>
                </c:pt>
                <c:pt idx="37">
                  <c:v>1798.5979166666673</c:v>
                </c:pt>
                <c:pt idx="38">
                  <c:v>1634.8010416666671</c:v>
                </c:pt>
                <c:pt idx="39">
                  <c:v>1424.3368055555557</c:v>
                </c:pt>
                <c:pt idx="40">
                  <c:v>1299.6817982456141</c:v>
                </c:pt>
                <c:pt idx="41">
                  <c:v>1161.3604166666664</c:v>
                </c:pt>
                <c:pt idx="42">
                  <c:v>1120.332735154381</c:v>
                </c:pt>
                <c:pt idx="43">
                  <c:v>1097.829675841019</c:v>
                </c:pt>
                <c:pt idx="44">
                  <c:v>1076.3798627224569</c:v>
                </c:pt>
                <c:pt idx="45">
                  <c:v>1055.8966203538819</c:v>
                </c:pt>
                <c:pt idx="46">
                  <c:v>1045.9933050712557</c:v>
                </c:pt>
                <c:pt idx="47">
                  <c:v>1041.1223491692808</c:v>
                </c:pt>
                <c:pt idx="48">
                  <c:v>1161.3604166666664</c:v>
                </c:pt>
                <c:pt idx="49">
                  <c:v>1036.3038065936191</c:v>
                </c:pt>
                <c:pt idx="50">
                  <c:v>1026.8199806993343</c:v>
                </c:pt>
                <c:pt idx="51">
                  <c:v>1017.5341515559446</c:v>
                </c:pt>
                <c:pt idx="52">
                  <c:v>1008.4390758028696</c:v>
                </c:pt>
                <c:pt idx="53">
                  <c:v>999.52791000785021</c:v>
                </c:pt>
                <c:pt idx="54">
                  <c:v>990.79418112829114</c:v>
                </c:pt>
                <c:pt idx="55">
                  <c:v>949.58326990642013</c:v>
                </c:pt>
                <c:pt idx="56">
                  <c:v>877.55447778340999</c:v>
                </c:pt>
                <c:pt idx="57">
                  <c:v>864.55034875442561</c:v>
                </c:pt>
                <c:pt idx="58">
                  <c:v>861.3641091407402</c:v>
                </c:pt>
                <c:pt idx="59">
                  <c:v>858.20310104868122</c:v>
                </c:pt>
                <c:pt idx="60">
                  <c:v>855.0669934831493</c:v>
                </c:pt>
                <c:pt idx="61">
                  <c:v>851.95546188815695</c:v>
                </c:pt>
                <c:pt idx="62">
                  <c:v>839.74882004980225</c:v>
                </c:pt>
                <c:pt idx="63">
                  <c:v>827.91099201908855</c:v>
                </c:pt>
                <c:pt idx="64">
                  <c:v>816.42395641871462</c:v>
                </c:pt>
                <c:pt idx="65">
                  <c:v>763.70269128710436</c:v>
                </c:pt>
                <c:pt idx="66">
                  <c:v>754.00558905058563</c:v>
                </c:pt>
                <c:pt idx="67">
                  <c:v>744.56293960686628</c:v>
                </c:pt>
                <c:pt idx="68">
                  <c:v>735.36421396427897</c:v>
                </c:pt>
                <c:pt idx="69">
                  <c:v>726.39950023207166</c:v>
                </c:pt>
                <c:pt idx="70">
                  <c:v>717.65945568221537</c:v>
                </c:pt>
                <c:pt idx="71">
                  <c:v>677.03699607848705</c:v>
                </c:pt>
                <c:pt idx="72">
                  <c:v>640.89170574625177</c:v>
                </c:pt>
                <c:pt idx="73">
                  <c:v>608.496832107827</c:v>
                </c:pt>
                <c:pt idx="74">
                  <c:v>579.2808578093701</c:v>
                </c:pt>
                <c:pt idx="75">
                  <c:v>392.13234301802646</c:v>
                </c:pt>
                <c:pt idx="76">
                  <c:v>296.67154322896414</c:v>
                </c:pt>
                <c:pt idx="77">
                  <c:v>120.70175453268916</c:v>
                </c:pt>
                <c:pt idx="78">
                  <c:v>12.201494787083544</c:v>
                </c:pt>
                <c:pt idx="79">
                  <c:v>1.2214962921900385</c:v>
                </c:pt>
              </c:numCache>
            </c:numRef>
          </c:xVal>
          <c:yVal>
            <c:numRef>
              <c:f>'CALCUL Mrd'!$P$6:$P$85</c:f>
              <c:numCache>
                <c:formatCode>0.00</c:formatCode>
                <c:ptCount val="80"/>
                <c:pt idx="0">
                  <c:v>-708.91666666666674</c:v>
                </c:pt>
                <c:pt idx="1">
                  <c:v>-708.91666666666674</c:v>
                </c:pt>
                <c:pt idx="2">
                  <c:v>-708.91666666666674</c:v>
                </c:pt>
                <c:pt idx="3">
                  <c:v>-708.91666666666674</c:v>
                </c:pt>
                <c:pt idx="4">
                  <c:v>-708.91666666666674</c:v>
                </c:pt>
                <c:pt idx="5">
                  <c:v>-708.91666666666674</c:v>
                </c:pt>
                <c:pt idx="6">
                  <c:v>-708.91666666666674</c:v>
                </c:pt>
                <c:pt idx="7">
                  <c:v>-708.91666666666674</c:v>
                </c:pt>
                <c:pt idx="8">
                  <c:v>-708.91666666666674</c:v>
                </c:pt>
                <c:pt idx="9">
                  <c:v>-708.91666666666674</c:v>
                </c:pt>
                <c:pt idx="10">
                  <c:v>-672.52513227513236</c:v>
                </c:pt>
                <c:pt idx="11">
                  <c:v>-537.58044733044744</c:v>
                </c:pt>
                <c:pt idx="12">
                  <c:v>-327.54446310394593</c:v>
                </c:pt>
                <c:pt idx="13">
                  <c:v>-264.46104632329121</c:v>
                </c:pt>
                <c:pt idx="14">
                  <c:v>-193.22267223040421</c:v>
                </c:pt>
                <c:pt idx="15">
                  <c:v>-121.59391534391531</c:v>
                </c:pt>
                <c:pt idx="16">
                  <c:v>-49.562447786131891</c:v>
                </c:pt>
                <c:pt idx="17">
                  <c:v>95.760582010582127</c:v>
                </c:pt>
                <c:pt idx="18">
                  <c:v>169.0795376121464</c:v>
                </c:pt>
                <c:pt idx="19">
                  <c:v>242.85605267748127</c:v>
                </c:pt>
                <c:pt idx="20">
                  <c:v>317.10537918871279</c:v>
                </c:pt>
                <c:pt idx="21">
                  <c:v>391.84345461030875</c:v>
                </c:pt>
                <c:pt idx="22">
                  <c:v>467.08694083694098</c:v>
                </c:pt>
                <c:pt idx="23">
                  <c:v>542.85326582740413</c:v>
                </c:pt>
                <c:pt idx="24">
                  <c:v>619.16066814322664</c:v>
                </c:pt>
                <c:pt idx="25">
                  <c:v>696.02824463118588</c:v>
                </c:pt>
                <c:pt idx="26">
                  <c:v>773.47600151171616</c:v>
                </c:pt>
                <c:pt idx="27">
                  <c:v>851.52490916045156</c:v>
                </c:pt>
                <c:pt idx="28">
                  <c:v>929.91666666666674</c:v>
                </c:pt>
                <c:pt idx="29">
                  <c:v>982.41666666666674</c:v>
                </c:pt>
                <c:pt idx="30">
                  <c:v>1034.9166666666672</c:v>
                </c:pt>
                <c:pt idx="31">
                  <c:v>1344.666666666667</c:v>
                </c:pt>
                <c:pt idx="32">
                  <c:v>1559.9166666666667</c:v>
                </c:pt>
                <c:pt idx="33">
                  <c:v>2084.9166666666674</c:v>
                </c:pt>
                <c:pt idx="34">
                  <c:v>2609.916666666667</c:v>
                </c:pt>
                <c:pt idx="35">
                  <c:v>2872.4166666666674</c:v>
                </c:pt>
                <c:pt idx="36">
                  <c:v>3134.916666666667</c:v>
                </c:pt>
                <c:pt idx="37">
                  <c:v>3750.4166666666674</c:v>
                </c:pt>
                <c:pt idx="38">
                  <c:v>4388.5416666666688</c:v>
                </c:pt>
                <c:pt idx="39">
                  <c:v>5001.5277777777783</c:v>
                </c:pt>
                <c:pt idx="40">
                  <c:v>5301.0745614035104</c:v>
                </c:pt>
                <c:pt idx="41">
                  <c:v>5596.9166666666679</c:v>
                </c:pt>
                <c:pt idx="42">
                  <c:v>5699.7836221604903</c:v>
                </c:pt>
                <c:pt idx="43">
                  <c:v>5738.3968280680692</c:v>
                </c:pt>
                <c:pt idx="44">
                  <c:v>5775.0989411588571</c:v>
                </c:pt>
                <c:pt idx="45">
                  <c:v>5810.0428675935027</c:v>
                </c:pt>
                <c:pt idx="46">
                  <c:v>5826.8984850980705</c:v>
                </c:pt>
                <c:pt idx="47">
                  <c:v>5835.1791424183539</c:v>
                </c:pt>
                <c:pt idx="48">
                  <c:v>5596.9166666666679</c:v>
                </c:pt>
                <c:pt idx="49">
                  <c:v>5843.3641931249185</c:v>
                </c:pt>
                <c:pt idx="50">
                  <c:v>5859.4546501952482</c:v>
                </c:pt>
                <c:pt idx="51">
                  <c:v>5875.1837244349108</c:v>
                </c:pt>
                <c:pt idx="52">
                  <c:v>5890.5645498087451</c:v>
                </c:pt>
                <c:pt idx="53">
                  <c:v>5905.6095773946654</c:v>
                </c:pt>
                <c:pt idx="54">
                  <c:v>5920.3306222156252</c:v>
                </c:pt>
                <c:pt idx="55">
                  <c:v>5989.4502168179552</c:v>
                </c:pt>
                <c:pt idx="56">
                  <c:v>6108.7725118531744</c:v>
                </c:pt>
                <c:pt idx="57">
                  <c:v>6130.0979183535219</c:v>
                </c:pt>
                <c:pt idx="58">
                  <c:v>6135.312436887888</c:v>
                </c:pt>
                <c:pt idx="59">
                  <c:v>6140.481512512436</c:v>
                </c:pt>
                <c:pt idx="60">
                  <c:v>6145.6057684970665</c:v>
                </c:pt>
                <c:pt idx="61">
                  <c:v>6150.6858161109094</c:v>
                </c:pt>
                <c:pt idx="62">
                  <c:v>6170.5757449361608</c:v>
                </c:pt>
                <c:pt idx="63">
                  <c:v>6189.8043193881522</c:v>
                </c:pt>
                <c:pt idx="64">
                  <c:v>6208.4055076755885</c:v>
                </c:pt>
                <c:pt idx="65">
                  <c:v>6293.033097001764</c:v>
                </c:pt>
                <c:pt idx="66">
                  <c:v>6308.4628886275377</c:v>
                </c:pt>
                <c:pt idx="67">
                  <c:v>6323.446548353907</c:v>
                </c:pt>
                <c:pt idx="68">
                  <c:v>6338.0037887431281</c:v>
                </c:pt>
                <c:pt idx="69">
                  <c:v>6352.1531361060815</c:v>
                </c:pt>
                <c:pt idx="70">
                  <c:v>6365.9120216562078</c:v>
                </c:pt>
                <c:pt idx="71">
                  <c:v>6429.3927535357989</c:v>
                </c:pt>
                <c:pt idx="72">
                  <c:v>6485.222395194618</c:v>
                </c:pt>
                <c:pt idx="73">
                  <c:v>6534.7310378918291</c:v>
                </c:pt>
                <c:pt idx="74">
                  <c:v>6578.9516773612522</c:v>
                </c:pt>
                <c:pt idx="75">
                  <c:v>6852.6065081611787</c:v>
                </c:pt>
                <c:pt idx="76">
                  <c:v>6985.949903799904</c:v>
                </c:pt>
                <c:pt idx="77">
                  <c:v>7221.3677115959727</c:v>
                </c:pt>
                <c:pt idx="78">
                  <c:v>7360.2479960359678</c:v>
                </c:pt>
                <c:pt idx="79">
                  <c:v>7374.0506184715314</c:v>
                </c:pt>
              </c:numCache>
            </c:numRef>
          </c:yVal>
        </c:ser>
        <c:axId val="92246016"/>
        <c:axId val="92247936"/>
      </c:scatterChart>
      <c:valAx>
        <c:axId val="92246016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 (kN.m)</a:t>
                </a:r>
              </a:p>
            </c:rich>
          </c:tx>
        </c:title>
        <c:numFmt formatCode="General" sourceLinked="0"/>
        <c:tickLblPos val="nextTo"/>
        <c:crossAx val="92247936"/>
        <c:crosses val="autoZero"/>
        <c:crossBetween val="midCat"/>
      </c:valAx>
      <c:valAx>
        <c:axId val="9224793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 (kN)</a:t>
                </a:r>
              </a:p>
            </c:rich>
          </c:tx>
          <c:layout>
            <c:manualLayout>
              <c:xMode val="edge"/>
              <c:yMode val="edge"/>
              <c:x val="1.64260642608836E-2"/>
              <c:y val="0.45295433520737088"/>
            </c:manualLayout>
          </c:layout>
        </c:title>
        <c:numFmt formatCode="General" sourceLinked="0"/>
        <c:tickLblPos val="nextTo"/>
        <c:crossAx val="92246016"/>
        <c:crosses val="autoZero"/>
        <c:crossBetween val="midCat"/>
      </c:valAx>
    </c:plotArea>
    <c:plotVisOnly val="1"/>
  </c:chart>
  <c:printSettings>
    <c:headerFooter/>
    <c:pageMargins b="0.75000000000000977" l="0.70000000000000062" r="0.70000000000000062" t="0.750000000000009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12.png"/><Relationship Id="rId5" Type="http://schemas.openxmlformats.org/officeDocument/2006/relationships/image" Target="../media/image7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19.png"/><Relationship Id="rId4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161925</xdr:colOff>
      <xdr:row>1</xdr:row>
      <xdr:rowOff>19050</xdr:rowOff>
    </xdr:from>
    <xdr:to>
      <xdr:col>13</xdr:col>
      <xdr:colOff>608325</xdr:colOff>
      <xdr:row>2</xdr:row>
      <xdr:rowOff>198750</xdr:rowOff>
    </xdr:to>
    <xdr:pic>
      <xdr:nvPicPr>
        <xdr:cNvPr id="3" name="Picture 2" descr="Logo Morsli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72400" y="142875"/>
          <a:ext cx="446400" cy="4464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15</xdr:row>
      <xdr:rowOff>114300</xdr:rowOff>
    </xdr:from>
    <xdr:to>
      <xdr:col>13</xdr:col>
      <xdr:colOff>190501</xdr:colOff>
      <xdr:row>38</xdr:row>
      <xdr:rowOff>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contrast="10000"/>
        </a:blip>
        <a:srcRect/>
        <a:stretch>
          <a:fillRect/>
        </a:stretch>
      </xdr:blipFill>
      <xdr:spPr bwMode="auto">
        <a:xfrm>
          <a:off x="4467226" y="3362325"/>
          <a:ext cx="3333750" cy="470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114299</xdr:colOff>
      <xdr:row>4</xdr:row>
      <xdr:rowOff>38099</xdr:rowOff>
    </xdr:from>
    <xdr:to>
      <xdr:col>17</xdr:col>
      <xdr:colOff>581024</xdr:colOff>
      <xdr:row>20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276225</xdr:colOff>
      <xdr:row>4</xdr:row>
      <xdr:rowOff>19050</xdr:rowOff>
    </xdr:from>
    <xdr:to>
      <xdr:col>5</xdr:col>
      <xdr:colOff>1118316</xdr:colOff>
      <xdr:row>19</xdr:row>
      <xdr:rowOff>95250</xdr:rowOff>
    </xdr:to>
    <xdr:pic>
      <xdr:nvPicPr>
        <xdr:cNvPr id="3" name="Picture 2" descr="Enveloppe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4825" y="762000"/>
          <a:ext cx="3585291" cy="2962275"/>
        </a:xfrm>
        <a:prstGeom prst="rect">
          <a:avLst/>
        </a:prstGeom>
      </xdr:spPr>
    </xdr:pic>
    <xdr:clientData/>
  </xdr:twoCellAnchor>
  <xdr:twoCellAnchor editAs="oneCell">
    <xdr:from>
      <xdr:col>1</xdr:col>
      <xdr:colOff>67850</xdr:colOff>
      <xdr:row>25</xdr:row>
      <xdr:rowOff>104774</xdr:rowOff>
    </xdr:from>
    <xdr:to>
      <xdr:col>5</xdr:col>
      <xdr:colOff>1047750</xdr:colOff>
      <xdr:row>42</xdr:row>
      <xdr:rowOff>142874</xdr:rowOff>
    </xdr:to>
    <xdr:pic>
      <xdr:nvPicPr>
        <xdr:cNvPr id="7" name="Picture 6" descr="Enveloppe T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6450" y="4991099"/>
          <a:ext cx="3723100" cy="3438525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25</xdr:row>
      <xdr:rowOff>66675</xdr:rowOff>
    </xdr:from>
    <xdr:to>
      <xdr:col>17</xdr:col>
      <xdr:colOff>495300</xdr:colOff>
      <xdr:row>44</xdr:row>
      <xdr:rowOff>180976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451184</xdr:colOff>
      <xdr:row>21</xdr:row>
      <xdr:rowOff>40105</xdr:rowOff>
    </xdr:from>
    <xdr:to>
      <xdr:col>16</xdr:col>
      <xdr:colOff>897584</xdr:colOff>
      <xdr:row>22</xdr:row>
      <xdr:rowOff>215795</xdr:rowOff>
    </xdr:to>
    <xdr:pic>
      <xdr:nvPicPr>
        <xdr:cNvPr id="10" name="Picture 9" descr="Logo Morsli.png"/>
        <xdr:cNvPicPr>
          <a:picLocks noChangeAspect="1"/>
        </xdr:cNvPicPr>
      </xdr:nvPicPr>
      <xdr:blipFill>
        <a:blip xmlns:r="http://schemas.openxmlformats.org/officeDocument/2006/relationships" r:embed="rId5" cstate="print">
          <a:lum bright="-30000"/>
        </a:blip>
        <a:stretch>
          <a:fillRect/>
        </a:stretch>
      </xdr:blipFill>
      <xdr:spPr>
        <a:xfrm>
          <a:off x="11610473" y="4100763"/>
          <a:ext cx="446400" cy="4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473245</xdr:colOff>
      <xdr:row>1</xdr:row>
      <xdr:rowOff>22058</xdr:rowOff>
    </xdr:from>
    <xdr:to>
      <xdr:col>16</xdr:col>
      <xdr:colOff>919645</xdr:colOff>
      <xdr:row>2</xdr:row>
      <xdr:rowOff>197748</xdr:rowOff>
    </xdr:to>
    <xdr:pic>
      <xdr:nvPicPr>
        <xdr:cNvPr id="11" name="Picture 10" descr="Logo Morsli.png"/>
        <xdr:cNvPicPr>
          <a:picLocks noChangeAspect="1"/>
        </xdr:cNvPicPr>
      </xdr:nvPicPr>
      <xdr:blipFill>
        <a:blip xmlns:r="http://schemas.openxmlformats.org/officeDocument/2006/relationships" r:embed="rId5" cstate="print">
          <a:lum bright="-30000"/>
        </a:blip>
        <a:stretch>
          <a:fillRect/>
        </a:stretch>
      </xdr:blipFill>
      <xdr:spPr>
        <a:xfrm>
          <a:off x="11632534" y="112295"/>
          <a:ext cx="446400" cy="446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351389</xdr:colOff>
      <xdr:row>39</xdr:row>
      <xdr:rowOff>190488</xdr:rowOff>
    </xdr:from>
    <xdr:to>
      <xdr:col>12</xdr:col>
      <xdr:colOff>312293</xdr:colOff>
      <xdr:row>49</xdr:row>
      <xdr:rowOff>31934</xdr:rowOff>
    </xdr:to>
    <xdr:grpSp>
      <xdr:nvGrpSpPr>
        <xdr:cNvPr id="192" name="Group 191"/>
        <xdr:cNvGrpSpPr/>
      </xdr:nvGrpSpPr>
      <xdr:grpSpPr>
        <a:xfrm>
          <a:off x="5304389" y="9214172"/>
          <a:ext cx="3189378" cy="2087341"/>
          <a:chOff x="5965650" y="8341883"/>
          <a:chExt cx="3179853" cy="2097367"/>
        </a:xfrm>
      </xdr:grpSpPr>
      <xdr:grpSp>
        <xdr:nvGrpSpPr>
          <xdr:cNvPr id="139" name="Group 125"/>
          <xdr:cNvGrpSpPr/>
        </xdr:nvGrpSpPr>
        <xdr:grpSpPr>
          <a:xfrm>
            <a:off x="7459578" y="8367036"/>
            <a:ext cx="1685925" cy="2072214"/>
            <a:chOff x="5267325" y="7368033"/>
            <a:chExt cx="1685925" cy="2066925"/>
          </a:xfrm>
        </xdr:grpSpPr>
        <xdr:grpSp>
          <xdr:nvGrpSpPr>
            <xdr:cNvPr id="166" name="Group 118"/>
            <xdr:cNvGrpSpPr/>
          </xdr:nvGrpSpPr>
          <xdr:grpSpPr>
            <a:xfrm>
              <a:off x="5267325" y="7368033"/>
              <a:ext cx="1419225" cy="2023618"/>
              <a:chOff x="5248275" y="7529958"/>
              <a:chExt cx="1419225" cy="2023618"/>
            </a:xfrm>
          </xdr:grpSpPr>
          <xdr:grpSp>
            <xdr:nvGrpSpPr>
              <xdr:cNvPr id="177" name="Group 99"/>
              <xdr:cNvGrpSpPr/>
            </xdr:nvGrpSpPr>
            <xdr:grpSpPr>
              <a:xfrm>
                <a:off x="5248275" y="7529958"/>
                <a:ext cx="1343025" cy="2023618"/>
                <a:chOff x="5314950" y="8158608"/>
                <a:chExt cx="1343025" cy="2023618"/>
              </a:xfrm>
            </xdr:grpSpPr>
            <xdr:pic>
              <xdr:nvPicPr>
                <xdr:cNvPr id="181" name="Picture 180" descr="Raidaisseur.jpg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rcRect t="69088"/>
                <a:stretch>
                  <a:fillRect/>
                </a:stretch>
              </xdr:blipFill>
              <xdr:spPr>
                <a:xfrm>
                  <a:off x="5314950" y="8172450"/>
                  <a:ext cx="933450" cy="2009776"/>
                </a:xfrm>
                <a:prstGeom prst="rect">
                  <a:avLst/>
                </a:prstGeom>
              </xdr:spPr>
            </xdr:pic>
            <xdr:grpSp>
              <xdr:nvGrpSpPr>
                <xdr:cNvPr id="182" name="Group 98"/>
                <xdr:cNvGrpSpPr/>
              </xdr:nvGrpSpPr>
              <xdr:grpSpPr>
                <a:xfrm>
                  <a:off x="6305550" y="8158608"/>
                  <a:ext cx="352425" cy="1980000"/>
                  <a:chOff x="6305550" y="8158608"/>
                  <a:chExt cx="352425" cy="1980000"/>
                </a:xfrm>
              </xdr:grpSpPr>
              <xdr:cxnSp macro="">
                <xdr:nvCxnSpPr>
                  <xdr:cNvPr id="183" name="Straight Arrow Connector 182"/>
                  <xdr:cNvCxnSpPr/>
                </xdr:nvCxnSpPr>
                <xdr:spPr>
                  <a:xfrm rot="16200000">
                    <a:off x="5367331" y="9148608"/>
                    <a:ext cx="1980000" cy="0"/>
                  </a:xfrm>
                  <a:prstGeom prst="straightConnector1">
                    <a:avLst/>
                  </a:prstGeom>
                  <a:ln>
                    <a:solidFill>
                      <a:srgbClr val="0070C0"/>
                    </a:solidFill>
                    <a:headEnd type="stealth"/>
                    <a:tailEnd type="stealth"/>
                  </a:ln>
                </xdr:spPr>
                <xdr:style>
                  <a:lnRef idx="1">
                    <a:schemeClr val="accent3"/>
                  </a:lnRef>
                  <a:fillRef idx="0">
                    <a:schemeClr val="accent3"/>
                  </a:fillRef>
                  <a:effectRef idx="0">
                    <a:schemeClr val="accent3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84" name="TextBox 183"/>
                  <xdr:cNvSpPr txBox="1"/>
                </xdr:nvSpPr>
                <xdr:spPr>
                  <a:xfrm>
                    <a:off x="6305550" y="8905875"/>
                    <a:ext cx="352425" cy="266700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overflow" wrap="square" lIns="0" tIns="0" rIns="0" bIns="0" rtlCol="0" anchor="ctr">
                    <a:noAutofit/>
                  </a:bodyPr>
                  <a:lstStyle/>
                  <a:p>
                    <a:pPr marL="0" indent="0" algn="ctr"/>
                    <a:r>
                      <a:rPr lang="fr-FR" sz="1200" b="1">
                        <a:solidFill>
                          <a:srgbClr val="0070C0"/>
                        </a:solidFill>
                        <a:latin typeface="+mn-lt"/>
                        <a:ea typeface="+mn-ea"/>
                        <a:cs typeface="Arial" pitchFamily="34" charset="0"/>
                      </a:rPr>
                      <a:t>h</a:t>
                    </a:r>
                    <a:r>
                      <a:rPr lang="fr-FR" sz="700" b="1">
                        <a:solidFill>
                          <a:srgbClr val="0070C0"/>
                        </a:solidFill>
                        <a:latin typeface="+mn-lt"/>
                        <a:ea typeface="+mn-ea"/>
                        <a:cs typeface="Arial" pitchFamily="34" charset="0"/>
                      </a:rPr>
                      <a:t>cr</a:t>
                    </a:r>
                    <a:endParaRPr lang="fr-FR" sz="1200" b="1">
                      <a:solidFill>
                        <a:srgbClr val="0070C0"/>
                      </a:solidFill>
                      <a:latin typeface="+mn-lt"/>
                      <a:ea typeface="+mn-ea"/>
                      <a:cs typeface="Arial" pitchFamily="34" charset="0"/>
                    </a:endParaRPr>
                  </a:p>
                </xdr:txBody>
              </xdr:sp>
            </xdr:grpSp>
          </xdr:grpSp>
          <xdr:grpSp>
            <xdr:nvGrpSpPr>
              <xdr:cNvPr id="178" name="Group 117"/>
              <xdr:cNvGrpSpPr/>
            </xdr:nvGrpSpPr>
            <xdr:grpSpPr>
              <a:xfrm>
                <a:off x="6315075" y="8939658"/>
                <a:ext cx="352425" cy="266700"/>
                <a:chOff x="6315075" y="8939658"/>
                <a:chExt cx="352425" cy="266700"/>
              </a:xfrm>
            </xdr:grpSpPr>
            <xdr:cxnSp macro="">
              <xdr:nvCxnSpPr>
                <xdr:cNvPr id="179" name="Straight Arrow Connector 178"/>
                <xdr:cNvCxnSpPr/>
              </xdr:nvCxnSpPr>
              <xdr:spPr>
                <a:xfrm rot="10800000">
                  <a:off x="6371625" y="8980233"/>
                  <a:ext cx="0" cy="216000"/>
                </a:xfrm>
                <a:prstGeom prst="straightConnector1">
                  <a:avLst/>
                </a:prstGeom>
                <a:ln>
                  <a:solidFill>
                    <a:srgbClr val="0070C0"/>
                  </a:solidFill>
                  <a:headEnd type="stealth"/>
                  <a:tailEnd type="stealth"/>
                </a:ln>
              </xdr:spPr>
              <xdr:style>
                <a:lnRef idx="1">
                  <a:schemeClr val="accent3"/>
                </a:lnRef>
                <a:fillRef idx="0">
                  <a:schemeClr val="accent3"/>
                </a:fillRef>
                <a:effectRef idx="0">
                  <a:schemeClr val="accent3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80" name="TextBox 179"/>
                <xdr:cNvSpPr txBox="1"/>
              </xdr:nvSpPr>
              <xdr:spPr>
                <a:xfrm>
                  <a:off x="6315075" y="8939658"/>
                  <a:ext cx="352425" cy="2667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overflow" wrap="square" lIns="0" tIns="0" rIns="0" bIns="0" rtlCol="0" anchor="ctr">
                  <a:noAutofit/>
                </a:bodyPr>
                <a:lstStyle/>
                <a:p>
                  <a:pPr marL="0" indent="0" algn="ctr"/>
                  <a:r>
                    <a:rPr lang="fr-FR" sz="1200" b="1">
                      <a:solidFill>
                        <a:srgbClr val="0070C0"/>
                      </a:solidFill>
                      <a:latin typeface="+mn-lt"/>
                      <a:ea typeface="+mn-ea"/>
                      <a:cs typeface="Arial" pitchFamily="34" charset="0"/>
                    </a:rPr>
                    <a:t>S</a:t>
                  </a:r>
                  <a:r>
                    <a:rPr lang="fr-FR" sz="800" b="1">
                      <a:solidFill>
                        <a:srgbClr val="0070C0"/>
                      </a:solidFill>
                      <a:latin typeface="+mn-lt"/>
                      <a:ea typeface="+mn-ea"/>
                      <a:cs typeface="Arial" pitchFamily="34" charset="0"/>
                    </a:rPr>
                    <a:t>t</a:t>
                  </a:r>
                  <a:endParaRPr lang="fr-FR" sz="1200" b="1">
                    <a:solidFill>
                      <a:srgbClr val="0070C0"/>
                    </a:solidFill>
                    <a:latin typeface="+mn-lt"/>
                    <a:ea typeface="+mn-ea"/>
                    <a:cs typeface="Arial" pitchFamily="34" charset="0"/>
                  </a:endParaRPr>
                </a:p>
              </xdr:txBody>
            </xdr:sp>
          </xdr:grpSp>
        </xdr:grpSp>
        <xdr:grpSp>
          <xdr:nvGrpSpPr>
            <xdr:cNvPr id="167" name="Group 116"/>
            <xdr:cNvGrpSpPr/>
          </xdr:nvGrpSpPr>
          <xdr:grpSpPr>
            <a:xfrm>
              <a:off x="6181724" y="7515224"/>
              <a:ext cx="771526" cy="1919734"/>
              <a:chOff x="6181724" y="7629524"/>
              <a:chExt cx="771526" cy="1919734"/>
            </a:xfrm>
          </xdr:grpSpPr>
          <xdr:grpSp>
            <xdr:nvGrpSpPr>
              <xdr:cNvPr id="168" name="Group 115"/>
              <xdr:cNvGrpSpPr/>
            </xdr:nvGrpSpPr>
            <xdr:grpSpPr>
              <a:xfrm>
                <a:off x="6181724" y="7629524"/>
                <a:ext cx="441525" cy="1800000"/>
                <a:chOff x="6181724" y="7638806"/>
                <a:chExt cx="441525" cy="1790887"/>
              </a:xfrm>
            </xdr:grpSpPr>
            <xdr:cxnSp macro="">
              <xdr:nvCxnSpPr>
                <xdr:cNvPr id="170" name="Straight Arrow Connector 169"/>
                <xdr:cNvCxnSpPr/>
              </xdr:nvCxnSpPr>
              <xdr:spPr>
                <a:xfrm flipH="1">
                  <a:off x="6181724" y="7952845"/>
                  <a:ext cx="432000" cy="0"/>
                </a:xfrm>
                <a:prstGeom prst="straightConnector1">
                  <a:avLst/>
                </a:prstGeom>
                <a:ln>
                  <a:solidFill>
                    <a:schemeClr val="bg1">
                      <a:lumMod val="50000"/>
                    </a:schemeClr>
                  </a:solidFill>
                  <a:tailEnd type="stealt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1" name="Straight Arrow Connector 170"/>
                <xdr:cNvCxnSpPr/>
              </xdr:nvCxnSpPr>
              <xdr:spPr>
                <a:xfrm flipH="1">
                  <a:off x="6181724" y="7638857"/>
                  <a:ext cx="432000" cy="0"/>
                </a:xfrm>
                <a:prstGeom prst="straightConnector1">
                  <a:avLst/>
                </a:prstGeom>
                <a:ln>
                  <a:solidFill>
                    <a:schemeClr val="bg1">
                      <a:lumMod val="50000"/>
                    </a:schemeClr>
                  </a:solidFill>
                  <a:tailEnd type="stealt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2" name="Straight Arrow Connector 171"/>
                <xdr:cNvCxnSpPr/>
              </xdr:nvCxnSpPr>
              <xdr:spPr>
                <a:xfrm flipH="1">
                  <a:off x="6191249" y="8238691"/>
                  <a:ext cx="432000" cy="0"/>
                </a:xfrm>
                <a:prstGeom prst="straightConnector1">
                  <a:avLst/>
                </a:prstGeom>
                <a:ln>
                  <a:solidFill>
                    <a:schemeClr val="bg1">
                      <a:lumMod val="50000"/>
                    </a:schemeClr>
                  </a:solidFill>
                  <a:tailEnd type="stealt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3" name="Straight Arrow Connector 172"/>
                <xdr:cNvCxnSpPr/>
              </xdr:nvCxnSpPr>
              <xdr:spPr>
                <a:xfrm flipH="1">
                  <a:off x="6181724" y="8524537"/>
                  <a:ext cx="432000" cy="0"/>
                </a:xfrm>
                <a:prstGeom prst="straightConnector1">
                  <a:avLst/>
                </a:prstGeom>
                <a:ln>
                  <a:solidFill>
                    <a:schemeClr val="bg1">
                      <a:lumMod val="50000"/>
                    </a:schemeClr>
                  </a:solidFill>
                  <a:tailEnd type="stealt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4" name="Straight Arrow Connector 173"/>
                <xdr:cNvCxnSpPr/>
              </xdr:nvCxnSpPr>
              <xdr:spPr>
                <a:xfrm flipH="1">
                  <a:off x="6181724" y="8791430"/>
                  <a:ext cx="432000" cy="0"/>
                </a:xfrm>
                <a:prstGeom prst="straightConnector1">
                  <a:avLst/>
                </a:prstGeom>
                <a:ln>
                  <a:solidFill>
                    <a:schemeClr val="bg1">
                      <a:lumMod val="50000"/>
                    </a:schemeClr>
                  </a:solidFill>
                  <a:tailEnd type="stealt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5" name="Straight Arrow Connector 174"/>
                <xdr:cNvCxnSpPr/>
              </xdr:nvCxnSpPr>
              <xdr:spPr>
                <a:xfrm flipH="1">
                  <a:off x="6181724" y="9267825"/>
                  <a:ext cx="432000" cy="0"/>
                </a:xfrm>
                <a:prstGeom prst="straightConnector1">
                  <a:avLst/>
                </a:prstGeom>
                <a:ln>
                  <a:solidFill>
                    <a:schemeClr val="bg1">
                      <a:lumMod val="50000"/>
                    </a:schemeClr>
                  </a:solidFill>
                  <a:tailEnd type="stealt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6" name="Straight Connector 175"/>
                <xdr:cNvCxnSpPr/>
              </xdr:nvCxnSpPr>
              <xdr:spPr>
                <a:xfrm>
                  <a:off x="6610350" y="7638806"/>
                  <a:ext cx="0" cy="1790887"/>
                </a:xfrm>
                <a:prstGeom prst="line">
                  <a:avLst/>
                </a:prstGeom>
                <a:ln>
                  <a:solidFill>
                    <a:schemeClr val="bg1">
                      <a:lumMod val="50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69" name="TextBox 168"/>
              <xdr:cNvSpPr txBox="1"/>
            </xdr:nvSpPr>
            <xdr:spPr>
              <a:xfrm>
                <a:off x="6600825" y="9282558"/>
                <a:ext cx="352425" cy="2667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overflow" wrap="square" lIns="0" tIns="0" rIns="0" bIns="0" rtlCol="0" anchor="ctr">
                <a:noAutofit/>
              </a:bodyPr>
              <a:lstStyle/>
              <a:p>
                <a:pPr marL="0" indent="0" algn="ctr"/>
                <a:r>
                  <a:rPr lang="fr-FR" sz="1200" b="1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Arial" pitchFamily="34" charset="0"/>
                  </a:rPr>
                  <a:t>N</a:t>
                </a:r>
                <a:r>
                  <a:rPr lang="fr-FR" sz="800" b="1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Arial" pitchFamily="34" charset="0"/>
                  </a:rPr>
                  <a:t>nbr</a:t>
                </a:r>
                <a:endParaRPr lang="fr-FR" sz="1200" b="1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Arial" pitchFamily="34" charset="0"/>
                </a:endParaRPr>
              </a:p>
            </xdr:txBody>
          </xdr:sp>
        </xdr:grpSp>
      </xdr:grpSp>
      <xdr:grpSp>
        <xdr:nvGrpSpPr>
          <xdr:cNvPr id="191" name="Group 190"/>
          <xdr:cNvGrpSpPr/>
        </xdr:nvGrpSpPr>
        <xdr:grpSpPr>
          <a:xfrm>
            <a:off x="5965650" y="8341883"/>
            <a:ext cx="1514472" cy="2028072"/>
            <a:chOff x="8973555" y="8061160"/>
            <a:chExt cx="1514472" cy="2028072"/>
          </a:xfrm>
        </xdr:grpSpPr>
        <xdr:grpSp>
          <xdr:nvGrpSpPr>
            <xdr:cNvPr id="140" name="Group 124"/>
            <xdr:cNvGrpSpPr/>
          </xdr:nvGrpSpPr>
          <xdr:grpSpPr>
            <a:xfrm>
              <a:off x="8973555" y="8061160"/>
              <a:ext cx="1514472" cy="1711503"/>
              <a:chOff x="5248278" y="5712841"/>
              <a:chExt cx="1514472" cy="1707134"/>
            </a:xfrm>
          </xdr:grpSpPr>
          <xdr:grpSp>
            <xdr:nvGrpSpPr>
              <xdr:cNvPr id="141" name="Group 110"/>
              <xdr:cNvGrpSpPr/>
            </xdr:nvGrpSpPr>
            <xdr:grpSpPr>
              <a:xfrm>
                <a:off x="5248278" y="5855716"/>
                <a:ext cx="1514472" cy="1564259"/>
                <a:chOff x="5229228" y="5855716"/>
                <a:chExt cx="1514472" cy="1564259"/>
              </a:xfrm>
            </xdr:grpSpPr>
            <xdr:grpSp>
              <xdr:nvGrpSpPr>
                <xdr:cNvPr id="148" name="Group 97"/>
                <xdr:cNvGrpSpPr/>
              </xdr:nvGrpSpPr>
              <xdr:grpSpPr>
                <a:xfrm>
                  <a:off x="5229228" y="6152508"/>
                  <a:ext cx="1514472" cy="1267467"/>
                  <a:chOff x="5305428" y="6962133"/>
                  <a:chExt cx="1514472" cy="1248417"/>
                </a:xfrm>
              </xdr:grpSpPr>
              <xdr:pic>
                <xdr:nvPicPr>
                  <xdr:cNvPr id="156" name="Picture 155" descr="poteau1.jpg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 cstate="print"/>
                  <a:srcRect l="61699" t="4348" r="962" b="3953"/>
                  <a:stretch>
                    <a:fillRect/>
                  </a:stretch>
                </xdr:blipFill>
                <xdr:spPr>
                  <a:xfrm>
                    <a:off x="5305428" y="6972299"/>
                    <a:ext cx="937472" cy="933449"/>
                  </a:xfrm>
                  <a:prstGeom prst="rect">
                    <a:avLst/>
                  </a:prstGeom>
                </xdr:spPr>
              </xdr:pic>
              <xdr:grpSp>
                <xdr:nvGrpSpPr>
                  <xdr:cNvPr id="157" name="Group 96"/>
                  <xdr:cNvGrpSpPr/>
                </xdr:nvGrpSpPr>
                <xdr:grpSpPr>
                  <a:xfrm>
                    <a:off x="5409031" y="7943850"/>
                    <a:ext cx="360000" cy="266700"/>
                    <a:chOff x="5409031" y="7943850"/>
                    <a:chExt cx="360000" cy="266700"/>
                  </a:xfrm>
                </xdr:grpSpPr>
                <xdr:cxnSp macro="">
                  <xdr:nvCxnSpPr>
                    <xdr:cNvPr id="164" name="Straight Arrow Connector 163"/>
                    <xdr:cNvCxnSpPr/>
                  </xdr:nvCxnSpPr>
                  <xdr:spPr>
                    <a:xfrm rot="10800000">
                      <a:off x="5409031" y="7993233"/>
                      <a:ext cx="360000" cy="0"/>
                    </a:xfrm>
                    <a:prstGeom prst="straightConnector1">
                      <a:avLst/>
                    </a:prstGeom>
                    <a:ln>
                      <a:solidFill>
                        <a:srgbClr val="0070C0"/>
                      </a:solidFill>
                      <a:headEnd type="stealth"/>
                      <a:tailEnd type="stealth"/>
                    </a:ln>
                  </xdr:spPr>
                  <xdr:style>
                    <a:lnRef idx="1">
                      <a:schemeClr val="accent3"/>
                    </a:lnRef>
                    <a:fillRef idx="0">
                      <a:schemeClr val="accent3"/>
                    </a:fillRef>
                    <a:effectRef idx="0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65" name="TextBox 164"/>
                    <xdr:cNvSpPr txBox="1"/>
                  </xdr:nvSpPr>
                  <xdr:spPr>
                    <a:xfrm>
                      <a:off x="5410200" y="7943850"/>
                      <a:ext cx="352425" cy="266700"/>
                    </a:xfrm>
                    <a:prstGeom prst="rect">
                      <a:avLst/>
                    </a:prstGeom>
                    <a:noFill/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overflow" wrap="square" lIns="0" tIns="0" rIns="0" bIns="0" rtlCol="0" anchor="ctr">
                      <a:noAutofit/>
                    </a:bodyPr>
                    <a:lstStyle/>
                    <a:p>
                      <a:pPr marL="0" indent="0" algn="ctr"/>
                      <a:r>
                        <a:rPr lang="fr-FR" sz="1200" b="1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Arial" pitchFamily="34" charset="0"/>
                        </a:rPr>
                        <a:t>b</a:t>
                      </a:r>
                      <a:r>
                        <a:rPr lang="fr-FR" sz="900" b="1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Arial" pitchFamily="34" charset="0"/>
                        </a:rPr>
                        <a:t>i</a:t>
                      </a:r>
                      <a:endParaRPr lang="fr-FR" sz="1200" b="1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Arial" pitchFamily="34" charset="0"/>
                      </a:endParaRPr>
                    </a:p>
                  </xdr:txBody>
                </xdr:sp>
              </xdr:grpSp>
              <xdr:grpSp>
                <xdr:nvGrpSpPr>
                  <xdr:cNvPr id="158" name="Group 95"/>
                  <xdr:cNvGrpSpPr/>
                </xdr:nvGrpSpPr>
                <xdr:grpSpPr>
                  <a:xfrm>
                    <a:off x="6286500" y="7048983"/>
                    <a:ext cx="352425" cy="756000"/>
                    <a:chOff x="6286500" y="7048983"/>
                    <a:chExt cx="352425" cy="756000"/>
                  </a:xfrm>
                </xdr:grpSpPr>
                <xdr:cxnSp macro="">
                  <xdr:nvCxnSpPr>
                    <xdr:cNvPr id="162" name="Straight Arrow Connector 161"/>
                    <xdr:cNvCxnSpPr/>
                  </xdr:nvCxnSpPr>
                  <xdr:spPr>
                    <a:xfrm rot="16200000">
                      <a:off x="5969806" y="7426983"/>
                      <a:ext cx="756000" cy="0"/>
                    </a:xfrm>
                    <a:prstGeom prst="straightConnector1">
                      <a:avLst/>
                    </a:prstGeom>
                    <a:ln>
                      <a:solidFill>
                        <a:srgbClr val="0070C0"/>
                      </a:solidFill>
                      <a:headEnd type="stealth"/>
                      <a:tailEnd type="stealth"/>
                    </a:ln>
                  </xdr:spPr>
                  <xdr:style>
                    <a:lnRef idx="1">
                      <a:schemeClr val="accent3"/>
                    </a:lnRef>
                    <a:fillRef idx="0">
                      <a:schemeClr val="accent3"/>
                    </a:fillRef>
                    <a:effectRef idx="0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63" name="TextBox 162"/>
                    <xdr:cNvSpPr txBox="1"/>
                  </xdr:nvSpPr>
                  <xdr:spPr>
                    <a:xfrm>
                      <a:off x="6286500" y="7305675"/>
                      <a:ext cx="352425" cy="266700"/>
                    </a:xfrm>
                    <a:prstGeom prst="rect">
                      <a:avLst/>
                    </a:prstGeom>
                    <a:noFill/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overflow" wrap="square" lIns="0" tIns="0" rIns="0" bIns="0" rtlCol="0" anchor="ctr">
                      <a:noAutofit/>
                    </a:bodyPr>
                    <a:lstStyle/>
                    <a:p>
                      <a:pPr marL="0" indent="0" algn="ctr"/>
                      <a:r>
                        <a:rPr lang="fr-FR" sz="1200" b="1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Arial" pitchFamily="34" charset="0"/>
                        </a:rPr>
                        <a:t>b</a:t>
                      </a:r>
                      <a:r>
                        <a:rPr lang="fr-FR" sz="700" b="1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Arial" pitchFamily="34" charset="0"/>
                        </a:rPr>
                        <a:t>0</a:t>
                      </a:r>
                      <a:endParaRPr lang="fr-FR" sz="1200" b="1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Arial" pitchFamily="34" charset="0"/>
                      </a:endParaRPr>
                    </a:p>
                  </xdr:txBody>
                </xdr:sp>
              </xdr:grpSp>
              <xdr:grpSp>
                <xdr:nvGrpSpPr>
                  <xdr:cNvPr id="159" name="Group 94"/>
                  <xdr:cNvGrpSpPr/>
                </xdr:nvGrpSpPr>
                <xdr:grpSpPr>
                  <a:xfrm>
                    <a:off x="6467475" y="6962133"/>
                    <a:ext cx="352425" cy="900000"/>
                    <a:chOff x="6467475" y="6962133"/>
                    <a:chExt cx="352425" cy="900000"/>
                  </a:xfrm>
                </xdr:grpSpPr>
                <xdr:cxnSp macro="">
                  <xdr:nvCxnSpPr>
                    <xdr:cNvPr id="160" name="Straight Arrow Connector 159"/>
                    <xdr:cNvCxnSpPr/>
                  </xdr:nvCxnSpPr>
                  <xdr:spPr>
                    <a:xfrm rot="16200000">
                      <a:off x="6107356" y="7412133"/>
                      <a:ext cx="900000" cy="0"/>
                    </a:xfrm>
                    <a:prstGeom prst="straightConnector1">
                      <a:avLst/>
                    </a:prstGeom>
                    <a:ln>
                      <a:solidFill>
                        <a:srgbClr val="0070C0"/>
                      </a:solidFill>
                      <a:headEnd type="stealth"/>
                      <a:tailEnd type="stealth"/>
                    </a:ln>
                  </xdr:spPr>
                  <xdr:style>
                    <a:lnRef idx="1">
                      <a:schemeClr val="accent3"/>
                    </a:lnRef>
                    <a:fillRef idx="0">
                      <a:schemeClr val="accent3"/>
                    </a:fillRef>
                    <a:effectRef idx="0">
                      <a:schemeClr val="accent3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61" name="TextBox 160"/>
                    <xdr:cNvSpPr txBox="1"/>
                  </xdr:nvSpPr>
                  <xdr:spPr>
                    <a:xfrm>
                      <a:off x="6467475" y="7315200"/>
                      <a:ext cx="352425" cy="266700"/>
                    </a:xfrm>
                    <a:prstGeom prst="rect">
                      <a:avLst/>
                    </a:prstGeom>
                    <a:noFill/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overflow" wrap="square" lIns="0" tIns="0" rIns="0" bIns="0" rtlCol="0" anchor="ctr">
                      <a:noAutofit/>
                    </a:bodyPr>
                    <a:lstStyle/>
                    <a:p>
                      <a:pPr marL="0" indent="0" algn="ctr"/>
                      <a:r>
                        <a:rPr lang="fr-FR" sz="1200" b="1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Arial" pitchFamily="34" charset="0"/>
                        </a:rPr>
                        <a:t>b</a:t>
                      </a:r>
                      <a:r>
                        <a:rPr lang="fr-FR" sz="700" b="1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Arial" pitchFamily="34" charset="0"/>
                        </a:rPr>
                        <a:t>c</a:t>
                      </a:r>
                      <a:endParaRPr lang="fr-FR" sz="1200" b="1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Arial" pitchFamily="34" charset="0"/>
                      </a:endParaRPr>
                    </a:p>
                  </xdr:txBody>
                </xdr:sp>
              </xdr:grpSp>
            </xdr:grpSp>
            <xdr:grpSp>
              <xdr:nvGrpSpPr>
                <xdr:cNvPr id="149" name="Group 108"/>
                <xdr:cNvGrpSpPr/>
              </xdr:nvGrpSpPr>
              <xdr:grpSpPr>
                <a:xfrm>
                  <a:off x="5350449" y="5855716"/>
                  <a:ext cx="1048194" cy="1119191"/>
                  <a:chOff x="5350449" y="5855716"/>
                  <a:chExt cx="1048194" cy="1119191"/>
                </a:xfrm>
              </xdr:grpSpPr>
              <xdr:grpSp>
                <xdr:nvGrpSpPr>
                  <xdr:cNvPr id="150" name="Group 115"/>
                  <xdr:cNvGrpSpPr/>
                </xdr:nvGrpSpPr>
                <xdr:grpSpPr>
                  <a:xfrm rot="16200000">
                    <a:off x="5366010" y="6054468"/>
                    <a:ext cx="904878" cy="936000"/>
                    <a:chOff x="5629299" y="7638732"/>
                    <a:chExt cx="904878" cy="931255"/>
                  </a:xfrm>
                </xdr:grpSpPr>
                <xdr:cxnSp macro="">
                  <xdr:nvCxnSpPr>
                    <xdr:cNvPr id="152" name="Straight Arrow Connector 151"/>
                    <xdr:cNvCxnSpPr/>
                  </xdr:nvCxnSpPr>
                  <xdr:spPr>
                    <a:xfrm flipH="1">
                      <a:off x="5629299" y="7981251"/>
                      <a:ext cx="900000" cy="0"/>
                    </a:xfrm>
                    <a:prstGeom prst="straightConnector1">
                      <a:avLst/>
                    </a:prstGeom>
                    <a:ln w="12700" cmpd="dbl">
                      <a:solidFill>
                        <a:schemeClr val="accent2">
                          <a:lumMod val="75000"/>
                        </a:schemeClr>
                      </a:solidFill>
                      <a:prstDash val="lgDashDot"/>
                      <a:tailEnd type="stealth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53" name="Straight Arrow Connector 152"/>
                    <xdr:cNvCxnSpPr/>
                  </xdr:nvCxnSpPr>
                  <xdr:spPr>
                    <a:xfrm flipH="1">
                      <a:off x="5629299" y="7638834"/>
                      <a:ext cx="900000" cy="0"/>
                    </a:xfrm>
                    <a:prstGeom prst="straightConnector1">
                      <a:avLst/>
                    </a:prstGeom>
                    <a:ln w="12700" cmpd="dbl">
                      <a:solidFill>
                        <a:schemeClr val="accent2">
                          <a:lumMod val="75000"/>
                        </a:schemeClr>
                      </a:solidFill>
                      <a:prstDash val="lgDashDot"/>
                      <a:tailEnd type="stealth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54" name="Straight Arrow Connector 153"/>
                    <xdr:cNvCxnSpPr/>
                  </xdr:nvCxnSpPr>
                  <xdr:spPr>
                    <a:xfrm flipH="1">
                      <a:off x="5629299" y="8333435"/>
                      <a:ext cx="900000" cy="0"/>
                    </a:xfrm>
                    <a:prstGeom prst="straightConnector1">
                      <a:avLst/>
                    </a:prstGeom>
                    <a:ln w="12700" cmpd="dbl">
                      <a:solidFill>
                        <a:schemeClr val="accent2">
                          <a:lumMod val="75000"/>
                        </a:schemeClr>
                      </a:solidFill>
                      <a:prstDash val="lgDashDot"/>
                      <a:tailEnd type="stealth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55" name="Straight Connector 154"/>
                    <xdr:cNvCxnSpPr/>
                  </xdr:nvCxnSpPr>
                  <xdr:spPr>
                    <a:xfrm>
                      <a:off x="6534177" y="7638732"/>
                      <a:ext cx="0" cy="931255"/>
                    </a:xfrm>
                    <a:prstGeom prst="line">
                      <a:avLst/>
                    </a:prstGeom>
                    <a:ln w="12700" cmpd="dbl">
                      <a:solidFill>
                        <a:schemeClr val="accent2">
                          <a:lumMod val="75000"/>
                        </a:schemeClr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151" name="TextBox 150"/>
                  <xdr:cNvSpPr txBox="1"/>
                </xdr:nvSpPr>
                <xdr:spPr>
                  <a:xfrm>
                    <a:off x="6046218" y="5855716"/>
                    <a:ext cx="352425" cy="266700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overflow" wrap="square" lIns="0" tIns="0" rIns="0" bIns="0" rtlCol="0" anchor="ctr">
                    <a:noAutofit/>
                  </a:bodyPr>
                  <a:lstStyle/>
                  <a:p>
                    <a:pPr marL="0" indent="0" algn="ctr"/>
                    <a:r>
                      <a:rPr lang="fr-FR" sz="1200" b="1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Arial" pitchFamily="34" charset="0"/>
                      </a:rPr>
                      <a:t>n</a:t>
                    </a:r>
                  </a:p>
                </xdr:txBody>
              </xdr:sp>
            </xdr:grpSp>
          </xdr:grpSp>
          <xdr:grpSp>
            <xdr:nvGrpSpPr>
              <xdr:cNvPr id="142" name="Group 123"/>
              <xdr:cNvGrpSpPr/>
            </xdr:nvGrpSpPr>
            <xdr:grpSpPr>
              <a:xfrm>
                <a:off x="5517202" y="5712841"/>
                <a:ext cx="1055051" cy="683701"/>
                <a:chOff x="5517202" y="5712841"/>
                <a:chExt cx="1055051" cy="683701"/>
              </a:xfrm>
            </xdr:grpSpPr>
            <xdr:grpSp>
              <xdr:nvGrpSpPr>
                <xdr:cNvPr id="143" name="Group 121"/>
                <xdr:cNvGrpSpPr/>
              </xdr:nvGrpSpPr>
              <xdr:grpSpPr>
                <a:xfrm>
                  <a:off x="5517202" y="5923666"/>
                  <a:ext cx="936000" cy="472876"/>
                  <a:chOff x="5517202" y="5923666"/>
                  <a:chExt cx="936000" cy="472876"/>
                </a:xfrm>
              </xdr:grpSpPr>
              <xdr:cxnSp macro="">
                <xdr:nvCxnSpPr>
                  <xdr:cNvPr id="145" name="Straight Arrow Connector 144"/>
                  <xdr:cNvCxnSpPr/>
                </xdr:nvCxnSpPr>
                <xdr:spPr>
                  <a:xfrm flipH="1">
                    <a:off x="5890040" y="5928542"/>
                    <a:ext cx="0" cy="468000"/>
                  </a:xfrm>
                  <a:prstGeom prst="straightConnector1">
                    <a:avLst/>
                  </a:prstGeom>
                  <a:ln w="12700" cmpd="dbl">
                    <a:solidFill>
                      <a:srgbClr val="FF0000"/>
                    </a:solidFill>
                    <a:prstDash val="solid"/>
                    <a:tailEnd type="stealt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46" name="Straight Arrow Connector 145"/>
                  <xdr:cNvCxnSpPr/>
                </xdr:nvCxnSpPr>
                <xdr:spPr>
                  <a:xfrm flipH="1">
                    <a:off x="5517303" y="5928542"/>
                    <a:ext cx="0" cy="288000"/>
                  </a:xfrm>
                  <a:prstGeom prst="straightConnector1">
                    <a:avLst/>
                  </a:prstGeom>
                  <a:ln w="12700" cmpd="dbl">
                    <a:solidFill>
                      <a:srgbClr val="FF0000"/>
                    </a:solidFill>
                    <a:prstDash val="solid"/>
                    <a:tailEnd type="stealt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47" name="Straight Connector 146"/>
                  <xdr:cNvCxnSpPr/>
                </xdr:nvCxnSpPr>
                <xdr:spPr>
                  <a:xfrm>
                    <a:off x="5517202" y="5923666"/>
                    <a:ext cx="936000" cy="0"/>
                  </a:xfrm>
                  <a:prstGeom prst="line">
                    <a:avLst/>
                  </a:prstGeom>
                  <a:ln w="12700" cmpd="dbl">
                    <a:solidFill>
                      <a:srgbClr val="FF0000"/>
                    </a:solidFill>
                    <a:prstDash val="solid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144" name="TextBox 143"/>
                <xdr:cNvSpPr txBox="1"/>
              </xdr:nvSpPr>
              <xdr:spPr>
                <a:xfrm>
                  <a:off x="6219828" y="5712841"/>
                  <a:ext cx="352425" cy="2667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overflow" wrap="square" lIns="0" tIns="0" rIns="0" bIns="0" rtlCol="0" anchor="ctr">
                  <a:noAutofit/>
                </a:bodyPr>
                <a:lstStyle/>
                <a:p>
                  <a:pPr marL="0" indent="0" algn="ctr"/>
                  <a:r>
                    <a:rPr lang="fr-FR" sz="1200" b="1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Arial" pitchFamily="34" charset="0"/>
                    </a:rPr>
                    <a:t>L</a:t>
                  </a:r>
                </a:p>
              </xdr:txBody>
            </xdr:sp>
          </xdr:grpSp>
        </xdr:grpSp>
        <xdr:grpSp>
          <xdr:nvGrpSpPr>
            <xdr:cNvPr id="189" name="Group 188"/>
            <xdr:cNvGrpSpPr/>
          </xdr:nvGrpSpPr>
          <xdr:grpSpPr>
            <a:xfrm>
              <a:off x="9048810" y="9665370"/>
              <a:ext cx="756000" cy="271462"/>
              <a:chOff x="9048810" y="9665370"/>
              <a:chExt cx="756000" cy="271462"/>
            </a:xfrm>
          </xdr:grpSpPr>
          <xdr:cxnSp macro="">
            <xdr:nvCxnSpPr>
              <xdr:cNvPr id="185" name="Straight Arrow Connector 184"/>
              <xdr:cNvCxnSpPr/>
            </xdr:nvCxnSpPr>
            <xdr:spPr>
              <a:xfrm rot="10800000">
                <a:off x="9048810" y="9715501"/>
                <a:ext cx="756000" cy="0"/>
              </a:xfrm>
              <a:prstGeom prst="straightConnector1">
                <a:avLst/>
              </a:prstGeom>
              <a:ln>
                <a:solidFill>
                  <a:srgbClr val="0070C0"/>
                </a:solidFill>
                <a:headEnd type="stealth"/>
                <a:tailEnd type="stealth"/>
              </a:ln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86" name="TextBox 185"/>
              <xdr:cNvSpPr txBox="1"/>
            </xdr:nvSpPr>
            <xdr:spPr>
              <a:xfrm>
                <a:off x="9284372" y="9665370"/>
                <a:ext cx="352425" cy="27146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overflow" wrap="square" lIns="0" tIns="0" rIns="0" bIns="0" rtlCol="0" anchor="ctr">
                <a:noAutofit/>
              </a:bodyPr>
              <a:lstStyle/>
              <a:p>
                <a:pPr marL="0" indent="0" algn="ctr"/>
                <a:r>
                  <a:rPr lang="fr-FR" sz="1200" b="1">
                    <a:solidFill>
                      <a:sysClr val="windowText" lastClr="000000"/>
                    </a:solidFill>
                    <a:latin typeface="+mn-lt"/>
                    <a:ea typeface="+mn-ea"/>
                    <a:cs typeface="Arial" pitchFamily="34" charset="0"/>
                  </a:rPr>
                  <a:t>h</a:t>
                </a:r>
                <a:r>
                  <a:rPr lang="fr-FR" sz="900" b="1">
                    <a:solidFill>
                      <a:sysClr val="windowText" lastClr="000000"/>
                    </a:solidFill>
                    <a:latin typeface="+mn-lt"/>
                    <a:ea typeface="+mn-ea"/>
                    <a:cs typeface="Arial" pitchFamily="34" charset="0"/>
                  </a:rPr>
                  <a:t>0</a:t>
                </a:r>
                <a:endParaRPr lang="fr-FR" sz="1200" b="1">
                  <a:solidFill>
                    <a:sysClr val="windowText" lastClr="000000"/>
                  </a:solidFill>
                  <a:latin typeface="+mn-lt"/>
                  <a:ea typeface="+mn-ea"/>
                  <a:cs typeface="Arial" pitchFamily="34" charset="0"/>
                </a:endParaRPr>
              </a:p>
            </xdr:txBody>
          </xdr:sp>
        </xdr:grpSp>
        <xdr:grpSp>
          <xdr:nvGrpSpPr>
            <xdr:cNvPr id="190" name="Group 189"/>
            <xdr:cNvGrpSpPr/>
          </xdr:nvGrpSpPr>
          <xdr:grpSpPr>
            <a:xfrm>
              <a:off x="8987088" y="9817770"/>
              <a:ext cx="900000" cy="271462"/>
              <a:chOff x="8987088" y="9817770"/>
              <a:chExt cx="900000" cy="271462"/>
            </a:xfrm>
          </xdr:grpSpPr>
          <xdr:cxnSp macro="">
            <xdr:nvCxnSpPr>
              <xdr:cNvPr id="187" name="Straight Arrow Connector 186"/>
              <xdr:cNvCxnSpPr/>
            </xdr:nvCxnSpPr>
            <xdr:spPr>
              <a:xfrm rot="10800000">
                <a:off x="8987088" y="9877927"/>
                <a:ext cx="900000" cy="0"/>
              </a:xfrm>
              <a:prstGeom prst="straightConnector1">
                <a:avLst/>
              </a:prstGeom>
              <a:ln>
                <a:solidFill>
                  <a:srgbClr val="0070C0"/>
                </a:solidFill>
                <a:headEnd type="stealth"/>
                <a:tailEnd type="stealth"/>
              </a:ln>
            </xdr:spPr>
            <xdr:style>
              <a:lnRef idx="1">
                <a:schemeClr val="accent3"/>
              </a:lnRef>
              <a:fillRef idx="0">
                <a:schemeClr val="accent3"/>
              </a:fillRef>
              <a:effectRef idx="0">
                <a:schemeClr val="accent3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88" name="TextBox 187"/>
              <xdr:cNvSpPr txBox="1"/>
            </xdr:nvSpPr>
            <xdr:spPr>
              <a:xfrm>
                <a:off x="9296408" y="9817770"/>
                <a:ext cx="352425" cy="27146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overflow" wrap="square" lIns="0" tIns="0" rIns="0" bIns="0" rtlCol="0" anchor="ctr">
                <a:noAutofit/>
              </a:bodyPr>
              <a:lstStyle/>
              <a:p>
                <a:pPr marL="0" indent="0" algn="ctr"/>
                <a:r>
                  <a:rPr lang="fr-FR" sz="1200" b="1">
                    <a:solidFill>
                      <a:sysClr val="windowText" lastClr="000000"/>
                    </a:solidFill>
                    <a:latin typeface="+mn-lt"/>
                    <a:ea typeface="+mn-ea"/>
                    <a:cs typeface="Arial" pitchFamily="34" charset="0"/>
                  </a:rPr>
                  <a:t>h</a:t>
                </a:r>
                <a:r>
                  <a:rPr lang="fr-FR" sz="900" b="1">
                    <a:solidFill>
                      <a:sysClr val="windowText" lastClr="000000"/>
                    </a:solidFill>
                    <a:latin typeface="+mn-lt"/>
                    <a:ea typeface="+mn-ea"/>
                    <a:cs typeface="Arial" pitchFamily="34" charset="0"/>
                  </a:rPr>
                  <a:t>c</a:t>
                </a:r>
                <a:endParaRPr lang="fr-FR" sz="1200" b="1">
                  <a:solidFill>
                    <a:sysClr val="windowText" lastClr="000000"/>
                  </a:solidFill>
                  <a:latin typeface="+mn-lt"/>
                  <a:ea typeface="+mn-ea"/>
                  <a:cs typeface="Arial" pitchFamily="34" charset="0"/>
                </a:endParaRPr>
              </a:p>
            </xdr:txBody>
          </xdr:sp>
        </xdr:grpSp>
      </xdr:grpSp>
    </xdr:grpSp>
    <xdr:clientData/>
  </xdr:twoCellAnchor>
  <xdr:twoCellAnchor>
    <xdr:from>
      <xdr:col>4</xdr:col>
      <xdr:colOff>583222</xdr:colOff>
      <xdr:row>8</xdr:row>
      <xdr:rowOff>197827</xdr:rowOff>
    </xdr:from>
    <xdr:to>
      <xdr:col>14</xdr:col>
      <xdr:colOff>211016</xdr:colOff>
      <xdr:row>15</xdr:row>
      <xdr:rowOff>38604</xdr:rowOff>
    </xdr:to>
    <xdr:grpSp>
      <xdr:nvGrpSpPr>
        <xdr:cNvPr id="118" name="Group 117"/>
        <xdr:cNvGrpSpPr/>
      </xdr:nvGrpSpPr>
      <xdr:grpSpPr>
        <a:xfrm>
          <a:off x="3571064" y="1902301"/>
          <a:ext cx="6415610" cy="1535224"/>
          <a:chOff x="3571064" y="2002564"/>
          <a:chExt cx="6335399" cy="1535224"/>
        </a:xfrm>
      </xdr:grpSpPr>
      <xdr:pic>
        <xdr:nvPicPr>
          <xdr:cNvPr id="102" name="Picture 101" descr="voile type 2-2.png"/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3938028" y="2091257"/>
            <a:ext cx="5728883" cy="1311866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cxnSp macro="">
        <xdr:nvCxnSpPr>
          <xdr:cNvPr id="9" name="Straight Arrow Connector 8"/>
          <xdr:cNvCxnSpPr/>
        </xdr:nvCxnSpPr>
        <xdr:spPr>
          <a:xfrm rot="16200000">
            <a:off x="9200706" y="2727663"/>
            <a:ext cx="902734" cy="0"/>
          </a:xfrm>
          <a:prstGeom prst="straightConnector1">
            <a:avLst/>
          </a:prstGeom>
          <a:ln>
            <a:solidFill>
              <a:srgbClr val="3333FF"/>
            </a:solidFill>
            <a:headEnd type="diamond" w="med" len="med"/>
            <a:tailEnd type="diamond" w="med" len="med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13" name="Straight Arrow Connector 12"/>
          <xdr:cNvCxnSpPr/>
        </xdr:nvCxnSpPr>
        <xdr:spPr>
          <a:xfrm>
            <a:off x="4086039" y="3362729"/>
            <a:ext cx="5449883" cy="0"/>
          </a:xfrm>
          <a:prstGeom prst="straightConnector1">
            <a:avLst/>
          </a:prstGeom>
          <a:ln>
            <a:solidFill>
              <a:srgbClr val="3333FF"/>
            </a:solidFill>
            <a:headEnd type="diamond" w="med" len="med"/>
            <a:tailEnd type="diamond" w="med" len="med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15" name="Straight Arrow Connector 14"/>
          <xdr:cNvCxnSpPr/>
        </xdr:nvCxnSpPr>
        <xdr:spPr>
          <a:xfrm rot="16200000">
            <a:off x="7213870" y="2716414"/>
            <a:ext cx="468000" cy="0"/>
          </a:xfrm>
          <a:prstGeom prst="straightConnector1">
            <a:avLst/>
          </a:prstGeom>
          <a:ln>
            <a:solidFill>
              <a:srgbClr val="00B050"/>
            </a:solidFill>
            <a:headEnd type="diamond" w="med" len="med"/>
            <a:tailEnd type="diamond" w="med" len="med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grpSp>
        <xdr:nvGrpSpPr>
          <xdr:cNvPr id="70" name="Group 69"/>
          <xdr:cNvGrpSpPr/>
        </xdr:nvGrpSpPr>
        <xdr:grpSpPr>
          <a:xfrm>
            <a:off x="8719038" y="2333630"/>
            <a:ext cx="702852" cy="1204158"/>
            <a:chOff x="9001127" y="1428752"/>
            <a:chExt cx="714373" cy="1095373"/>
          </a:xfrm>
        </xdr:grpSpPr>
        <xdr:cxnSp macro="">
          <xdr:nvCxnSpPr>
            <xdr:cNvPr id="53" name="Straight Arrow Connector 52"/>
            <xdr:cNvCxnSpPr/>
          </xdr:nvCxnSpPr>
          <xdr:spPr>
            <a:xfrm flipV="1">
              <a:off x="9344025" y="1447800"/>
              <a:ext cx="342900" cy="1066800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Arrow Connector 53"/>
            <xdr:cNvCxnSpPr/>
          </xdr:nvCxnSpPr>
          <xdr:spPr>
            <a:xfrm flipV="1">
              <a:off x="9372600" y="1657351"/>
              <a:ext cx="333375" cy="800099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Straight Arrow Connector 55"/>
            <xdr:cNvCxnSpPr/>
          </xdr:nvCxnSpPr>
          <xdr:spPr>
            <a:xfrm flipV="1">
              <a:off x="9353550" y="1914527"/>
              <a:ext cx="361950" cy="581023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Straight Arrow Connector 57"/>
            <xdr:cNvCxnSpPr/>
          </xdr:nvCxnSpPr>
          <xdr:spPr>
            <a:xfrm flipV="1">
              <a:off x="9344025" y="1466852"/>
              <a:ext cx="104775" cy="1038223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Straight Arrow Connector 60"/>
            <xdr:cNvCxnSpPr/>
          </xdr:nvCxnSpPr>
          <xdr:spPr>
            <a:xfrm flipH="1" flipV="1">
              <a:off x="9258300" y="1428752"/>
              <a:ext cx="76200" cy="1095373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" name="Straight Arrow Connector 62"/>
            <xdr:cNvCxnSpPr/>
          </xdr:nvCxnSpPr>
          <xdr:spPr>
            <a:xfrm flipH="1" flipV="1">
              <a:off x="9048750" y="1438277"/>
              <a:ext cx="295275" cy="1085848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Straight Arrow Connector 64"/>
            <xdr:cNvCxnSpPr/>
          </xdr:nvCxnSpPr>
          <xdr:spPr>
            <a:xfrm flipH="1" flipV="1">
              <a:off x="9010651" y="1895478"/>
              <a:ext cx="342899" cy="619122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Straight Arrow Connector 66"/>
            <xdr:cNvCxnSpPr/>
          </xdr:nvCxnSpPr>
          <xdr:spPr>
            <a:xfrm flipH="1" flipV="1">
              <a:off x="9001127" y="2152654"/>
              <a:ext cx="342898" cy="342896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9" name="Straight Arrow Connector 68"/>
          <xdr:cNvCxnSpPr/>
        </xdr:nvCxnSpPr>
        <xdr:spPr>
          <a:xfrm rot="16200000">
            <a:off x="3721516" y="2721431"/>
            <a:ext cx="431544" cy="0"/>
          </a:xfrm>
          <a:prstGeom prst="straightConnector1">
            <a:avLst/>
          </a:prstGeom>
          <a:ln>
            <a:solidFill>
              <a:srgbClr val="3333FF"/>
            </a:solidFill>
            <a:headEnd type="diamond" w="med" len="med"/>
            <a:tailEnd type="diamond" w="med" len="med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grpSp>
        <xdr:nvGrpSpPr>
          <xdr:cNvPr id="71" name="Group 70"/>
          <xdr:cNvGrpSpPr/>
        </xdr:nvGrpSpPr>
        <xdr:grpSpPr>
          <a:xfrm>
            <a:off x="4156464" y="2579936"/>
            <a:ext cx="933562" cy="949485"/>
            <a:chOff x="9040283" y="1664223"/>
            <a:chExt cx="931334" cy="859903"/>
          </a:xfrm>
        </xdr:grpSpPr>
        <xdr:cxnSp macro="">
          <xdr:nvCxnSpPr>
            <xdr:cNvPr id="72" name="Straight Arrow Connector 71"/>
            <xdr:cNvCxnSpPr/>
          </xdr:nvCxnSpPr>
          <xdr:spPr>
            <a:xfrm flipV="1">
              <a:off x="9344025" y="1727297"/>
              <a:ext cx="299508" cy="787305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Straight Arrow Connector 72"/>
            <xdr:cNvCxnSpPr/>
          </xdr:nvCxnSpPr>
          <xdr:spPr>
            <a:xfrm flipV="1">
              <a:off x="9372600" y="1664223"/>
              <a:ext cx="599017" cy="793227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" name="Straight Arrow Connector 73"/>
            <xdr:cNvCxnSpPr/>
          </xdr:nvCxnSpPr>
          <xdr:spPr>
            <a:xfrm flipV="1">
              <a:off x="9353550" y="1958567"/>
              <a:ext cx="565150" cy="536982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Straight Arrow Connector 75"/>
            <xdr:cNvCxnSpPr/>
          </xdr:nvCxnSpPr>
          <xdr:spPr>
            <a:xfrm flipV="1">
              <a:off x="9334500" y="1727297"/>
              <a:ext cx="23283" cy="796829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Straight Arrow Connector 76"/>
            <xdr:cNvCxnSpPr/>
          </xdr:nvCxnSpPr>
          <xdr:spPr>
            <a:xfrm flipH="1" flipV="1">
              <a:off x="9040283" y="1695760"/>
              <a:ext cx="303743" cy="828365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Straight Arrow Connector 77"/>
            <xdr:cNvCxnSpPr/>
          </xdr:nvCxnSpPr>
          <xdr:spPr>
            <a:xfrm flipH="1" flipV="1">
              <a:off x="9050867" y="1979591"/>
              <a:ext cx="302684" cy="535010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Straight Arrow Connector 78"/>
            <xdr:cNvCxnSpPr/>
          </xdr:nvCxnSpPr>
          <xdr:spPr>
            <a:xfrm flipV="1">
              <a:off x="9344025" y="1948054"/>
              <a:ext cx="288925" cy="547497"/>
            </a:xfrm>
            <a:prstGeom prst="straightConnector1">
              <a:avLst/>
            </a:prstGeom>
            <a:ln>
              <a:solidFill>
                <a:srgbClr val="FFFF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7" name="Straight Arrow Connector 56"/>
          <xdr:cNvCxnSpPr/>
        </xdr:nvCxnSpPr>
        <xdr:spPr>
          <a:xfrm rot="10800000">
            <a:off x="5600702" y="2718119"/>
            <a:ext cx="826089" cy="0"/>
          </a:xfrm>
          <a:prstGeom prst="straightConnector1">
            <a:avLst/>
          </a:prstGeom>
          <a:ln>
            <a:solidFill>
              <a:srgbClr val="00B050"/>
            </a:solidFill>
            <a:headEnd type="diamond" w="med" len="med"/>
            <a:tailEnd type="diamond" w="med" len="med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grpSp>
        <xdr:nvGrpSpPr>
          <xdr:cNvPr id="100" name="Group 99"/>
          <xdr:cNvGrpSpPr/>
        </xdr:nvGrpSpPr>
        <xdr:grpSpPr>
          <a:xfrm>
            <a:off x="4922909" y="2393605"/>
            <a:ext cx="12" cy="756000"/>
            <a:chOff x="4922909" y="2346174"/>
            <a:chExt cx="12" cy="756000"/>
          </a:xfrm>
        </xdr:grpSpPr>
        <xdr:cxnSp macro="">
          <xdr:nvCxnSpPr>
            <xdr:cNvPr id="97" name="Straight Arrow Connector 96"/>
            <xdr:cNvCxnSpPr/>
          </xdr:nvCxnSpPr>
          <xdr:spPr>
            <a:xfrm>
              <a:off x="4922909" y="2486519"/>
              <a:ext cx="0" cy="360000"/>
            </a:xfrm>
            <a:prstGeom prst="straightConnector1">
              <a:avLst/>
            </a:prstGeom>
            <a:ln cap="rnd">
              <a:solidFill>
                <a:srgbClr val="FF0000"/>
              </a:solidFill>
              <a:headEnd type="diamond"/>
              <a:tailEnd type="diamon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Straight Connector 98"/>
            <xdr:cNvCxnSpPr/>
          </xdr:nvCxnSpPr>
          <xdr:spPr>
            <a:xfrm>
              <a:off x="4922921" y="2346174"/>
              <a:ext cx="0" cy="756000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4" name="Group 103"/>
          <xdr:cNvGrpSpPr/>
        </xdr:nvGrpSpPr>
        <xdr:grpSpPr>
          <a:xfrm>
            <a:off x="4069340" y="2102356"/>
            <a:ext cx="5466686" cy="1358"/>
            <a:chOff x="4058543" y="2091944"/>
            <a:chExt cx="5452803" cy="1358"/>
          </a:xfrm>
        </xdr:grpSpPr>
        <xdr:cxnSp macro="">
          <xdr:nvCxnSpPr>
            <xdr:cNvPr id="4" name="Straight Arrow Connector 3"/>
            <xdr:cNvCxnSpPr/>
          </xdr:nvCxnSpPr>
          <xdr:spPr>
            <a:xfrm>
              <a:off x="4141683" y="2091944"/>
              <a:ext cx="932143" cy="1358"/>
            </a:xfrm>
            <a:prstGeom prst="straightConnector1">
              <a:avLst/>
            </a:prstGeom>
            <a:ln w="3175">
              <a:solidFill>
                <a:srgbClr val="3333FF"/>
              </a:solidFill>
              <a:round/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5" name="Straight Arrow Connector 4"/>
            <xdr:cNvCxnSpPr/>
          </xdr:nvCxnSpPr>
          <xdr:spPr>
            <a:xfrm>
              <a:off x="5136335" y="2091944"/>
              <a:ext cx="3420000" cy="0"/>
            </a:xfrm>
            <a:prstGeom prst="straightConnector1">
              <a:avLst/>
            </a:prstGeom>
            <a:ln w="3175">
              <a:solidFill>
                <a:srgbClr val="3333FF"/>
              </a:solidFill>
              <a:round/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30" name="Straight Arrow Connector 29"/>
            <xdr:cNvCxnSpPr/>
          </xdr:nvCxnSpPr>
          <xdr:spPr>
            <a:xfrm>
              <a:off x="8646204" y="2091944"/>
              <a:ext cx="792000" cy="1358"/>
            </a:xfrm>
            <a:prstGeom prst="straightConnector1">
              <a:avLst/>
            </a:prstGeom>
            <a:ln w="3175">
              <a:solidFill>
                <a:srgbClr val="3333FF"/>
              </a:solidFill>
              <a:round/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119" name="Straight Arrow Connector 118"/>
            <xdr:cNvCxnSpPr/>
          </xdr:nvCxnSpPr>
          <xdr:spPr>
            <a:xfrm>
              <a:off x="5071507" y="2091944"/>
              <a:ext cx="72000" cy="1358"/>
            </a:xfrm>
            <a:prstGeom prst="straightConnector1">
              <a:avLst/>
            </a:prstGeom>
            <a:ln w="3175">
              <a:solidFill>
                <a:srgbClr val="3333FF"/>
              </a:solidFill>
              <a:round/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120" name="Straight Arrow Connector 119"/>
            <xdr:cNvCxnSpPr/>
          </xdr:nvCxnSpPr>
          <xdr:spPr>
            <a:xfrm>
              <a:off x="4058543" y="2091944"/>
              <a:ext cx="72000" cy="1358"/>
            </a:xfrm>
            <a:prstGeom prst="straightConnector1">
              <a:avLst/>
            </a:prstGeom>
            <a:ln w="3175">
              <a:solidFill>
                <a:srgbClr val="3333FF"/>
              </a:solidFill>
              <a:round/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121" name="Straight Arrow Connector 120"/>
            <xdr:cNvCxnSpPr/>
          </xdr:nvCxnSpPr>
          <xdr:spPr>
            <a:xfrm>
              <a:off x="8561578" y="2091944"/>
              <a:ext cx="72000" cy="1358"/>
            </a:xfrm>
            <a:prstGeom prst="straightConnector1">
              <a:avLst/>
            </a:prstGeom>
            <a:ln w="3175">
              <a:solidFill>
                <a:srgbClr val="3333FF"/>
              </a:solidFill>
              <a:round/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/>
            <xdr:cNvCxnSpPr/>
          </xdr:nvCxnSpPr>
          <xdr:spPr>
            <a:xfrm>
              <a:off x="9439346" y="2091944"/>
              <a:ext cx="72000" cy="1358"/>
            </a:xfrm>
            <a:prstGeom prst="straightConnector1">
              <a:avLst/>
            </a:prstGeom>
            <a:ln w="3175">
              <a:solidFill>
                <a:srgbClr val="3333FF"/>
              </a:solidFill>
              <a:round/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</xdr:grpSp>
      <xdr:cxnSp macro="">
        <xdr:nvCxnSpPr>
          <xdr:cNvPr id="108" name="Shape 107"/>
          <xdr:cNvCxnSpPr/>
        </xdr:nvCxnSpPr>
        <xdr:spPr>
          <a:xfrm rot="5400000">
            <a:off x="7281419" y="2209261"/>
            <a:ext cx="713797" cy="300404"/>
          </a:xfrm>
          <a:prstGeom prst="bentConnector2">
            <a:avLst/>
          </a:prstGeom>
          <a:ln>
            <a:solidFill>
              <a:schemeClr val="accent6">
                <a:lumMod val="75000"/>
              </a:schemeClr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/>
          <xdr:cNvCxnSpPr/>
        </xdr:nvCxnSpPr>
        <xdr:spPr>
          <a:xfrm>
            <a:off x="5917069" y="2025316"/>
            <a:ext cx="0" cy="669064"/>
          </a:xfrm>
          <a:prstGeom prst="straightConnector1">
            <a:avLst/>
          </a:prstGeom>
          <a:ln>
            <a:solidFill>
              <a:schemeClr val="accent6">
                <a:lumMod val="75000"/>
              </a:schemeClr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Shape 110"/>
          <xdr:cNvCxnSpPr/>
        </xdr:nvCxnSpPr>
        <xdr:spPr>
          <a:xfrm rot="5400000">
            <a:off x="9720647" y="1917361"/>
            <a:ext cx="72000" cy="299633"/>
          </a:xfrm>
          <a:prstGeom prst="bentConnector2">
            <a:avLst/>
          </a:prstGeom>
          <a:ln>
            <a:solidFill>
              <a:schemeClr val="accent6">
                <a:lumMod val="75000"/>
              </a:schemeClr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Shape 113"/>
          <xdr:cNvCxnSpPr/>
        </xdr:nvCxnSpPr>
        <xdr:spPr>
          <a:xfrm rot="16200000" flipH="1">
            <a:off x="3717571" y="1883205"/>
            <a:ext cx="72000" cy="365013"/>
          </a:xfrm>
          <a:prstGeom prst="bentConnector2">
            <a:avLst/>
          </a:prstGeom>
          <a:ln>
            <a:solidFill>
              <a:schemeClr val="accent6">
                <a:lumMod val="75000"/>
              </a:schemeClr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Shape 115"/>
          <xdr:cNvCxnSpPr/>
        </xdr:nvCxnSpPr>
        <xdr:spPr>
          <a:xfrm rot="16200000" flipV="1">
            <a:off x="4965639" y="3057207"/>
            <a:ext cx="435086" cy="466844"/>
          </a:xfrm>
          <a:prstGeom prst="bentConnector2">
            <a:avLst/>
          </a:prstGeom>
          <a:ln>
            <a:solidFill>
              <a:schemeClr val="accent6">
                <a:lumMod val="75000"/>
              </a:schemeClr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100265</xdr:colOff>
      <xdr:row>16</xdr:row>
      <xdr:rowOff>10</xdr:rowOff>
    </xdr:from>
    <xdr:to>
      <xdr:col>14</xdr:col>
      <xdr:colOff>148423</xdr:colOff>
      <xdr:row>23</xdr:row>
      <xdr:rowOff>45413</xdr:rowOff>
    </xdr:to>
    <xdr:grpSp>
      <xdr:nvGrpSpPr>
        <xdr:cNvPr id="126" name="Group 125"/>
        <xdr:cNvGrpSpPr/>
      </xdr:nvGrpSpPr>
      <xdr:grpSpPr>
        <a:xfrm>
          <a:off x="3759870" y="3649589"/>
          <a:ext cx="6164211" cy="1679692"/>
          <a:chOff x="3759870" y="3749852"/>
          <a:chExt cx="6084000" cy="1679693"/>
        </a:xfrm>
      </xdr:grpSpPr>
      <xdr:pic>
        <xdr:nvPicPr>
          <xdr:cNvPr id="112" name="Picture 111" descr="TRASVERSALE-removebg-preview.png"/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rcRect b="30364"/>
          <a:stretch>
            <a:fillRect/>
          </a:stretch>
        </xdr:blipFill>
        <xdr:spPr>
          <a:xfrm>
            <a:off x="3759870" y="3749852"/>
            <a:ext cx="6084000" cy="1679693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grpSp>
        <xdr:nvGrpSpPr>
          <xdr:cNvPr id="124" name="Group 123"/>
          <xdr:cNvGrpSpPr/>
        </xdr:nvGrpSpPr>
        <xdr:grpSpPr>
          <a:xfrm>
            <a:off x="5313948" y="4130842"/>
            <a:ext cx="4406399" cy="991128"/>
            <a:chOff x="5313948" y="4130842"/>
            <a:chExt cx="4406399" cy="991128"/>
          </a:xfrm>
        </xdr:grpSpPr>
        <xdr:cxnSp macro="">
          <xdr:nvCxnSpPr>
            <xdr:cNvPr id="52" name="Straight Arrow Connector 51"/>
            <xdr:cNvCxnSpPr/>
          </xdr:nvCxnSpPr>
          <xdr:spPr>
            <a:xfrm flipV="1">
              <a:off x="9720347" y="4941970"/>
              <a:ext cx="0" cy="180000"/>
            </a:xfrm>
            <a:prstGeom prst="straightConnector1">
              <a:avLst/>
            </a:prstGeom>
            <a:ln>
              <a:solidFill>
                <a:srgbClr val="3333FF"/>
              </a:solidFill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59" name="Straight Arrow Connector 58"/>
            <xdr:cNvCxnSpPr/>
          </xdr:nvCxnSpPr>
          <xdr:spPr>
            <a:xfrm rot="10800000">
              <a:off x="6553786" y="4232866"/>
              <a:ext cx="648000" cy="0"/>
            </a:xfrm>
            <a:prstGeom prst="straightConnector1">
              <a:avLst/>
            </a:prstGeom>
            <a:ln>
              <a:solidFill>
                <a:srgbClr val="00B050"/>
              </a:solidFill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55" name="Straight Arrow Connector 54"/>
            <xdr:cNvCxnSpPr/>
          </xdr:nvCxnSpPr>
          <xdr:spPr>
            <a:xfrm flipV="1">
              <a:off x="6454749" y="4661235"/>
              <a:ext cx="0" cy="303948"/>
            </a:xfrm>
            <a:prstGeom prst="straightConnector1">
              <a:avLst/>
            </a:prstGeom>
            <a:ln>
              <a:solidFill>
                <a:srgbClr val="00B050"/>
              </a:solidFill>
              <a:headEnd type="diamond" w="med" len="med"/>
              <a:tailEnd type="diamond" w="med" len="med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115" name="Curved Connector 114"/>
            <xdr:cNvCxnSpPr/>
          </xdr:nvCxnSpPr>
          <xdr:spPr>
            <a:xfrm rot="10800000">
              <a:off x="5313948" y="4130842"/>
              <a:ext cx="250658" cy="0"/>
            </a:xfrm>
            <a:prstGeom prst="curvedConnector3">
              <a:avLst>
                <a:gd name="adj1" fmla="val 50000"/>
              </a:avLst>
            </a:prstGeom>
            <a:ln>
              <a:solidFill>
                <a:schemeClr val="accent6">
                  <a:lumMod val="75000"/>
                </a:schemeClr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Straight Arrow Connector 116"/>
            <xdr:cNvCxnSpPr/>
          </xdr:nvCxnSpPr>
          <xdr:spPr>
            <a:xfrm>
              <a:off x="7572568" y="4210664"/>
              <a:ext cx="0" cy="432000"/>
            </a:xfrm>
            <a:prstGeom prst="straightConnector1">
              <a:avLst/>
            </a:prstGeom>
            <a:ln>
              <a:solidFill>
                <a:schemeClr val="accent6">
                  <a:lumMod val="75000"/>
                </a:schemeClr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17</xdr:col>
      <xdr:colOff>431132</xdr:colOff>
      <xdr:row>1</xdr:row>
      <xdr:rowOff>20053</xdr:rowOff>
    </xdr:from>
    <xdr:to>
      <xdr:col>17</xdr:col>
      <xdr:colOff>877532</xdr:colOff>
      <xdr:row>2</xdr:row>
      <xdr:rowOff>195742</xdr:rowOff>
    </xdr:to>
    <xdr:pic>
      <xdr:nvPicPr>
        <xdr:cNvPr id="106" name="Picture 105" descr="Logo Morsli.png"/>
        <xdr:cNvPicPr>
          <a:picLocks noChangeAspect="1"/>
        </xdr:cNvPicPr>
      </xdr:nvPicPr>
      <xdr:blipFill>
        <a:blip xmlns:r="http://schemas.openxmlformats.org/officeDocument/2006/relationships" r:embed="rId5" cstate="print">
          <a:lum bright="-30000"/>
        </a:blip>
        <a:stretch>
          <a:fillRect/>
        </a:stretch>
      </xdr:blipFill>
      <xdr:spPr>
        <a:xfrm>
          <a:off x="12442658" y="90237"/>
          <a:ext cx="446400" cy="446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11486</xdr:colOff>
      <xdr:row>3</xdr:row>
      <xdr:rowOff>210551</xdr:rowOff>
    </xdr:from>
    <xdr:to>
      <xdr:col>17</xdr:col>
      <xdr:colOff>1406153</xdr:colOff>
      <xdr:row>11</xdr:row>
      <xdr:rowOff>18077</xdr:rowOff>
    </xdr:to>
    <xdr:grpSp>
      <xdr:nvGrpSpPr>
        <xdr:cNvPr id="7" name="Group 6"/>
        <xdr:cNvGrpSpPr/>
      </xdr:nvGrpSpPr>
      <xdr:grpSpPr>
        <a:xfrm>
          <a:off x="4453144" y="912393"/>
          <a:ext cx="8673772" cy="1512000"/>
          <a:chOff x="4413596" y="812134"/>
          <a:chExt cx="8720878" cy="1604208"/>
        </a:xfrm>
      </xdr:grpSpPr>
      <xdr:pic>
        <xdr:nvPicPr>
          <xdr:cNvPr id="5" name="Picture 4" descr="zonesuperieure 1.png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 l="5402" r="8310"/>
          <a:stretch>
            <a:fillRect/>
          </a:stretch>
        </xdr:blipFill>
        <xdr:spPr>
          <a:xfrm>
            <a:off x="4413596" y="812134"/>
            <a:ext cx="4661045" cy="160204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6" name="Picture 5" descr="zonesuperieure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 l="8789" r="4643" b="-46789"/>
          <a:stretch>
            <a:fillRect/>
          </a:stretch>
        </xdr:blipFill>
        <xdr:spPr>
          <a:xfrm>
            <a:off x="9085863" y="812137"/>
            <a:ext cx="4048611" cy="1604205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 editAs="oneCell">
    <xdr:from>
      <xdr:col>17</xdr:col>
      <xdr:colOff>962528</xdr:colOff>
      <xdr:row>1</xdr:row>
      <xdr:rowOff>30078</xdr:rowOff>
    </xdr:from>
    <xdr:to>
      <xdr:col>17</xdr:col>
      <xdr:colOff>1408928</xdr:colOff>
      <xdr:row>2</xdr:row>
      <xdr:rowOff>205767</xdr:rowOff>
    </xdr:to>
    <xdr:pic>
      <xdr:nvPicPr>
        <xdr:cNvPr id="9" name="Picture 8" descr="Logo Morsli.png"/>
        <xdr:cNvPicPr>
          <a:picLocks noChangeAspect="1"/>
        </xdr:cNvPicPr>
      </xdr:nvPicPr>
      <xdr:blipFill>
        <a:blip xmlns:r="http://schemas.openxmlformats.org/officeDocument/2006/relationships" r:embed="rId3" cstate="print">
          <a:lum bright="-30000"/>
        </a:blip>
        <a:stretch>
          <a:fillRect/>
        </a:stretch>
      </xdr:blipFill>
      <xdr:spPr>
        <a:xfrm>
          <a:off x="12683291" y="230604"/>
          <a:ext cx="446400" cy="446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11</xdr:row>
      <xdr:rowOff>95251</xdr:rowOff>
    </xdr:from>
    <xdr:to>
      <xdr:col>15</xdr:col>
      <xdr:colOff>466725</xdr:colOff>
      <xdr:row>30</xdr:row>
      <xdr:rowOff>161926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238126</xdr:colOff>
      <xdr:row>39</xdr:row>
      <xdr:rowOff>19049</xdr:rowOff>
    </xdr:from>
    <xdr:to>
      <xdr:col>21</xdr:col>
      <xdr:colOff>428626</xdr:colOff>
      <xdr:row>58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400049</xdr:colOff>
      <xdr:row>102</xdr:row>
      <xdr:rowOff>133350</xdr:rowOff>
    </xdr:from>
    <xdr:to>
      <xdr:col>19</xdr:col>
      <xdr:colOff>123824</xdr:colOff>
      <xdr:row>109</xdr:row>
      <xdr:rowOff>152401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400050</xdr:colOff>
      <xdr:row>4</xdr:row>
      <xdr:rowOff>228600</xdr:rowOff>
    </xdr:from>
    <xdr:to>
      <xdr:col>12</xdr:col>
      <xdr:colOff>190500</xdr:colOff>
      <xdr:row>4</xdr:row>
      <xdr:rowOff>876300</xdr:rowOff>
    </xdr:to>
    <xdr:pic>
      <xdr:nvPicPr>
        <xdr:cNvPr id="5" name="Picture 4" descr="Voile type 1.pn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24823" b="26950"/>
        <a:stretch>
          <a:fillRect/>
        </a:stretch>
      </xdr:blipFill>
      <xdr:spPr>
        <a:xfrm>
          <a:off x="2638425" y="885825"/>
          <a:ext cx="5629275" cy="64770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5</xdr:row>
      <xdr:rowOff>57150</xdr:rowOff>
    </xdr:from>
    <xdr:to>
      <xdr:col>12</xdr:col>
      <xdr:colOff>228600</xdr:colOff>
      <xdr:row>5</xdr:row>
      <xdr:rowOff>1028700</xdr:rowOff>
    </xdr:to>
    <xdr:pic>
      <xdr:nvPicPr>
        <xdr:cNvPr id="6" name="Picture 5" descr="voile type 2-2.pn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t="10949" b="14598"/>
        <a:stretch>
          <a:fillRect/>
        </a:stretch>
      </xdr:blipFill>
      <xdr:spPr>
        <a:xfrm>
          <a:off x="2438400" y="1771650"/>
          <a:ext cx="5715000" cy="971550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6</xdr:row>
      <xdr:rowOff>57150</xdr:rowOff>
    </xdr:from>
    <xdr:to>
      <xdr:col>12</xdr:col>
      <xdr:colOff>209550</xdr:colOff>
      <xdr:row>6</xdr:row>
      <xdr:rowOff>1028700</xdr:rowOff>
    </xdr:to>
    <xdr:pic>
      <xdr:nvPicPr>
        <xdr:cNvPr id="8" name="Picture 7" descr="Voile type 3.pn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t="11111" b="13333"/>
        <a:stretch>
          <a:fillRect/>
        </a:stretch>
      </xdr:blipFill>
      <xdr:spPr>
        <a:xfrm>
          <a:off x="2419350" y="2838450"/>
          <a:ext cx="5715000" cy="971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33</xdr:row>
      <xdr:rowOff>171450</xdr:rowOff>
    </xdr:from>
    <xdr:ext cx="3162300" cy="25336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190500</xdr:colOff>
      <xdr:row>22</xdr:row>
      <xdr:rowOff>0</xdr:rowOff>
    </xdr:from>
    <xdr:ext cx="38100" cy="0"/>
    <xdr:grpSp>
      <xdr:nvGrpSpPr>
        <xdr:cNvPr id="3" name="Shape 2"/>
        <xdr:cNvGrpSpPr/>
      </xdr:nvGrpSpPr>
      <xdr:grpSpPr>
        <a:xfrm>
          <a:off x="5981700" y="4267200"/>
          <a:ext cx="38100" cy="0"/>
          <a:chOff x="5981700" y="4267200"/>
          <a:chExt cx="38100" cy="0"/>
        </a:xfrm>
      </xdr:grpSpPr>
      <xdr:cxnSp macro="">
        <xdr:nvCxnSpPr>
          <xdr:cNvPr id="4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0</xdr:colOff>
      <xdr:row>0</xdr:row>
      <xdr:rowOff>0</xdr:rowOff>
    </xdr:from>
    <xdr:ext cx="5229225" cy="3314700"/>
    <xdr:sp macro="" textlink="">
      <xdr:nvSpPr>
        <xdr:cNvPr id="5" name="Shape 4"/>
        <xdr:cNvSpPr txBox="1"/>
      </xdr:nvSpPr>
      <xdr:spPr>
        <a:xfrm>
          <a:off x="12506325" y="0"/>
          <a:ext cx="5229225" cy="3314700"/>
        </a:xfrm>
        <a:prstGeom prst="rect">
          <a:avLst/>
        </a:prstGeom>
        <a:solidFill>
          <a:srgbClr val="FFFF99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propos de cette Feuille de Calcul ...</a:t>
          </a:r>
          <a:endParaRPr sz="10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Feuille de Calcul permet de calculer le moment résistant ultime, Mru, d'une section rectangulaire en béton armé soumise a une flexion composée (N et M) aux états limites ultimes (durables ou accidentelles).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Comment utiliser cette feuille de calcul ? 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N.B.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Seules les cellules a fond vert sont accessibles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Introduire les caractéristiques des materiaux (Béton et Acier)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Choisir le coefficient de durée de chargement et les coefficients de sécurite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Introduire l'effort normal sollicitant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Introduire les dimensions (b et h) de la section ainsi que les sections d'armatures tendues et comprimées et leurs CdG.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Hypotheses de calcul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Les sections droites restent planes après déformation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La résistance 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à la traction </a:t>
          </a:r>
          <a:r>
            <a:rPr lang="en-US" sz="10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du béton est négligée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Références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Règles BAEL 91 modif. 99 (CBA93)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James K. Wight, Reinforced Concrete - Mechanics and Design, 7th edition (2016), Edition Pearson</a:t>
          </a:r>
          <a:endParaRPr sz="1400"/>
        </a:p>
      </xdr:txBody>
    </xdr:sp>
    <xdr:clientData fLocksWithSheet="0"/>
  </xdr:oneCellAnchor>
  <xdr:oneCellAnchor>
    <xdr:from>
      <xdr:col>1</xdr:col>
      <xdr:colOff>190500</xdr:colOff>
      <xdr:row>24</xdr:row>
      <xdr:rowOff>47625</xdr:rowOff>
    </xdr:from>
    <xdr:ext cx="4114800" cy="1714500"/>
    <xdr:pic>
      <xdr:nvPicPr>
        <xdr:cNvPr id="6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52525" y="4391025"/>
          <a:ext cx="4114800" cy="1714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28575</xdr:rowOff>
    </xdr:from>
    <xdr:ext cx="523875" cy="590550"/>
    <xdr:pic>
      <xdr:nvPicPr>
        <xdr:cNvPr id="7" name="image2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2875" y="28575"/>
          <a:ext cx="523875" cy="5905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5</xdr:row>
      <xdr:rowOff>228599</xdr:rowOff>
    </xdr:from>
    <xdr:to>
      <xdr:col>7</xdr:col>
      <xdr:colOff>485775</xdr:colOff>
      <xdr:row>11</xdr:row>
      <xdr:rowOff>171450</xdr:rowOff>
    </xdr:to>
    <xdr:sp macro="" textlink="">
      <xdr:nvSpPr>
        <xdr:cNvPr id="2" name="Cube 1"/>
        <xdr:cNvSpPr/>
      </xdr:nvSpPr>
      <xdr:spPr>
        <a:xfrm flipH="1">
          <a:off x="2876550" y="1381124"/>
          <a:ext cx="2000250" cy="1314451"/>
        </a:xfrm>
        <a:prstGeom prst="cube">
          <a:avLst>
            <a:gd name="adj" fmla="val 12171"/>
          </a:avLst>
        </a:prstGeom>
        <a:blipFill>
          <a:blip xmlns:r="http://schemas.openxmlformats.org/officeDocument/2006/relationships" r:embed="rId1" cstate="print"/>
          <a:tile tx="0" ty="0" sx="100000" sy="100000" flip="none" algn="tl"/>
        </a:blip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266701</xdr:colOff>
      <xdr:row>20</xdr:row>
      <xdr:rowOff>95249</xdr:rowOff>
    </xdr:from>
    <xdr:to>
      <xdr:col>14</xdr:col>
      <xdr:colOff>390525</xdr:colOff>
      <xdr:row>32</xdr:row>
      <xdr:rowOff>794</xdr:rowOff>
    </xdr:to>
    <xdr:pic>
      <xdr:nvPicPr>
        <xdr:cNvPr id="1434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05126" y="5048249"/>
          <a:ext cx="6219824" cy="28773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104775</xdr:colOff>
      <xdr:row>3</xdr:row>
      <xdr:rowOff>95250</xdr:rowOff>
    </xdr:from>
    <xdr:to>
      <xdr:col>15</xdr:col>
      <xdr:colOff>481950</xdr:colOff>
      <xdr:row>19</xdr:row>
      <xdr:rowOff>219075</xdr:rowOff>
    </xdr:to>
    <xdr:grpSp>
      <xdr:nvGrpSpPr>
        <xdr:cNvPr id="17" name="Group 16"/>
        <xdr:cNvGrpSpPr/>
      </xdr:nvGrpSpPr>
      <xdr:grpSpPr>
        <a:xfrm>
          <a:off x="2133600" y="714375"/>
          <a:ext cx="7692375" cy="4171950"/>
          <a:chOff x="2114550" y="647700"/>
          <a:chExt cx="7692375" cy="4171950"/>
        </a:xfrm>
      </xdr:grpSpPr>
      <xdr:pic>
        <xdr:nvPicPr>
          <xdr:cNvPr id="14342" name="Picture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 t="2709"/>
          <a:stretch>
            <a:fillRect/>
          </a:stretch>
        </xdr:blipFill>
        <xdr:spPr bwMode="auto">
          <a:xfrm>
            <a:off x="2114550" y="714375"/>
            <a:ext cx="4710361" cy="41052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6" name="Picture 5" descr="image-removebg-preview.png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lum bright="-10000" contrast="30000"/>
          </a:blip>
          <a:stretch>
            <a:fillRect/>
          </a:stretch>
        </xdr:blipFill>
        <xdr:spPr>
          <a:xfrm>
            <a:off x="6523940" y="647700"/>
            <a:ext cx="3282985" cy="3428999"/>
          </a:xfrm>
          <a:prstGeom prst="rect">
            <a:avLst/>
          </a:prstGeom>
        </xdr:spPr>
      </xdr:pic>
      <xdr:sp macro="" textlink="$R$17">
        <xdr:nvSpPr>
          <xdr:cNvPr id="11" name="TextBox 10"/>
          <xdr:cNvSpPr txBox="1"/>
        </xdr:nvSpPr>
        <xdr:spPr>
          <a:xfrm>
            <a:off x="9134475" y="2486025"/>
            <a:ext cx="648000" cy="276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overflow" wrap="square" lIns="0" tIns="0" rIns="0" bIns="0" rtlCol="0" anchor="ctr">
            <a:noAutofit/>
          </a:bodyPr>
          <a:lstStyle/>
          <a:p>
            <a:pPr marL="0" indent="0" algn="ctr"/>
            <a:fld id="{A4E71A4B-95D0-4461-AB2E-9351B7A78071}" type="TxLink">
              <a:rPr lang="en-US" sz="1000" b="1" i="0" u="none" strike="noStrike">
                <a:solidFill>
                  <a:srgbClr val="0070C0"/>
                </a:solidFill>
                <a:latin typeface="Calibri"/>
                <a:ea typeface="+mn-ea"/>
                <a:cs typeface="Arial" pitchFamily="34" charset="0"/>
              </a:rPr>
              <a:pPr marL="0" indent="0" algn="ctr"/>
              <a:t>9.24 cm2</a:t>
            </a:fld>
            <a:endParaRPr lang="fr-FR" sz="700" b="1">
              <a:solidFill>
                <a:srgbClr val="0070C0"/>
              </a:solidFill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$R$8">
        <xdr:nvSpPr>
          <xdr:cNvPr id="12" name="TextBox 11"/>
          <xdr:cNvSpPr txBox="1"/>
        </xdr:nvSpPr>
        <xdr:spPr>
          <a:xfrm>
            <a:off x="7400925" y="1009650"/>
            <a:ext cx="648000" cy="276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overflow" wrap="square" lIns="0" tIns="0" rIns="0" bIns="0" rtlCol="0" anchor="ctr">
            <a:noAutofit/>
          </a:bodyPr>
          <a:lstStyle/>
          <a:p>
            <a:pPr marL="0" indent="0" algn="ctr"/>
            <a:fld id="{E9E03E9D-E4BF-466F-9EEC-0FE4C4FC21AC}" type="TxLink">
              <a:rPr lang="en-US" sz="1000" b="1" i="0" u="none" strike="noStrike">
                <a:solidFill>
                  <a:srgbClr val="0070C0"/>
                </a:solidFill>
                <a:latin typeface="Calibri"/>
                <a:ea typeface="+mn-ea"/>
                <a:cs typeface="Arial" pitchFamily="34" charset="0"/>
              </a:rPr>
              <a:pPr marL="0" indent="0" algn="ctr"/>
              <a:t>4.02 cm2</a:t>
            </a:fld>
            <a:endParaRPr lang="fr-FR" sz="500" b="1">
              <a:solidFill>
                <a:srgbClr val="0070C0"/>
              </a:solidFill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$R$15">
        <xdr:nvSpPr>
          <xdr:cNvPr id="13" name="TextBox 12"/>
          <xdr:cNvSpPr txBox="1"/>
        </xdr:nvSpPr>
        <xdr:spPr>
          <a:xfrm>
            <a:off x="7315200" y="1762125"/>
            <a:ext cx="648000" cy="276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overflow" wrap="square" lIns="0" tIns="0" rIns="0" bIns="0" rtlCol="0" anchor="ctr">
            <a:noAutofit/>
          </a:bodyPr>
          <a:lstStyle/>
          <a:p>
            <a:pPr marL="0" indent="0" algn="ctr"/>
            <a:fld id="{E8AD77CA-B03A-46DA-AF18-C25A60E72662}" type="TxLink">
              <a:rPr lang="en-US" sz="1000" b="1" i="0" u="none" strike="noStrike">
                <a:solidFill>
                  <a:srgbClr val="0070C0"/>
                </a:solidFill>
                <a:latin typeface="Calibri"/>
                <a:ea typeface="+mn-ea"/>
                <a:cs typeface="Arial" pitchFamily="34" charset="0"/>
              </a:rPr>
              <a:pPr marL="0" indent="0" algn="ctr"/>
              <a:t>6.03 cm2</a:t>
            </a:fld>
            <a:endParaRPr lang="fr-FR" sz="300" b="1">
              <a:solidFill>
                <a:srgbClr val="0070C0"/>
              </a:solidFill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$Q$13">
        <xdr:nvSpPr>
          <xdr:cNvPr id="14" name="TextBox 13"/>
          <xdr:cNvSpPr txBox="1"/>
        </xdr:nvSpPr>
        <xdr:spPr>
          <a:xfrm>
            <a:off x="7038975" y="2495550"/>
            <a:ext cx="648000" cy="276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overflow" wrap="square" lIns="0" tIns="0" rIns="0" bIns="0" rtlCol="0" anchor="ctr">
            <a:noAutofit/>
          </a:bodyPr>
          <a:lstStyle/>
          <a:p>
            <a:pPr marL="0" indent="0" algn="ctr"/>
            <a:fld id="{182EE88B-DEC0-4ECE-84ED-0E2EDC88C441}" type="TxLink">
              <a:rPr lang="en-US" sz="1000" b="1" i="0" u="none" strike="noStrike">
                <a:solidFill>
                  <a:srgbClr val="0070C0"/>
                </a:solidFill>
                <a:latin typeface="Calibri"/>
                <a:ea typeface="+mn-ea"/>
                <a:cs typeface="Arial" pitchFamily="34" charset="0"/>
              </a:rPr>
              <a:pPr marL="0" indent="0" algn="ctr"/>
              <a:t>1.01 cm2</a:t>
            </a:fld>
            <a:endParaRPr lang="fr-FR" sz="100" b="1">
              <a:solidFill>
                <a:srgbClr val="0070C0"/>
              </a:solidFill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'Calcul linteaux'!K15:N15">
        <xdr:nvSpPr>
          <xdr:cNvPr id="16" name="TextBox 15"/>
          <xdr:cNvSpPr txBox="1"/>
        </xdr:nvSpPr>
        <xdr:spPr>
          <a:xfrm>
            <a:off x="8601074" y="1038225"/>
            <a:ext cx="1095375" cy="276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overflow" wrap="square" lIns="0" tIns="0" rIns="0" bIns="0" rtlCol="0" anchor="ctr">
            <a:noAutofit/>
          </a:bodyPr>
          <a:lstStyle/>
          <a:p>
            <a:pPr marL="0" indent="0" algn="ctr"/>
            <a:fld id="{AD8FA7BA-C82D-4385-AB2F-68E808F98749}" type="TxLink">
              <a:rPr lang="en-US" sz="800" b="1" i="0" u="none" strike="noStrike">
                <a:solidFill>
                  <a:srgbClr val="0070C0"/>
                </a:solidFill>
                <a:latin typeface="Calibri"/>
                <a:ea typeface="+mn-ea"/>
                <a:cs typeface="Arial" pitchFamily="34" charset="0"/>
              </a:rPr>
              <a:pPr marL="0" indent="0" algn="ctr"/>
              <a:t> </a:t>
            </a:fld>
            <a:endParaRPr lang="fr-FR" sz="100" b="1">
              <a:solidFill>
                <a:srgbClr val="0070C0"/>
              </a:solidFill>
              <a:latin typeface="Arial" pitchFamily="34" charset="0"/>
              <a:ea typeface="+mn-ea"/>
              <a:cs typeface="Arial" pitchFamily="34" charset="0"/>
            </a:endParaRPr>
          </a:p>
        </xdr:txBody>
      </xdr:sp>
    </xdr:grpSp>
    <xdr:clientData/>
  </xdr:twoCellAnchor>
  <xdr:twoCellAnchor>
    <xdr:from>
      <xdr:col>10</xdr:col>
      <xdr:colOff>609599</xdr:colOff>
      <xdr:row>6</xdr:row>
      <xdr:rowOff>161925</xdr:rowOff>
    </xdr:from>
    <xdr:to>
      <xdr:col>12</xdr:col>
      <xdr:colOff>457200</xdr:colOff>
      <xdr:row>8</xdr:row>
      <xdr:rowOff>76200</xdr:rowOff>
    </xdr:to>
    <xdr:sp macro="" textlink="">
      <xdr:nvSpPr>
        <xdr:cNvPr id="18" name="TextBox 17"/>
        <xdr:cNvSpPr txBox="1"/>
      </xdr:nvSpPr>
      <xdr:spPr>
        <a:xfrm>
          <a:off x="6905624" y="1428750"/>
          <a:ext cx="1066801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overflow" wrap="square" lIns="0" tIns="0" rIns="0" bIns="0" rtlCol="0" anchor="ctr">
          <a:noAutofit/>
        </a:bodyPr>
        <a:lstStyle/>
        <a:p>
          <a:pPr marL="0" indent="0" algn="ctr"/>
          <a:r>
            <a:rPr lang="fr-FR" sz="1000" b="0" i="0">
              <a:solidFill>
                <a:schemeClr val="tx1"/>
              </a:solidFill>
              <a:latin typeface="+mn-lt"/>
              <a:ea typeface="+mn-ea"/>
              <a:cs typeface="+mn-cs"/>
            </a:rPr>
            <a:t>Aciers longitudinaux de flexion </a:t>
          </a:r>
          <a:r>
            <a:rPr lang="fr-FR" sz="700"/>
            <a:t/>
          </a:r>
          <a:br>
            <a:rPr lang="fr-FR" sz="700"/>
          </a:br>
          <a:endParaRPr lang="fr-FR" sz="70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10</xdr:col>
      <xdr:colOff>304801</xdr:colOff>
      <xdr:row>9</xdr:row>
      <xdr:rowOff>200025</xdr:rowOff>
    </xdr:from>
    <xdr:to>
      <xdr:col>12</xdr:col>
      <xdr:colOff>495301</xdr:colOff>
      <xdr:row>11</xdr:row>
      <xdr:rowOff>114300</xdr:rowOff>
    </xdr:to>
    <xdr:sp macro="" textlink="">
      <xdr:nvSpPr>
        <xdr:cNvPr id="19" name="TextBox 18"/>
        <xdr:cNvSpPr txBox="1"/>
      </xdr:nvSpPr>
      <xdr:spPr>
        <a:xfrm>
          <a:off x="6600826" y="2209800"/>
          <a:ext cx="1409700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overflow" wrap="square" lIns="0" tIns="0" rIns="0" bIns="0" rtlCol="0" anchor="ctr">
          <a:noAutofit/>
        </a:bodyPr>
        <a:lstStyle/>
        <a:p>
          <a:pPr marL="0" indent="0" algn="ctr"/>
          <a:r>
            <a:rPr lang="fr-FR" sz="1000" b="0" i="0">
              <a:solidFill>
                <a:schemeClr val="tx1"/>
              </a:solidFill>
              <a:latin typeface="+mn-lt"/>
              <a:ea typeface="+mn-ea"/>
              <a:cs typeface="+mn-cs"/>
            </a:rPr>
            <a:t>Aciers en partie courante (aciers de peau)</a:t>
          </a:r>
          <a:endParaRPr lang="fr-FR" sz="70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10</xdr:col>
      <xdr:colOff>180975</xdr:colOff>
      <xdr:row>12</xdr:row>
      <xdr:rowOff>152401</xdr:rowOff>
    </xdr:from>
    <xdr:to>
      <xdr:col>12</xdr:col>
      <xdr:colOff>238125</xdr:colOff>
      <xdr:row>13</xdr:row>
      <xdr:rowOff>209551</xdr:rowOff>
    </xdr:to>
    <xdr:sp macro="" textlink="">
      <xdr:nvSpPr>
        <xdr:cNvPr id="20" name="TextBox 19"/>
        <xdr:cNvSpPr txBox="1"/>
      </xdr:nvSpPr>
      <xdr:spPr>
        <a:xfrm>
          <a:off x="6477000" y="2905126"/>
          <a:ext cx="127635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overflow" wrap="square" lIns="0" tIns="0" rIns="0" bIns="0" rtlCol="0" anchor="ctr">
          <a:noAutofit/>
        </a:bodyPr>
        <a:lstStyle/>
        <a:p>
          <a:pPr marL="0" indent="0" algn="ctr"/>
          <a:r>
            <a:rPr lang="fr-FR" sz="1000" b="0" i="0">
              <a:solidFill>
                <a:schemeClr val="tx1"/>
              </a:solidFill>
              <a:latin typeface="+mn-lt"/>
              <a:ea typeface="+mn-ea"/>
              <a:cs typeface="+mn-cs"/>
            </a:rPr>
            <a:t>Aciers transversaux</a:t>
          </a:r>
          <a:r>
            <a:rPr lang="fr-FR" sz="800"/>
            <a:t> </a:t>
          </a:r>
          <a:endParaRPr lang="fr-FR" sz="50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14</xdr:col>
      <xdr:colOff>28575</xdr:colOff>
      <xdr:row>12</xdr:row>
      <xdr:rowOff>0</xdr:rowOff>
    </xdr:from>
    <xdr:to>
      <xdr:col>15</xdr:col>
      <xdr:colOff>571500</xdr:colOff>
      <xdr:row>13</xdr:row>
      <xdr:rowOff>180976</xdr:rowOff>
    </xdr:to>
    <xdr:sp macro="" textlink="">
      <xdr:nvSpPr>
        <xdr:cNvPr id="21" name="TextBox 20"/>
        <xdr:cNvSpPr txBox="1"/>
      </xdr:nvSpPr>
      <xdr:spPr>
        <a:xfrm>
          <a:off x="8763000" y="2752725"/>
          <a:ext cx="1152525" cy="428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overflow" wrap="square" lIns="0" tIns="0" rIns="0" bIns="0" rtlCol="0" anchor="ctr">
          <a:noAutofit/>
        </a:bodyPr>
        <a:lstStyle/>
        <a:p>
          <a:pPr marL="0" indent="0" algn="ctr"/>
          <a:r>
            <a:rPr lang="fr-FR" sz="1000" b="0" i="0">
              <a:solidFill>
                <a:schemeClr val="tx1"/>
              </a:solidFill>
              <a:latin typeface="+mn-lt"/>
              <a:ea typeface="+mn-ea"/>
              <a:cs typeface="+mn-cs"/>
            </a:rPr>
            <a:t>Armatures diagonales</a:t>
          </a:r>
          <a:endParaRPr lang="fr-FR" sz="50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13</xdr:col>
      <xdr:colOff>571500</xdr:colOff>
      <xdr:row>7</xdr:row>
      <xdr:rowOff>190500</xdr:rowOff>
    </xdr:from>
    <xdr:to>
      <xdr:col>15</xdr:col>
      <xdr:colOff>504825</xdr:colOff>
      <xdr:row>9</xdr:row>
      <xdr:rowOff>123826</xdr:rowOff>
    </xdr:to>
    <xdr:sp macro="" textlink="">
      <xdr:nvSpPr>
        <xdr:cNvPr id="22" name="TextBox 21"/>
        <xdr:cNvSpPr txBox="1"/>
      </xdr:nvSpPr>
      <xdr:spPr>
        <a:xfrm>
          <a:off x="8696325" y="1704975"/>
          <a:ext cx="1152525" cy="4286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overflow" wrap="square" lIns="0" tIns="0" rIns="0" bIns="0" rtlCol="0" anchor="ctr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900" b="0" i="0">
              <a:solidFill>
                <a:schemeClr val="tx1"/>
              </a:solidFill>
              <a:latin typeface="+mn-lt"/>
              <a:ea typeface="+mn-ea"/>
              <a:cs typeface="+mn-cs"/>
            </a:rPr>
            <a:t>Aciers transversaux</a:t>
          </a:r>
          <a:r>
            <a:rPr lang="fr-FR" sz="90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ctr"/>
          <a:r>
            <a:rPr lang="fr-FR" sz="900" b="0" i="0">
              <a:solidFill>
                <a:schemeClr val="tx1"/>
              </a:solidFill>
              <a:latin typeface="+mn-lt"/>
              <a:ea typeface="+mn-ea"/>
              <a:cs typeface="+mn-cs"/>
            </a:rPr>
            <a:t> pour des armatures diagonales</a:t>
          </a:r>
          <a:endParaRPr lang="fr-FR" sz="40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14</xdr:col>
      <xdr:colOff>38099</xdr:colOff>
      <xdr:row>14</xdr:row>
      <xdr:rowOff>66675</xdr:rowOff>
    </xdr:from>
    <xdr:to>
      <xdr:col>15</xdr:col>
      <xdr:colOff>495300</xdr:colOff>
      <xdr:row>15</xdr:row>
      <xdr:rowOff>228600</xdr:rowOff>
    </xdr:to>
    <xdr:sp macro="" textlink="">
      <xdr:nvSpPr>
        <xdr:cNvPr id="23" name="TextBox 22"/>
        <xdr:cNvSpPr txBox="1"/>
      </xdr:nvSpPr>
      <xdr:spPr>
        <a:xfrm>
          <a:off x="8772524" y="3314700"/>
          <a:ext cx="1066801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overflow" wrap="square" lIns="0" tIns="0" rIns="0" bIns="0" rtlCol="0" anchor="ctr">
          <a:noAutofit/>
        </a:bodyPr>
        <a:lstStyle/>
        <a:p>
          <a:pPr marL="0" indent="0" algn="ctr"/>
          <a:r>
            <a:rPr lang="fr-FR" sz="1000" b="0" i="0">
              <a:solidFill>
                <a:schemeClr val="tx1"/>
              </a:solidFill>
              <a:latin typeface="+mn-lt"/>
              <a:ea typeface="+mn-ea"/>
              <a:cs typeface="+mn-cs"/>
            </a:rPr>
            <a:t>Aciers longitudinaux de flexion </a:t>
          </a:r>
          <a:r>
            <a:rPr lang="fr-FR" sz="700"/>
            <a:t/>
          </a:r>
          <a:br>
            <a:rPr lang="fr-FR" sz="700"/>
          </a:br>
          <a:endParaRPr lang="fr-FR" sz="70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 editAs="oneCell">
    <xdr:from>
      <xdr:col>17</xdr:col>
      <xdr:colOff>295275</xdr:colOff>
      <xdr:row>1</xdr:row>
      <xdr:rowOff>19050</xdr:rowOff>
    </xdr:from>
    <xdr:to>
      <xdr:col>17</xdr:col>
      <xdr:colOff>763275</xdr:colOff>
      <xdr:row>2</xdr:row>
      <xdr:rowOff>239400</xdr:rowOff>
    </xdr:to>
    <xdr:pic>
      <xdr:nvPicPr>
        <xdr:cNvPr id="24" name="Picture 23" descr="Logo Morsli.png"/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-30000"/>
        </a:blip>
        <a:stretch>
          <a:fillRect/>
        </a:stretch>
      </xdr:blipFill>
      <xdr:spPr>
        <a:xfrm>
          <a:off x="11201400" y="142875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0</xdr:row>
      <xdr:rowOff>104775</xdr:rowOff>
    </xdr:from>
    <xdr:to>
      <xdr:col>31</xdr:col>
      <xdr:colOff>332427</xdr:colOff>
      <xdr:row>124</xdr:row>
      <xdr:rowOff>177134</xdr:rowOff>
    </xdr:to>
    <xdr:pic>
      <xdr:nvPicPr>
        <xdr:cNvPr id="25" name="Picture 24" descr="Linteaux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153900" y="104775"/>
          <a:ext cx="7590477" cy="3074285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38099</xdr:colOff>
      <xdr:row>2</xdr:row>
      <xdr:rowOff>9523</xdr:rowOff>
    </xdr:from>
    <xdr:to>
      <xdr:col>12</xdr:col>
      <xdr:colOff>472499</xdr:colOff>
      <xdr:row>4</xdr:row>
      <xdr:rowOff>5773</xdr:rowOff>
    </xdr:to>
    <xdr:pic>
      <xdr:nvPicPr>
        <xdr:cNvPr id="3" name="Picture 2" descr="ChatGPT Image 6 déc. 2025, 16_58_4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43699" y="400048"/>
          <a:ext cx="1044000" cy="1044000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bc/Desktop/02-EXCELCALCS/PILE%20Analysis_Design%201.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%20RPA2024/RC%20SHEAR%20WALL%201.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Report"/>
      <sheetName val="fem"/>
    </sheetNames>
    <sheetDataSet>
      <sheetData sheetId="0">
        <row r="8">
          <cell r="HQ8">
            <v>1884.9555921538758</v>
          </cell>
        </row>
        <row r="10">
          <cell r="FL10">
            <v>677.66808265220084</v>
          </cell>
          <cell r="GN10">
            <v>2820.5611543010864</v>
          </cell>
        </row>
        <row r="13">
          <cell r="GN13">
            <v>0.33183072403542191</v>
          </cell>
          <cell r="HQ13">
            <v>140.74335088082273</v>
          </cell>
        </row>
        <row r="16">
          <cell r="EB16">
            <v>468.87892041829542</v>
          </cell>
          <cell r="GJ16">
            <v>155.71896717694244</v>
          </cell>
          <cell r="IR16">
            <v>254.02682628413021</v>
          </cell>
        </row>
        <row r="18">
          <cell r="FL18">
            <v>0.39629790845227164</v>
          </cell>
        </row>
        <row r="19">
          <cell r="KZ19">
            <v>7</v>
          </cell>
        </row>
        <row r="20">
          <cell r="HQ20">
            <v>2613.8050877867081</v>
          </cell>
        </row>
        <row r="22">
          <cell r="EB22">
            <v>1402.1193036933544</v>
          </cell>
        </row>
        <row r="25">
          <cell r="HQ25">
            <v>157.07963267948966</v>
          </cell>
        </row>
        <row r="29">
          <cell r="FG29">
            <v>1257.3600000000001</v>
          </cell>
        </row>
        <row r="30">
          <cell r="EB30">
            <v>7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yfa1"/>
      <sheetName val="Sayfa2"/>
      <sheetName val="Sayfa3"/>
    </sheetNames>
    <sheetDataSet>
      <sheetData sheetId="0">
        <row r="16">
          <cell r="M16">
            <v>500</v>
          </cell>
        </row>
        <row r="17">
          <cell r="M17">
            <v>220</v>
          </cell>
        </row>
        <row r="18">
          <cell r="M18">
            <v>30</v>
          </cell>
        </row>
        <row r="23">
          <cell r="AQ23">
            <v>5000</v>
          </cell>
        </row>
        <row r="24">
          <cell r="AQ24">
            <v>300</v>
          </cell>
        </row>
        <row r="25">
          <cell r="AQ25">
            <v>500</v>
          </cell>
        </row>
        <row r="26">
          <cell r="AQ26">
            <v>250</v>
          </cell>
        </row>
        <row r="27">
          <cell r="AQ27">
            <v>400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overflow" horzOverflow="overflow" wrap="none" lIns="0" tIns="0" rIns="0" bIns="0" rtlCol="0" anchor="ctr">
        <a:noAutofit/>
      </a:bodyPr>
      <a:lstStyle>
        <a:defPPr marL="0" indent="0" algn="ctr">
          <a:defRPr sz="90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afik.taleb.dz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mailto:hammoutota@gmail.com" TargetMode="External"/><Relationship Id="rId1" Type="http://schemas.openxmlformats.org/officeDocument/2006/relationships/hyperlink" Target="https://t.me/MorsliHamm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6">
    <tabColor rgb="FF00B050"/>
  </sheetPr>
  <dimension ref="B1:R42"/>
  <sheetViews>
    <sheetView showGridLines="0" tabSelected="1" zoomScaleNormal="100" workbookViewId="0">
      <selection activeCell="Q12" sqref="Q12"/>
    </sheetView>
  </sheetViews>
  <sheetFormatPr defaultRowHeight="15"/>
  <cols>
    <col min="3" max="3" width="9.5703125" hidden="1" customWidth="1"/>
    <col min="5" max="5" width="10" bestFit="1" customWidth="1"/>
    <col min="7" max="7" width="9.7109375" bestFit="1" customWidth="1"/>
    <col min="8" max="9" width="9.85546875" customWidth="1"/>
    <col min="10" max="10" width="10.7109375" bestFit="1" customWidth="1"/>
  </cols>
  <sheetData>
    <row r="1" spans="2:17" ht="9.75" customHeight="1" thickBot="1"/>
    <row r="2" spans="2:17" ht="21" thickTop="1">
      <c r="B2" s="376" t="s">
        <v>89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8"/>
    </row>
    <row r="3" spans="2:17" ht="18" customHeight="1" thickBot="1">
      <c r="B3" s="11" t="s">
        <v>23</v>
      </c>
      <c r="C3" s="13" t="s">
        <v>64</v>
      </c>
      <c r="D3" s="13"/>
      <c r="E3" s="13" t="str">
        <f>Calcul!$C$2</f>
        <v>Vers 1.5.3</v>
      </c>
      <c r="F3" s="38"/>
      <c r="G3" s="38"/>
      <c r="H3" s="15"/>
      <c r="I3" s="15"/>
      <c r="J3" s="38"/>
      <c r="K3" s="38"/>
      <c r="L3" s="12"/>
      <c r="M3" s="61"/>
      <c r="N3" s="217"/>
    </row>
    <row r="4" spans="2:17" ht="16.5" thickTop="1" thickBot="1"/>
    <row r="5" spans="2:17" ht="19.5" thickTop="1" thickBot="1">
      <c r="D5" s="263" t="s">
        <v>80</v>
      </c>
      <c r="E5" s="264" t="s">
        <v>296</v>
      </c>
      <c r="F5" s="264" t="s">
        <v>297</v>
      </c>
      <c r="G5" s="358" t="s">
        <v>298</v>
      </c>
      <c r="H5" s="264" t="s">
        <v>299</v>
      </c>
      <c r="I5" s="264" t="s">
        <v>300</v>
      </c>
      <c r="J5" s="264" t="s">
        <v>304</v>
      </c>
      <c r="K5" s="264" t="s">
        <v>31</v>
      </c>
      <c r="L5" s="262" t="s">
        <v>294</v>
      </c>
      <c r="M5" s="262" t="s">
        <v>295</v>
      </c>
    </row>
    <row r="6" spans="2:17" ht="16.5" thickTop="1" thickBot="1">
      <c r="D6" s="364">
        <v>5</v>
      </c>
      <c r="E6" s="365">
        <v>15.3</v>
      </c>
      <c r="F6" s="231">
        <v>2.61</v>
      </c>
      <c r="G6" s="231">
        <v>1.6</v>
      </c>
      <c r="H6" s="231">
        <v>0.2</v>
      </c>
      <c r="I6" s="231">
        <v>2.5</v>
      </c>
      <c r="J6" s="231">
        <v>25</v>
      </c>
      <c r="K6" s="231">
        <v>400</v>
      </c>
      <c r="L6" s="231">
        <v>1.2</v>
      </c>
      <c r="M6" s="231">
        <v>1</v>
      </c>
    </row>
    <row r="7" spans="2:17" ht="17.25" thickTop="1" thickBot="1">
      <c r="D7" s="382" t="s">
        <v>74</v>
      </c>
      <c r="E7" s="382"/>
      <c r="F7" s="382"/>
      <c r="G7" s="382"/>
      <c r="H7" s="382"/>
      <c r="I7" s="382"/>
      <c r="J7" s="382"/>
      <c r="K7" s="382"/>
      <c r="L7" s="382"/>
      <c r="M7" s="382"/>
      <c r="P7" s="53"/>
      <c r="Q7" s="53"/>
    </row>
    <row r="8" spans="2:17" ht="16.5" thickTop="1" thickBot="1">
      <c r="D8" s="383" t="s">
        <v>72</v>
      </c>
      <c r="E8" s="384"/>
      <c r="F8" s="384"/>
      <c r="G8" s="384"/>
      <c r="H8" s="384"/>
      <c r="I8" s="384"/>
      <c r="J8" s="384"/>
      <c r="K8" s="384"/>
      <c r="L8" s="384"/>
      <c r="M8" s="385"/>
    </row>
    <row r="9" spans="2:17" ht="19.5" thickTop="1" thickBot="1">
      <c r="D9" s="265" t="s">
        <v>210</v>
      </c>
      <c r="E9" s="265" t="s">
        <v>211</v>
      </c>
      <c r="F9" s="265" t="s">
        <v>212</v>
      </c>
      <c r="G9" s="265" t="s">
        <v>367</v>
      </c>
      <c r="H9" s="265" t="s">
        <v>45</v>
      </c>
      <c r="I9" s="389" t="s">
        <v>67</v>
      </c>
      <c r="J9" s="390"/>
      <c r="K9" s="390"/>
      <c r="L9" s="390"/>
      <c r="M9" s="391"/>
      <c r="N9" s="53"/>
      <c r="O9" s="53"/>
      <c r="P9" s="53"/>
      <c r="Q9" s="53"/>
    </row>
    <row r="10" spans="2:17" ht="17.25" thickTop="1" thickBot="1">
      <c r="D10" s="231">
        <v>1</v>
      </c>
      <c r="E10" s="231">
        <v>0.52</v>
      </c>
      <c r="F10" s="231">
        <v>0.25</v>
      </c>
      <c r="G10" s="231">
        <v>663.8</v>
      </c>
      <c r="H10" s="266">
        <f>Calcul!$M$106</f>
        <v>4.5</v>
      </c>
      <c r="I10" s="392" t="str">
        <f>IF($E$6/$G$6&lt;=2/3,"VOILES DE GRANDES DIMENSIONS ",IF($E$6/$G$6&lt;=2,"VOILES COURTS","VOILES ELANCES"))</f>
        <v>VOILES ELANCES</v>
      </c>
      <c r="J10" s="393"/>
      <c r="K10" s="393"/>
      <c r="L10" s="393"/>
      <c r="M10" s="394"/>
      <c r="N10" s="53"/>
      <c r="O10" s="53"/>
      <c r="P10" s="53"/>
      <c r="Q10" s="53"/>
    </row>
    <row r="11" spans="2:17" ht="17.25" thickTop="1" thickBot="1">
      <c r="D11" s="386" t="s">
        <v>10</v>
      </c>
      <c r="E11" s="387"/>
      <c r="F11" s="387"/>
      <c r="G11" s="387"/>
      <c r="H11" s="387"/>
      <c r="I11" s="387"/>
      <c r="J11" s="387"/>
      <c r="K11" s="387"/>
      <c r="L11" s="387"/>
      <c r="M11" s="388"/>
      <c r="N11" s="53"/>
      <c r="O11" s="53"/>
      <c r="P11" s="53"/>
      <c r="Q11" s="53"/>
    </row>
    <row r="12" spans="2:17" ht="17.25" thickTop="1" thickBot="1">
      <c r="D12" s="379" t="str">
        <f>IF(Calcul!J75="OUI","Il est nécessaire de modifier les moments fléchissants résultant du calcul de structure","il n 'est pas necessaire de  modifier les moments flechissants, resultant du calcul de structure")</f>
        <v>Il est nécessaire de modifier les moments fléchissants résultant du calcul de structure</v>
      </c>
      <c r="E12" s="380"/>
      <c r="F12" s="380"/>
      <c r="G12" s="380"/>
      <c r="H12" s="380"/>
      <c r="I12" s="380"/>
      <c r="J12" s="380"/>
      <c r="K12" s="380"/>
      <c r="L12" s="380"/>
      <c r="M12" s="381"/>
      <c r="N12" s="53"/>
      <c r="O12" s="53"/>
      <c r="P12" s="53"/>
      <c r="Q12" s="53"/>
    </row>
    <row r="13" spans="2:17" ht="16.5" thickTop="1" thickBot="1">
      <c r="D13" s="386" t="s">
        <v>11</v>
      </c>
      <c r="E13" s="387"/>
      <c r="F13" s="387"/>
      <c r="G13" s="387"/>
      <c r="H13" s="387"/>
      <c r="I13" s="387"/>
      <c r="J13" s="387"/>
      <c r="K13" s="387"/>
      <c r="L13" s="387"/>
      <c r="M13" s="388"/>
    </row>
    <row r="14" spans="2:17" ht="16.5" thickTop="1" thickBot="1">
      <c r="D14" s="379" t="str">
        <f>IF(Calcul!E75="OUI","Il est nécessaire de modifier les efforts tranchants résultant du calcul de structure","Il n’est pas nécessaire de modifier les efforts tranchants résultant du calcul de structure")</f>
        <v>Il est nécessaire de modifier les efforts tranchants résultant du calcul de structure</v>
      </c>
      <c r="E14" s="380"/>
      <c r="F14" s="380"/>
      <c r="G14" s="380"/>
      <c r="H14" s="380"/>
      <c r="I14" s="380"/>
      <c r="J14" s="380"/>
      <c r="K14" s="380"/>
      <c r="L14" s="380"/>
      <c r="M14" s="381"/>
    </row>
    <row r="15" spans="2:17" ht="16.5" thickTop="1" thickBot="1">
      <c r="D15" s="202"/>
      <c r="E15" s="202"/>
      <c r="F15" s="202"/>
      <c r="G15" s="202"/>
      <c r="H15" s="202"/>
      <c r="I15" s="202"/>
      <c r="J15" s="202"/>
      <c r="K15" s="202"/>
      <c r="L15" s="202"/>
      <c r="M15" s="202"/>
    </row>
    <row r="16" spans="2:17" ht="16.5" thickTop="1" thickBot="1">
      <c r="D16" s="269" t="s">
        <v>16</v>
      </c>
      <c r="E16" s="260" t="s">
        <v>27</v>
      </c>
      <c r="F16" s="260" t="s">
        <v>301</v>
      </c>
      <c r="G16" s="260" t="s">
        <v>302</v>
      </c>
      <c r="H16" s="260" t="s">
        <v>303</v>
      </c>
      <c r="K16" s="202"/>
      <c r="L16" s="202"/>
      <c r="M16" s="202"/>
      <c r="N16" s="366" t="str">
        <f>' Données'!E6&amp;" m"</f>
        <v>15.3 m</v>
      </c>
    </row>
    <row r="17" spans="2:18" ht="16.5" thickTop="1" thickBot="1">
      <c r="B17" s="80"/>
      <c r="C17" s="79">
        <v>0</v>
      </c>
      <c r="D17" s="267">
        <f t="shared" ref="D17:D42" si="0">IF(C17&lt;=$D$6,C17," ")</f>
        <v>0</v>
      </c>
      <c r="E17" s="359">
        <v>0</v>
      </c>
      <c r="F17" s="360">
        <v>-600.51</v>
      </c>
      <c r="G17" s="360">
        <v>-144.03</v>
      </c>
      <c r="H17" s="360">
        <v>112.5</v>
      </c>
      <c r="K17" s="202"/>
      <c r="L17" s="202"/>
      <c r="M17" s="202"/>
      <c r="N17" s="374" t="s">
        <v>372</v>
      </c>
    </row>
    <row r="18" spans="2:18" ht="16.5" thickTop="1" thickBot="1">
      <c r="C18" s="79">
        <v>1</v>
      </c>
      <c r="D18" s="267">
        <f t="shared" si="0"/>
        <v>1</v>
      </c>
      <c r="E18" s="359">
        <v>3.06</v>
      </c>
      <c r="F18" s="360">
        <v>-365.4</v>
      </c>
      <c r="G18" s="360">
        <v>-44.76</v>
      </c>
      <c r="H18" s="360">
        <v>51.27</v>
      </c>
      <c r="K18" s="202"/>
      <c r="L18" s="202"/>
      <c r="M18" s="202"/>
      <c r="N18" s="374"/>
    </row>
    <row r="19" spans="2:18" ht="16.5" thickTop="1" thickBot="1">
      <c r="C19" s="79">
        <v>2</v>
      </c>
      <c r="D19" s="267">
        <f t="shared" si="0"/>
        <v>2</v>
      </c>
      <c r="E19" s="359">
        <v>6.12</v>
      </c>
      <c r="F19" s="360">
        <v>-250.31</v>
      </c>
      <c r="G19" s="360">
        <v>-8.74</v>
      </c>
      <c r="H19" s="360">
        <v>45.64</v>
      </c>
      <c r="K19" s="202"/>
      <c r="L19" s="202"/>
      <c r="M19" s="202"/>
      <c r="N19" s="374"/>
    </row>
    <row r="20" spans="2:18" ht="16.5" thickTop="1" thickBot="1">
      <c r="C20" s="79">
        <v>3</v>
      </c>
      <c r="D20" s="267">
        <f t="shared" si="0"/>
        <v>3</v>
      </c>
      <c r="E20" s="359">
        <v>9.18</v>
      </c>
      <c r="F20" s="360">
        <v>-91.82</v>
      </c>
      <c r="G20" s="360">
        <v>6.28</v>
      </c>
      <c r="H20" s="360">
        <v>39.33</v>
      </c>
      <c r="K20" s="202"/>
      <c r="L20" s="202"/>
      <c r="M20" s="202"/>
      <c r="N20" s="374"/>
      <c r="P20" s="367"/>
      <c r="Q20" s="367"/>
      <c r="R20" s="367"/>
    </row>
    <row r="21" spans="2:18" ht="16.5" thickTop="1" thickBot="1">
      <c r="C21" s="79">
        <v>4</v>
      </c>
      <c r="D21" s="267">
        <f t="shared" si="0"/>
        <v>4</v>
      </c>
      <c r="E21" s="359">
        <v>12.24</v>
      </c>
      <c r="F21" s="360">
        <v>-16.329999999999998</v>
      </c>
      <c r="G21" s="360">
        <v>49.64</v>
      </c>
      <c r="H21" s="360">
        <v>41.69</v>
      </c>
      <c r="K21" s="202"/>
      <c r="L21" s="202"/>
      <c r="M21" s="202"/>
      <c r="N21" s="374"/>
    </row>
    <row r="22" spans="2:18" ht="16.5" thickTop="1" thickBot="1">
      <c r="C22" s="79">
        <v>5</v>
      </c>
      <c r="D22" s="267">
        <f t="shared" si="0"/>
        <v>5</v>
      </c>
      <c r="E22" s="359">
        <v>15.3</v>
      </c>
      <c r="F22" s="360">
        <v>-49.18</v>
      </c>
      <c r="G22" s="360">
        <v>-32.21</v>
      </c>
      <c r="H22" s="360">
        <v>42.06</v>
      </c>
      <c r="K22" s="202"/>
      <c r="L22" s="202"/>
      <c r="M22" s="202"/>
      <c r="N22" s="374"/>
    </row>
    <row r="23" spans="2:18" ht="16.5" thickTop="1" thickBot="1">
      <c r="C23" s="79">
        <v>6</v>
      </c>
      <c r="D23" s="267" t="str">
        <f t="shared" si="0"/>
        <v xml:space="preserve"> </v>
      </c>
      <c r="E23" s="359"/>
      <c r="F23" s="361"/>
      <c r="G23" s="361"/>
      <c r="H23" s="361"/>
      <c r="K23" s="202"/>
      <c r="L23" s="202"/>
      <c r="M23" s="202"/>
      <c r="N23" s="374"/>
    </row>
    <row r="24" spans="2:18" ht="16.5" customHeight="1" thickTop="1" thickBot="1">
      <c r="C24" s="79">
        <v>7</v>
      </c>
      <c r="D24" s="267" t="str">
        <f t="shared" si="0"/>
        <v xml:space="preserve"> </v>
      </c>
      <c r="E24" s="359"/>
      <c r="F24" s="361"/>
      <c r="G24" s="361"/>
      <c r="H24" s="361"/>
      <c r="K24" s="202"/>
      <c r="L24" s="202"/>
      <c r="M24" s="202"/>
      <c r="N24" s="366" t="str">
        <f>Calcul!S73 &amp;" m"</f>
        <v>6.12 m</v>
      </c>
    </row>
    <row r="25" spans="2:18" ht="16.5" customHeight="1" thickTop="1" thickBot="1">
      <c r="C25" s="79">
        <v>8</v>
      </c>
      <c r="D25" s="267" t="str">
        <f t="shared" si="0"/>
        <v xml:space="preserve"> </v>
      </c>
      <c r="E25" s="359"/>
      <c r="F25" s="361"/>
      <c r="G25" s="361"/>
      <c r="H25" s="361"/>
      <c r="K25" s="202"/>
      <c r="L25" s="202"/>
      <c r="M25" s="202"/>
      <c r="N25" s="374" t="s">
        <v>228</v>
      </c>
      <c r="O25" s="369"/>
    </row>
    <row r="26" spans="2:18" ht="16.5" thickTop="1" thickBot="1">
      <c r="C26" s="79">
        <v>9</v>
      </c>
      <c r="D26" s="267" t="str">
        <f t="shared" si="0"/>
        <v xml:space="preserve"> </v>
      </c>
      <c r="E26" s="359"/>
      <c r="F26" s="361"/>
      <c r="G26" s="361"/>
      <c r="H26" s="361"/>
      <c r="K26" s="202"/>
      <c r="L26" s="202"/>
      <c r="M26" s="202"/>
      <c r="N26" s="374"/>
      <c r="O26" s="369"/>
    </row>
    <row r="27" spans="2:18" ht="16.5" thickTop="1" thickBot="1">
      <c r="C27" s="79">
        <v>10</v>
      </c>
      <c r="D27" s="267" t="str">
        <f t="shared" si="0"/>
        <v xml:space="preserve"> </v>
      </c>
      <c r="E27" s="359"/>
      <c r="F27" s="361"/>
      <c r="G27" s="361"/>
      <c r="H27" s="361"/>
      <c r="K27" s="202"/>
      <c r="L27" s="202"/>
      <c r="M27" s="202"/>
      <c r="N27" s="374"/>
      <c r="O27" s="369"/>
    </row>
    <row r="28" spans="2:18" ht="16.5" customHeight="1" thickTop="1" thickBot="1">
      <c r="C28" s="79">
        <v>11</v>
      </c>
      <c r="D28" s="267" t="str">
        <f t="shared" si="0"/>
        <v xml:space="preserve"> </v>
      </c>
      <c r="E28" s="359"/>
      <c r="F28" s="361"/>
      <c r="G28" s="361"/>
      <c r="H28" s="361"/>
      <c r="K28" s="202"/>
      <c r="L28" s="202"/>
      <c r="M28" s="202"/>
      <c r="N28" s="374"/>
      <c r="O28" s="369"/>
      <c r="P28" s="368"/>
      <c r="Q28" s="368"/>
      <c r="R28" s="368"/>
    </row>
    <row r="29" spans="2:18" ht="16.5" thickTop="1" thickBot="1">
      <c r="C29" s="79">
        <v>12</v>
      </c>
      <c r="D29" s="267" t="str">
        <f t="shared" si="0"/>
        <v xml:space="preserve"> </v>
      </c>
      <c r="E29" s="359"/>
      <c r="F29" s="361"/>
      <c r="G29" s="361"/>
      <c r="H29" s="361"/>
      <c r="K29" s="202"/>
      <c r="L29" s="202"/>
      <c r="M29" s="202"/>
      <c r="N29" s="374"/>
      <c r="O29" s="369"/>
    </row>
    <row r="30" spans="2:18" ht="16.5" thickTop="1" thickBot="1">
      <c r="C30" s="79">
        <v>13</v>
      </c>
      <c r="D30" s="267" t="str">
        <f t="shared" si="0"/>
        <v xml:space="preserve"> </v>
      </c>
      <c r="E30" s="359"/>
      <c r="F30" s="361"/>
      <c r="G30" s="361"/>
      <c r="H30" s="361"/>
      <c r="K30" s="202"/>
      <c r="L30" s="202"/>
      <c r="M30" s="202"/>
      <c r="N30" s="374"/>
      <c r="O30" s="369"/>
    </row>
    <row r="31" spans="2:18" ht="16.5" thickTop="1" thickBot="1">
      <c r="C31" s="79">
        <v>14</v>
      </c>
      <c r="D31" s="267" t="str">
        <f t="shared" si="0"/>
        <v xml:space="preserve"> </v>
      </c>
      <c r="E31" s="359"/>
      <c r="F31" s="361"/>
      <c r="G31" s="361"/>
      <c r="H31" s="361"/>
      <c r="K31" s="202"/>
      <c r="L31" s="202"/>
      <c r="M31" s="202"/>
      <c r="N31" s="366" t="str">
        <f>Calcul!Q73&amp;" m"</f>
        <v>3.06 m</v>
      </c>
      <c r="O31" s="369"/>
    </row>
    <row r="32" spans="2:18" ht="16.5" thickTop="1" thickBot="1">
      <c r="C32" s="79">
        <v>15</v>
      </c>
      <c r="D32" s="267" t="str">
        <f t="shared" si="0"/>
        <v xml:space="preserve"> </v>
      </c>
      <c r="E32" s="359"/>
      <c r="F32" s="361"/>
      <c r="G32" s="361"/>
      <c r="H32" s="361"/>
      <c r="K32" s="202"/>
      <c r="L32" s="202"/>
      <c r="M32" s="202"/>
      <c r="N32" s="375" t="s">
        <v>83</v>
      </c>
    </row>
    <row r="33" spans="3:18" ht="16.5" thickTop="1" thickBot="1">
      <c r="C33" s="79">
        <v>16</v>
      </c>
      <c r="D33" s="267" t="str">
        <f t="shared" si="0"/>
        <v xml:space="preserve"> </v>
      </c>
      <c r="E33" s="359"/>
      <c r="F33" s="361"/>
      <c r="G33" s="361"/>
      <c r="H33" s="361"/>
      <c r="K33" s="202"/>
      <c r="L33" s="202"/>
      <c r="M33" s="202"/>
      <c r="N33" s="375"/>
    </row>
    <row r="34" spans="3:18" ht="16.5" thickTop="1" thickBot="1">
      <c r="C34" s="79">
        <v>17</v>
      </c>
      <c r="D34" s="267" t="str">
        <f t="shared" si="0"/>
        <v xml:space="preserve"> </v>
      </c>
      <c r="E34" s="359"/>
      <c r="F34" s="361"/>
      <c r="G34" s="361"/>
      <c r="H34" s="361"/>
      <c r="K34" s="202"/>
      <c r="L34" s="202"/>
      <c r="M34" s="202"/>
      <c r="N34" s="375"/>
    </row>
    <row r="35" spans="3:18" ht="16.5" thickTop="1" thickBot="1">
      <c r="C35" s="79">
        <v>18</v>
      </c>
      <c r="D35" s="267" t="str">
        <f t="shared" si="0"/>
        <v xml:space="preserve"> </v>
      </c>
      <c r="E35" s="359"/>
      <c r="F35" s="361"/>
      <c r="G35" s="361"/>
      <c r="H35" s="361"/>
      <c r="K35" s="202"/>
      <c r="L35" s="202"/>
      <c r="M35" s="202"/>
      <c r="N35" s="375"/>
      <c r="P35" s="367"/>
      <c r="Q35" s="367"/>
      <c r="R35" s="367"/>
    </row>
    <row r="36" spans="3:18" ht="16.5" thickTop="1" thickBot="1">
      <c r="C36" s="79">
        <v>19</v>
      </c>
      <c r="D36" s="267" t="str">
        <f t="shared" si="0"/>
        <v xml:space="preserve"> </v>
      </c>
      <c r="E36" s="359"/>
      <c r="F36" s="361"/>
      <c r="G36" s="361"/>
      <c r="H36" s="361"/>
      <c r="K36" s="202"/>
      <c r="L36" s="202"/>
      <c r="M36" s="202"/>
      <c r="N36" s="375"/>
    </row>
    <row r="37" spans="3:18" ht="16.5" thickTop="1" thickBot="1">
      <c r="C37" s="79">
        <v>20</v>
      </c>
      <c r="D37" s="267" t="str">
        <f t="shared" si="0"/>
        <v xml:space="preserve"> </v>
      </c>
      <c r="E37" s="359"/>
      <c r="F37" s="361"/>
      <c r="G37" s="361"/>
      <c r="H37" s="361"/>
      <c r="K37" s="202"/>
      <c r="L37" s="202"/>
      <c r="M37" s="202"/>
      <c r="N37" s="375"/>
    </row>
    <row r="38" spans="3:18" ht="16.5" thickTop="1" thickBot="1">
      <c r="C38" s="79">
        <v>21</v>
      </c>
      <c r="D38" s="267" t="str">
        <f t="shared" si="0"/>
        <v xml:space="preserve"> </v>
      </c>
      <c r="E38" s="359"/>
      <c r="F38" s="361"/>
      <c r="G38" s="361"/>
      <c r="H38" s="361"/>
      <c r="K38" s="202"/>
      <c r="L38" s="202"/>
      <c r="M38" s="202"/>
      <c r="N38" s="366" t="s">
        <v>371</v>
      </c>
    </row>
    <row r="39" spans="3:18" ht="16.5" thickTop="1" thickBot="1">
      <c r="C39" s="79">
        <v>22</v>
      </c>
      <c r="D39" s="267" t="str">
        <f t="shared" si="0"/>
        <v xml:space="preserve"> </v>
      </c>
      <c r="E39" s="359"/>
      <c r="F39" s="361"/>
      <c r="G39" s="361"/>
      <c r="H39" s="361"/>
      <c r="K39" s="202"/>
      <c r="L39" s="202"/>
      <c r="M39" s="202"/>
    </row>
    <row r="40" spans="3:18" ht="16.5" thickTop="1" thickBot="1">
      <c r="C40" s="79">
        <v>23</v>
      </c>
      <c r="D40" s="267" t="str">
        <f t="shared" si="0"/>
        <v xml:space="preserve"> </v>
      </c>
      <c r="E40" s="359"/>
      <c r="F40" s="361"/>
      <c r="G40" s="361"/>
      <c r="H40" s="361"/>
      <c r="K40" s="202"/>
      <c r="L40" s="202"/>
      <c r="M40" s="202"/>
    </row>
    <row r="41" spans="3:18" ht="16.5" thickTop="1" thickBot="1">
      <c r="C41" s="79">
        <v>24</v>
      </c>
      <c r="D41" s="267" t="str">
        <f t="shared" si="0"/>
        <v xml:space="preserve"> </v>
      </c>
      <c r="E41" s="359"/>
      <c r="F41" s="361"/>
      <c r="G41" s="361"/>
      <c r="H41" s="361"/>
      <c r="K41" s="202"/>
      <c r="L41" s="202"/>
      <c r="M41" s="202"/>
    </row>
    <row r="42" spans="3:18" ht="15.75" customHeight="1" thickTop="1">
      <c r="C42" s="82">
        <v>25</v>
      </c>
      <c r="D42" s="268" t="str">
        <f t="shared" si="0"/>
        <v xml:space="preserve"> </v>
      </c>
      <c r="E42" s="362"/>
      <c r="F42" s="363"/>
      <c r="G42" s="363"/>
      <c r="H42" s="363"/>
      <c r="K42" s="202"/>
      <c r="L42" s="202"/>
      <c r="M42" s="202"/>
    </row>
  </sheetData>
  <mergeCells count="12">
    <mergeCell ref="N17:N23"/>
    <mergeCell ref="N32:N37"/>
    <mergeCell ref="N25:N30"/>
    <mergeCell ref="B2:N2"/>
    <mergeCell ref="D14:M14"/>
    <mergeCell ref="D7:M7"/>
    <mergeCell ref="D8:M8"/>
    <mergeCell ref="D11:M11"/>
    <mergeCell ref="D12:M12"/>
    <mergeCell ref="D13:M13"/>
    <mergeCell ref="I9:M9"/>
    <mergeCell ref="I10:M10"/>
  </mergeCells>
  <dataValidations count="1">
    <dataValidation type="list" allowBlank="1" showInputMessage="1" showErrorMessage="1" sqref="D8:M8">
      <formula1>Calcul!B105:B109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tabColor rgb="FFFFC000"/>
  </sheetPr>
  <dimension ref="A1:Y59"/>
  <sheetViews>
    <sheetView showGridLines="0" topLeftCell="A26" zoomScale="95" zoomScaleNormal="95" workbookViewId="0">
      <selection activeCell="R23" sqref="R23"/>
    </sheetView>
  </sheetViews>
  <sheetFormatPr defaultRowHeight="14.25"/>
  <cols>
    <col min="1" max="1" width="3.42578125" style="4" customWidth="1"/>
    <col min="2" max="2" width="12.28515625" style="4" customWidth="1"/>
    <col min="3" max="4" width="9.140625" style="4"/>
    <col min="5" max="5" width="10.5703125" style="4" bestFit="1" customWidth="1"/>
    <col min="6" max="6" width="18" style="4" bestFit="1" customWidth="1"/>
    <col min="7" max="7" width="9.140625" style="4"/>
    <col min="8" max="8" width="8.5703125" style="4" bestFit="1" customWidth="1"/>
    <col min="9" max="9" width="19.28515625" style="4" bestFit="1" customWidth="1"/>
    <col min="10" max="10" width="9.28515625" style="4" customWidth="1"/>
    <col min="11" max="11" width="12.5703125" style="6" customWidth="1"/>
    <col min="12" max="12" width="8.140625" style="6" customWidth="1"/>
    <col min="13" max="13" width="8.5703125" style="6" customWidth="1"/>
    <col min="14" max="14" width="10.7109375" style="6" bestFit="1" customWidth="1"/>
    <col min="15" max="16" width="9.140625" style="6"/>
    <col min="17" max="17" width="14" style="6" bestFit="1" customWidth="1"/>
    <col min="18" max="18" width="9.140625" style="4"/>
    <col min="19" max="20" width="7.140625" style="4" customWidth="1"/>
    <col min="21" max="16384" width="9.140625" style="4"/>
  </cols>
  <sheetData>
    <row r="1" spans="1:25" ht="6.75" customHeight="1" thickBot="1"/>
    <row r="2" spans="1:25" ht="21" thickTop="1">
      <c r="E2" s="376" t="s">
        <v>10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17"/>
    </row>
    <row r="3" spans="1:25" ht="17.25" customHeight="1" thickBot="1">
      <c r="E3" s="11" t="s">
        <v>23</v>
      </c>
      <c r="F3" s="39"/>
      <c r="G3" s="13" t="str">
        <f>Calcul!$C$2</f>
        <v>Vers 1.5.3</v>
      </c>
      <c r="H3" s="38"/>
      <c r="I3" s="14"/>
      <c r="J3" s="14"/>
      <c r="K3" s="15"/>
      <c r="L3" s="15"/>
      <c r="M3" s="13"/>
      <c r="N3" s="38"/>
      <c r="O3" s="12"/>
      <c r="P3" s="12"/>
      <c r="Q3" s="16"/>
    </row>
    <row r="4" spans="1:25" ht="15.75" thickTop="1" thickBot="1">
      <c r="K4" s="4"/>
      <c r="L4" s="4"/>
      <c r="M4" s="4"/>
      <c r="N4" s="5"/>
      <c r="O4" s="5"/>
      <c r="P4" s="5"/>
      <c r="Q4" s="5"/>
      <c r="R4" s="5"/>
      <c r="S4" s="5"/>
      <c r="T4" s="5"/>
    </row>
    <row r="5" spans="1:25" ht="16.5" customHeight="1" thickTop="1" thickBot="1">
      <c r="A5" s="5"/>
      <c r="B5" s="397"/>
      <c r="C5" s="398"/>
      <c r="D5" s="398"/>
      <c r="E5" s="398"/>
      <c r="F5" s="399"/>
      <c r="G5" s="19"/>
      <c r="I5" s="271" t="s">
        <v>15</v>
      </c>
      <c r="J5" s="272">
        <f>' Données'!$D$6</f>
        <v>5</v>
      </c>
      <c r="L5" s="406"/>
      <c r="M5" s="407"/>
      <c r="N5" s="407"/>
      <c r="O5" s="407"/>
      <c r="P5" s="407"/>
      <c r="Q5" s="407"/>
      <c r="R5" s="408"/>
      <c r="S5" s="5"/>
      <c r="T5" s="5"/>
    </row>
    <row r="6" spans="1:25" ht="16.5" customHeight="1" thickTop="1" thickBot="1">
      <c r="A6" s="5"/>
      <c r="B6" s="400"/>
      <c r="C6" s="401"/>
      <c r="D6" s="401"/>
      <c r="E6" s="401"/>
      <c r="F6" s="402"/>
      <c r="G6" s="19"/>
      <c r="I6" s="271" t="s">
        <v>7</v>
      </c>
      <c r="J6" s="261">
        <f>' Données'!$F$6</f>
        <v>2.61</v>
      </c>
      <c r="L6" s="409"/>
      <c r="M6" s="410"/>
      <c r="N6" s="410"/>
      <c r="O6" s="410"/>
      <c r="P6" s="410"/>
      <c r="Q6" s="410"/>
      <c r="R6" s="411"/>
      <c r="S6" s="5"/>
      <c r="T6" s="5"/>
    </row>
    <row r="7" spans="1:25" ht="16.5" customHeight="1" thickTop="1" thickBot="1">
      <c r="A7" s="5"/>
      <c r="B7" s="400"/>
      <c r="C7" s="401"/>
      <c r="D7" s="401"/>
      <c r="E7" s="401"/>
      <c r="F7" s="402"/>
      <c r="G7" s="19"/>
      <c r="I7" s="271" t="s">
        <v>25</v>
      </c>
      <c r="J7" s="261">
        <f>' Données'!$G$6</f>
        <v>1.6</v>
      </c>
      <c r="L7" s="409"/>
      <c r="M7" s="410"/>
      <c r="N7" s="410"/>
      <c r="O7" s="410"/>
      <c r="P7" s="410"/>
      <c r="Q7" s="410"/>
      <c r="R7" s="411"/>
      <c r="S7" s="5"/>
      <c r="T7" s="5"/>
      <c r="U7" s="5"/>
      <c r="V7" s="5"/>
      <c r="W7" s="5"/>
      <c r="X7" s="5"/>
      <c r="Y7" s="5"/>
    </row>
    <row r="8" spans="1:25" ht="16.5" customHeight="1" thickTop="1" thickBot="1">
      <c r="A8" s="5"/>
      <c r="B8" s="400"/>
      <c r="C8" s="401"/>
      <c r="D8" s="401"/>
      <c r="E8" s="401"/>
      <c r="F8" s="402"/>
      <c r="G8" s="19"/>
      <c r="I8" s="271" t="s">
        <v>26</v>
      </c>
      <c r="J8" s="261">
        <f>' Données'!$E$6</f>
        <v>15.3</v>
      </c>
      <c r="L8" s="409"/>
      <c r="M8" s="410"/>
      <c r="N8" s="410"/>
      <c r="O8" s="410"/>
      <c r="P8" s="410"/>
      <c r="Q8" s="410"/>
      <c r="R8" s="411"/>
      <c r="S8" s="5"/>
      <c r="T8" s="5"/>
      <c r="U8" s="5"/>
      <c r="V8" s="5"/>
      <c r="W8" s="5"/>
      <c r="X8" s="5"/>
      <c r="Y8" s="5"/>
    </row>
    <row r="9" spans="1:25" ht="16.5" customHeight="1" thickTop="1" thickBot="1">
      <c r="A9" s="5"/>
      <c r="B9" s="400"/>
      <c r="C9" s="401"/>
      <c r="D9" s="401"/>
      <c r="E9" s="401"/>
      <c r="F9" s="402"/>
      <c r="G9" s="19"/>
      <c r="I9" s="271" t="s">
        <v>208</v>
      </c>
      <c r="J9" s="261">
        <f>' Données'!$G$17</f>
        <v>-144.03</v>
      </c>
      <c r="L9" s="409"/>
      <c r="M9" s="410"/>
      <c r="N9" s="410"/>
      <c r="O9" s="410"/>
      <c r="P9" s="410"/>
      <c r="Q9" s="410"/>
      <c r="R9" s="411"/>
      <c r="S9" s="5"/>
      <c r="T9" s="5"/>
      <c r="U9" s="5"/>
      <c r="V9" s="5"/>
      <c r="W9" s="5"/>
      <c r="X9" s="5"/>
      <c r="Y9" s="5"/>
    </row>
    <row r="10" spans="1:25" ht="16.5" customHeight="1" thickTop="1" thickBot="1">
      <c r="A10" s="5"/>
      <c r="B10" s="400"/>
      <c r="C10" s="401"/>
      <c r="D10" s="401"/>
      <c r="E10" s="401"/>
      <c r="F10" s="402"/>
      <c r="G10" s="19"/>
      <c r="I10" s="271" t="s">
        <v>209</v>
      </c>
      <c r="J10" s="261">
        <f t="array" ref="J10">INDEX(' Données'!G17:G41,MATCH(' Données'!$E$6,' Données'!E17:E41,1))</f>
        <v>-32.21</v>
      </c>
      <c r="L10" s="409"/>
      <c r="M10" s="410"/>
      <c r="N10" s="410"/>
      <c r="O10" s="410"/>
      <c r="P10" s="410"/>
      <c r="Q10" s="410"/>
      <c r="R10" s="411"/>
      <c r="S10" s="5"/>
      <c r="T10" s="5"/>
      <c r="U10" s="5"/>
      <c r="V10" s="5"/>
      <c r="W10" s="5"/>
      <c r="X10" s="5"/>
      <c r="Y10" s="5"/>
    </row>
    <row r="11" spans="1:25" ht="17.25" hidden="1" thickTop="1" thickBot="1">
      <c r="A11" s="5"/>
      <c r="B11" s="400"/>
      <c r="C11" s="401"/>
      <c r="D11" s="401"/>
      <c r="E11" s="401"/>
      <c r="F11" s="402"/>
      <c r="G11" s="19"/>
      <c r="I11" s="270" t="s">
        <v>8</v>
      </c>
      <c r="J11" s="261">
        <f>MAX(J7,J8/6)</f>
        <v>2.5500000000000003</v>
      </c>
      <c r="L11" s="409"/>
      <c r="M11" s="410"/>
      <c r="N11" s="410"/>
      <c r="O11" s="410"/>
      <c r="P11" s="410"/>
      <c r="Q11" s="410"/>
      <c r="R11" s="411"/>
      <c r="S11" s="5"/>
      <c r="T11" s="5"/>
      <c r="U11" s="5"/>
      <c r="V11" s="5"/>
      <c r="W11" s="5"/>
      <c r="X11" s="5"/>
      <c r="Y11" s="5"/>
    </row>
    <row r="12" spans="1:25" ht="17.25" thickTop="1" thickBot="1">
      <c r="A12" s="5"/>
      <c r="B12" s="400"/>
      <c r="C12" s="401"/>
      <c r="D12" s="401"/>
      <c r="E12" s="401"/>
      <c r="F12" s="402"/>
      <c r="G12" s="19"/>
      <c r="I12" s="275" t="s">
        <v>305</v>
      </c>
      <c r="J12" s="273">
        <f>ROUND(IF(J11&lt;=MIN(2*J7,IF(J5&lt;=6,J6,2*J6)),J11,MIN(2*J7,IF(J5&lt;=6,J6,2*J6))),2)</f>
        <v>2.5499999999999998</v>
      </c>
      <c r="L12" s="409"/>
      <c r="M12" s="410"/>
      <c r="N12" s="410"/>
      <c r="O12" s="410"/>
      <c r="P12" s="410"/>
      <c r="Q12" s="410"/>
      <c r="R12" s="411"/>
      <c r="S12" s="5"/>
      <c r="T12" s="5"/>
      <c r="U12" s="5"/>
      <c r="V12" s="5"/>
      <c r="W12" s="5"/>
      <c r="X12" s="5"/>
      <c r="Y12" s="5"/>
    </row>
    <row r="13" spans="1:25" ht="16.5" customHeight="1" thickTop="1" thickBot="1">
      <c r="A13" s="5"/>
      <c r="B13" s="400"/>
      <c r="C13" s="401"/>
      <c r="D13" s="401"/>
      <c r="E13" s="401"/>
      <c r="F13" s="402"/>
      <c r="G13" s="19"/>
      <c r="I13" s="203"/>
      <c r="J13" s="203"/>
      <c r="L13" s="409"/>
      <c r="M13" s="410"/>
      <c r="N13" s="410"/>
      <c r="O13" s="410"/>
      <c r="P13" s="410"/>
      <c r="Q13" s="410"/>
      <c r="R13" s="411"/>
      <c r="S13" s="5"/>
      <c r="T13" s="5"/>
      <c r="U13" s="5"/>
      <c r="V13" s="5"/>
      <c r="W13" s="5"/>
      <c r="X13" s="5"/>
      <c r="Y13" s="5"/>
    </row>
    <row r="14" spans="1:25" ht="16.5" customHeight="1" thickTop="1" thickBot="1">
      <c r="A14" s="5"/>
      <c r="B14" s="400"/>
      <c r="C14" s="401"/>
      <c r="D14" s="401"/>
      <c r="E14" s="401"/>
      <c r="F14" s="402"/>
      <c r="G14" s="19"/>
      <c r="I14" s="274" t="s">
        <v>27</v>
      </c>
      <c r="J14" s="201">
        <v>5</v>
      </c>
      <c r="L14" s="409"/>
      <c r="M14" s="410"/>
      <c r="N14" s="410"/>
      <c r="O14" s="410"/>
      <c r="P14" s="410"/>
      <c r="Q14" s="410"/>
      <c r="R14" s="411"/>
      <c r="S14" s="5"/>
      <c r="T14" s="5"/>
      <c r="U14" s="5"/>
      <c r="V14" s="5"/>
      <c r="W14" s="5"/>
      <c r="X14" s="5"/>
      <c r="Y14" s="5"/>
    </row>
    <row r="15" spans="1:25" ht="16.5" thickTop="1" thickBot="1">
      <c r="A15" s="5"/>
      <c r="B15" s="400"/>
      <c r="C15" s="401"/>
      <c r="D15" s="401"/>
      <c r="E15" s="401"/>
      <c r="F15" s="402"/>
      <c r="G15" s="19"/>
      <c r="I15" s="274" t="s">
        <v>28</v>
      </c>
      <c r="J15" s="261">
        <f>Calcul!G34</f>
        <v>126.12418300653597</v>
      </c>
      <c r="L15" s="409"/>
      <c r="M15" s="410"/>
      <c r="N15" s="410"/>
      <c r="O15" s="410"/>
      <c r="P15" s="410"/>
      <c r="Q15" s="410"/>
      <c r="R15" s="411"/>
      <c r="S15" s="5"/>
      <c r="T15" s="5"/>
      <c r="U15" s="5"/>
      <c r="V15" s="5"/>
      <c r="W15" s="5"/>
      <c r="X15" s="5"/>
      <c r="Y15" s="5"/>
    </row>
    <row r="16" spans="1:25" ht="15.75" customHeight="1" thickTop="1">
      <c r="A16" s="5"/>
      <c r="B16" s="400"/>
      <c r="C16" s="401"/>
      <c r="D16" s="401"/>
      <c r="E16" s="401"/>
      <c r="F16" s="402"/>
      <c r="G16" s="19"/>
      <c r="L16" s="409"/>
      <c r="M16" s="410"/>
      <c r="N16" s="410"/>
      <c r="O16" s="410"/>
      <c r="P16" s="410"/>
      <c r="Q16" s="410"/>
      <c r="R16" s="411"/>
      <c r="S16" s="5"/>
      <c r="T16" s="5"/>
      <c r="U16" s="5"/>
      <c r="V16" s="5"/>
      <c r="W16" s="5"/>
      <c r="X16" s="5"/>
      <c r="Y16" s="5"/>
    </row>
    <row r="17" spans="1:25" ht="15" customHeight="1">
      <c r="A17" s="5"/>
      <c r="B17" s="400"/>
      <c r="C17" s="401"/>
      <c r="D17" s="401"/>
      <c r="E17" s="401"/>
      <c r="F17" s="402"/>
      <c r="G17" s="415" t="str">
        <f>IF($J$14&gt;$J$8,"Remarque : H = " &amp; $J$14&amp;" &gt; hw = "&amp;$J$8," ")</f>
        <v xml:space="preserve"> </v>
      </c>
      <c r="H17" s="416"/>
      <c r="I17" s="416"/>
      <c r="J17" s="416"/>
      <c r="K17" s="417"/>
      <c r="L17" s="409"/>
      <c r="M17" s="410"/>
      <c r="N17" s="410"/>
      <c r="O17" s="410"/>
      <c r="P17" s="410"/>
      <c r="Q17" s="410"/>
      <c r="R17" s="411"/>
      <c r="S17" s="5"/>
      <c r="T17" s="5"/>
      <c r="U17" s="5"/>
      <c r="V17" s="5"/>
      <c r="W17" s="5"/>
      <c r="X17" s="5"/>
      <c r="Y17" s="5"/>
    </row>
    <row r="18" spans="1:25" ht="15" customHeight="1">
      <c r="A18" s="5"/>
      <c r="B18" s="400"/>
      <c r="C18" s="401"/>
      <c r="D18" s="401"/>
      <c r="E18" s="401"/>
      <c r="F18" s="402"/>
      <c r="G18" s="415"/>
      <c r="H18" s="416"/>
      <c r="I18" s="416"/>
      <c r="J18" s="416"/>
      <c r="K18" s="417"/>
      <c r="L18" s="409"/>
      <c r="M18" s="410"/>
      <c r="N18" s="410"/>
      <c r="O18" s="410"/>
      <c r="P18" s="410"/>
      <c r="Q18" s="410"/>
      <c r="R18" s="411"/>
      <c r="S18" s="5"/>
      <c r="T18" s="5"/>
      <c r="U18" s="5"/>
      <c r="V18" s="5"/>
      <c r="W18" s="5"/>
      <c r="X18" s="5"/>
      <c r="Y18" s="5"/>
    </row>
    <row r="19" spans="1:25" ht="15.75" customHeight="1">
      <c r="A19" s="5"/>
      <c r="B19" s="400"/>
      <c r="C19" s="401"/>
      <c r="D19" s="401"/>
      <c r="E19" s="401"/>
      <c r="F19" s="402"/>
      <c r="G19" s="19"/>
      <c r="K19" s="4"/>
      <c r="L19" s="409"/>
      <c r="M19" s="410"/>
      <c r="N19" s="410"/>
      <c r="O19" s="410"/>
      <c r="P19" s="410"/>
      <c r="Q19" s="410"/>
      <c r="R19" s="411"/>
      <c r="S19" s="5"/>
      <c r="T19" s="5"/>
      <c r="U19" s="5"/>
      <c r="V19" s="5"/>
      <c r="W19" s="5"/>
      <c r="X19" s="5"/>
      <c r="Y19" s="5"/>
    </row>
    <row r="20" spans="1:25" ht="15" customHeight="1" thickBot="1">
      <c r="A20" s="5"/>
      <c r="B20" s="403"/>
      <c r="C20" s="404"/>
      <c r="D20" s="404"/>
      <c r="E20" s="404"/>
      <c r="F20" s="405"/>
      <c r="G20" s="19"/>
      <c r="K20" s="4"/>
      <c r="L20" s="412"/>
      <c r="M20" s="413"/>
      <c r="N20" s="413"/>
      <c r="O20" s="413"/>
      <c r="P20" s="413"/>
      <c r="Q20" s="413"/>
      <c r="R20" s="414"/>
      <c r="S20" s="5"/>
      <c r="T20" s="5"/>
      <c r="U20" s="5"/>
      <c r="V20" s="5"/>
      <c r="W20" s="5"/>
      <c r="X20" s="5"/>
      <c r="Y20" s="5"/>
    </row>
    <row r="21" spans="1:25" ht="15" thickBot="1">
      <c r="A21" s="5"/>
      <c r="B21" s="5"/>
      <c r="C21" s="5"/>
      <c r="D21" s="5"/>
      <c r="E21" s="5"/>
      <c r="F21" s="5"/>
      <c r="G21" s="5"/>
      <c r="K21" s="4"/>
      <c r="L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1" thickTop="1">
      <c r="A22" s="5"/>
      <c r="B22" s="5"/>
      <c r="C22" s="5"/>
      <c r="E22" s="376" t="s">
        <v>11</v>
      </c>
      <c r="F22" s="377"/>
      <c r="G22" s="377"/>
      <c r="H22" s="377"/>
      <c r="I22" s="377"/>
      <c r="J22" s="377"/>
      <c r="K22" s="377"/>
      <c r="L22" s="377"/>
      <c r="M22" s="377"/>
      <c r="N22" s="377"/>
      <c r="O22" s="377"/>
      <c r="P22" s="377"/>
      <c r="Q22" s="17"/>
      <c r="S22" s="5"/>
      <c r="T22" s="5"/>
      <c r="U22" s="5"/>
      <c r="V22" s="5"/>
      <c r="W22" s="5"/>
      <c r="X22" s="5"/>
      <c r="Y22" s="5"/>
    </row>
    <row r="23" spans="1:25" ht="20.25" customHeight="1" thickBot="1">
      <c r="E23" s="11" t="s">
        <v>23</v>
      </c>
      <c r="F23" s="39"/>
      <c r="G23" s="13" t="str">
        <f>Calcul!$C$2</f>
        <v>Vers 1.5.3</v>
      </c>
      <c r="H23" s="14"/>
      <c r="I23" s="14"/>
      <c r="J23" s="14"/>
      <c r="K23" s="15"/>
      <c r="L23" s="15"/>
      <c r="M23" s="13"/>
      <c r="N23" s="14"/>
      <c r="O23" s="12"/>
      <c r="P23" s="12"/>
      <c r="Q23" s="16"/>
      <c r="S23" s="5"/>
      <c r="T23" s="5"/>
      <c r="U23" s="5"/>
      <c r="V23" s="5"/>
      <c r="W23" s="5"/>
      <c r="X23" s="5"/>
      <c r="Y23" s="5"/>
    </row>
    <row r="24" spans="1:25" ht="15" thickTop="1">
      <c r="K24" s="4"/>
      <c r="L24" s="4"/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20.25" customHeight="1" thickBot="1">
      <c r="G25" s="418" t="str">
        <f>IF(COUNTIF(I31:I56,"&gt;0")&lt;&gt;J26,"Remarque : Vérifiée le nombre des étages", " ")</f>
        <v xml:space="preserve"> </v>
      </c>
      <c r="H25" s="418"/>
      <c r="I25" s="418"/>
      <c r="J25" s="418"/>
      <c r="K25" s="418"/>
      <c r="L25" s="4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" customHeight="1" thickTop="1" thickBot="1">
      <c r="A26" s="19"/>
      <c r="B26" s="397"/>
      <c r="C26" s="398"/>
      <c r="D26" s="398"/>
      <c r="E26" s="398"/>
      <c r="F26" s="399"/>
      <c r="G26" s="5"/>
      <c r="H26" s="395" t="s">
        <v>15</v>
      </c>
      <c r="I26" s="396"/>
      <c r="J26" s="272">
        <f>$J$5</f>
        <v>5</v>
      </c>
      <c r="K26" s="4"/>
      <c r="L26" s="406"/>
      <c r="M26" s="407"/>
      <c r="N26" s="407"/>
      <c r="O26" s="407"/>
      <c r="P26" s="407"/>
      <c r="Q26" s="407"/>
      <c r="R26" s="408"/>
      <c r="S26" s="5"/>
      <c r="T26" s="5"/>
      <c r="U26" s="5"/>
      <c r="V26" s="5"/>
      <c r="W26" s="5"/>
      <c r="X26" s="5"/>
      <c r="Y26" s="5"/>
    </row>
    <row r="27" spans="1:25" ht="16.5" customHeight="1" thickTop="1" thickBot="1">
      <c r="A27" s="19"/>
      <c r="B27" s="400"/>
      <c r="C27" s="401"/>
      <c r="D27" s="401"/>
      <c r="E27" s="401"/>
      <c r="F27" s="402"/>
      <c r="G27" s="5"/>
      <c r="H27" s="395" t="s">
        <v>27</v>
      </c>
      <c r="I27" s="396"/>
      <c r="J27" s="204">
        <v>6.12</v>
      </c>
      <c r="K27" s="4"/>
      <c r="L27" s="409"/>
      <c r="M27" s="410"/>
      <c r="N27" s="410"/>
      <c r="O27" s="410"/>
      <c r="P27" s="410"/>
      <c r="Q27" s="410"/>
      <c r="R27" s="411"/>
      <c r="S27" s="5"/>
      <c r="T27" s="5"/>
      <c r="U27" s="5"/>
      <c r="V27" s="5"/>
      <c r="W27" s="5"/>
      <c r="X27" s="5"/>
      <c r="Y27" s="5"/>
    </row>
    <row r="28" spans="1:25" ht="16.5" customHeight="1" thickTop="1" thickBot="1">
      <c r="A28" s="19"/>
      <c r="B28" s="400"/>
      <c r="C28" s="401"/>
      <c r="D28" s="401"/>
      <c r="E28" s="401"/>
      <c r="F28" s="402"/>
      <c r="G28" s="5"/>
      <c r="H28" s="395" t="s">
        <v>17</v>
      </c>
      <c r="I28" s="396"/>
      <c r="J28" s="261">
        <f>Calcul!$J$48</f>
        <v>-67.746000000000009</v>
      </c>
      <c r="K28" s="4"/>
      <c r="L28" s="409"/>
      <c r="M28" s="410"/>
      <c r="N28" s="410"/>
      <c r="O28" s="410"/>
      <c r="P28" s="410"/>
      <c r="Q28" s="410"/>
      <c r="R28" s="411"/>
      <c r="S28" s="5"/>
      <c r="T28" s="5"/>
      <c r="U28" s="5"/>
      <c r="V28" s="5"/>
      <c r="W28" s="5"/>
      <c r="X28" s="5"/>
      <c r="Y28" s="5"/>
    </row>
    <row r="29" spans="1:25" ht="15.75" customHeight="1" thickTop="1" thickBot="1">
      <c r="A29" s="19"/>
      <c r="B29" s="400"/>
      <c r="C29" s="401"/>
      <c r="D29" s="401"/>
      <c r="E29" s="401"/>
      <c r="F29" s="402"/>
      <c r="G29" s="5"/>
      <c r="H29" s="202"/>
      <c r="I29" s="202"/>
      <c r="J29" s="202"/>
      <c r="L29" s="409"/>
      <c r="M29" s="410"/>
      <c r="N29" s="410"/>
      <c r="O29" s="410"/>
      <c r="P29" s="410"/>
      <c r="Q29" s="410"/>
      <c r="R29" s="411"/>
      <c r="S29" s="5"/>
      <c r="T29" s="5"/>
      <c r="U29" s="5"/>
      <c r="V29" s="5"/>
      <c r="W29" s="5"/>
      <c r="X29" s="5"/>
      <c r="Y29" s="5"/>
    </row>
    <row r="30" spans="1:25" ht="15" thickBot="1">
      <c r="A30" s="19"/>
      <c r="B30" s="400"/>
      <c r="C30" s="401"/>
      <c r="D30" s="401"/>
      <c r="E30" s="401"/>
      <c r="F30" s="402"/>
      <c r="G30" s="5"/>
      <c r="H30" s="278" t="s">
        <v>16</v>
      </c>
      <c r="I30" s="278" t="s">
        <v>29</v>
      </c>
      <c r="J30" s="279" t="s">
        <v>17</v>
      </c>
      <c r="K30" s="4"/>
      <c r="L30" s="409"/>
      <c r="M30" s="410"/>
      <c r="N30" s="410"/>
      <c r="O30" s="410"/>
      <c r="P30" s="410"/>
      <c r="Q30" s="410"/>
      <c r="R30" s="411"/>
      <c r="S30" s="5"/>
      <c r="T30" s="5"/>
      <c r="U30" s="5"/>
      <c r="V30" s="5"/>
      <c r="W30" s="5"/>
      <c r="X30" s="5"/>
      <c r="Y30" s="5"/>
    </row>
    <row r="31" spans="1:25" ht="15.75" thickTop="1" thickBot="1">
      <c r="A31" s="19"/>
      <c r="B31" s="400"/>
      <c r="C31" s="401"/>
      <c r="D31" s="401"/>
      <c r="E31" s="401"/>
      <c r="F31" s="402"/>
      <c r="G31" s="5"/>
      <c r="H31" s="276">
        <f>' Données'!D17</f>
        <v>0</v>
      </c>
      <c r="I31" s="261">
        <f>IF(H31=" "," ",' Données'!E17)</f>
        <v>0</v>
      </c>
      <c r="J31" s="277">
        <f>IF(H31=" "," ",' Données'!H17)</f>
        <v>112.5</v>
      </c>
      <c r="K31" s="4"/>
      <c r="L31" s="409"/>
      <c r="M31" s="410"/>
      <c r="N31" s="410"/>
      <c r="O31" s="410"/>
      <c r="P31" s="410"/>
      <c r="Q31" s="410"/>
      <c r="R31" s="411"/>
      <c r="S31" s="5"/>
      <c r="T31" s="5"/>
    </row>
    <row r="32" spans="1:25" ht="15.75" thickTop="1" thickBot="1">
      <c r="A32" s="19"/>
      <c r="B32" s="400"/>
      <c r="C32" s="401"/>
      <c r="D32" s="401"/>
      <c r="E32" s="401"/>
      <c r="F32" s="402"/>
      <c r="G32" s="5"/>
      <c r="H32" s="276">
        <f>' Données'!D18</f>
        <v>1</v>
      </c>
      <c r="I32" s="261">
        <f>IF(H32=" "," ",' Données'!E18)</f>
        <v>3.06</v>
      </c>
      <c r="J32" s="277">
        <f>IF(H32=" "," ",' Données'!H18)</f>
        <v>51.27</v>
      </c>
      <c r="K32" s="4"/>
      <c r="L32" s="409"/>
      <c r="M32" s="410"/>
      <c r="N32" s="410"/>
      <c r="O32" s="410"/>
      <c r="P32" s="410"/>
      <c r="Q32" s="410"/>
      <c r="R32" s="411"/>
      <c r="S32" s="5"/>
      <c r="T32" s="5"/>
    </row>
    <row r="33" spans="1:18" ht="15.75" thickTop="1" thickBot="1">
      <c r="A33" s="19"/>
      <c r="B33" s="400"/>
      <c r="C33" s="401"/>
      <c r="D33" s="401"/>
      <c r="E33" s="401"/>
      <c r="F33" s="402"/>
      <c r="G33" s="5"/>
      <c r="H33" s="276">
        <f>' Données'!D19</f>
        <v>2</v>
      </c>
      <c r="I33" s="261">
        <f>IF(H33=" "," ",' Données'!E19)</f>
        <v>6.12</v>
      </c>
      <c r="J33" s="277">
        <f>IF(H33=" "," ",' Données'!H19)</f>
        <v>45.64</v>
      </c>
      <c r="K33" s="4"/>
      <c r="L33" s="409"/>
      <c r="M33" s="410"/>
      <c r="N33" s="410"/>
      <c r="O33" s="410"/>
      <c r="P33" s="410"/>
      <c r="Q33" s="410"/>
      <c r="R33" s="411"/>
    </row>
    <row r="34" spans="1:18" ht="15.75" thickTop="1" thickBot="1">
      <c r="A34" s="19"/>
      <c r="B34" s="400"/>
      <c r="C34" s="401"/>
      <c r="D34" s="401"/>
      <c r="E34" s="401"/>
      <c r="F34" s="402"/>
      <c r="G34" s="5"/>
      <c r="H34" s="276">
        <f>' Données'!D20</f>
        <v>3</v>
      </c>
      <c r="I34" s="261">
        <f>IF(H34=" "," ",' Données'!E20)</f>
        <v>9.18</v>
      </c>
      <c r="J34" s="277">
        <f>IF(H34=" "," ",' Données'!H20)</f>
        <v>39.33</v>
      </c>
      <c r="K34" s="4"/>
      <c r="L34" s="409"/>
      <c r="M34" s="410"/>
      <c r="N34" s="410"/>
      <c r="O34" s="410"/>
      <c r="P34" s="410"/>
      <c r="Q34" s="410"/>
      <c r="R34" s="411"/>
    </row>
    <row r="35" spans="1:18" ht="15.75" thickTop="1" thickBot="1">
      <c r="A35" s="19"/>
      <c r="B35" s="400"/>
      <c r="C35" s="401"/>
      <c r="D35" s="401"/>
      <c r="E35" s="401"/>
      <c r="F35" s="402"/>
      <c r="G35" s="5"/>
      <c r="H35" s="276">
        <f>' Données'!D21</f>
        <v>4</v>
      </c>
      <c r="I35" s="261">
        <f>IF(H35=" "," ",' Données'!E21)</f>
        <v>12.24</v>
      </c>
      <c r="J35" s="277">
        <f>IF(H35=" "," ",' Données'!H21)</f>
        <v>41.69</v>
      </c>
      <c r="K35" s="4"/>
      <c r="L35" s="409"/>
      <c r="M35" s="410"/>
      <c r="N35" s="410"/>
      <c r="O35" s="410"/>
      <c r="P35" s="410"/>
      <c r="Q35" s="410"/>
      <c r="R35" s="411"/>
    </row>
    <row r="36" spans="1:18" ht="15.75" thickTop="1" thickBot="1">
      <c r="A36" s="19"/>
      <c r="B36" s="400"/>
      <c r="C36" s="401"/>
      <c r="D36" s="401"/>
      <c r="E36" s="401"/>
      <c r="F36" s="402"/>
      <c r="G36" s="5"/>
      <c r="H36" s="276">
        <f>' Données'!D22</f>
        <v>5</v>
      </c>
      <c r="I36" s="261">
        <f>IF(H36=" "," ",' Données'!E22)</f>
        <v>15.3</v>
      </c>
      <c r="J36" s="277">
        <f>IF(H36=" "," ",' Données'!H22)</f>
        <v>42.06</v>
      </c>
      <c r="K36" s="4"/>
      <c r="L36" s="409"/>
      <c r="M36" s="410"/>
      <c r="N36" s="410"/>
      <c r="O36" s="410"/>
      <c r="P36" s="410"/>
      <c r="Q36" s="410"/>
      <c r="R36" s="411"/>
    </row>
    <row r="37" spans="1:18" ht="15.75" thickTop="1" thickBot="1">
      <c r="A37" s="19"/>
      <c r="B37" s="400"/>
      <c r="C37" s="401"/>
      <c r="D37" s="401"/>
      <c r="E37" s="401"/>
      <c r="F37" s="402"/>
      <c r="G37" s="5"/>
      <c r="H37" s="276" t="str">
        <f>' Données'!D23</f>
        <v xml:space="preserve"> </v>
      </c>
      <c r="I37" s="261" t="str">
        <f>IF(H37=" "," ",' Données'!E23)</f>
        <v xml:space="preserve"> </v>
      </c>
      <c r="J37" s="277" t="str">
        <f>IF(H37=" "," ",' Données'!H23)</f>
        <v xml:space="preserve"> </v>
      </c>
      <c r="K37" s="4"/>
      <c r="L37" s="409"/>
      <c r="M37" s="410"/>
      <c r="N37" s="410"/>
      <c r="O37" s="410"/>
      <c r="P37" s="410"/>
      <c r="Q37" s="410"/>
      <c r="R37" s="411"/>
    </row>
    <row r="38" spans="1:18" ht="15.75" thickTop="1" thickBot="1">
      <c r="A38" s="19"/>
      <c r="B38" s="400"/>
      <c r="C38" s="401"/>
      <c r="D38" s="401"/>
      <c r="E38" s="401"/>
      <c r="F38" s="402"/>
      <c r="G38" s="5"/>
      <c r="H38" s="276" t="str">
        <f>' Données'!D24</f>
        <v xml:space="preserve"> </v>
      </c>
      <c r="I38" s="261" t="str">
        <f>IF(H38=" "," ",' Données'!E24)</f>
        <v xml:space="preserve"> </v>
      </c>
      <c r="J38" s="277" t="str">
        <f>IF(H38=" "," ",' Données'!H24)</f>
        <v xml:space="preserve"> </v>
      </c>
      <c r="K38" s="4"/>
      <c r="L38" s="409"/>
      <c r="M38" s="410"/>
      <c r="N38" s="410"/>
      <c r="O38" s="410"/>
      <c r="P38" s="410"/>
      <c r="Q38" s="410"/>
      <c r="R38" s="411"/>
    </row>
    <row r="39" spans="1:18" ht="15.75" thickTop="1" thickBot="1">
      <c r="A39" s="19"/>
      <c r="B39" s="400"/>
      <c r="C39" s="401"/>
      <c r="D39" s="401"/>
      <c r="E39" s="401"/>
      <c r="F39" s="402"/>
      <c r="G39" s="5"/>
      <c r="H39" s="276" t="str">
        <f>' Données'!D25</f>
        <v xml:space="preserve"> </v>
      </c>
      <c r="I39" s="261" t="str">
        <f>IF(H39=" "," ",' Données'!E25)</f>
        <v xml:space="preserve"> </v>
      </c>
      <c r="J39" s="277" t="str">
        <f>IF(H39=" "," ",' Données'!H25)</f>
        <v xml:space="preserve"> </v>
      </c>
      <c r="K39" s="4"/>
      <c r="L39" s="409"/>
      <c r="M39" s="410"/>
      <c r="N39" s="410"/>
      <c r="O39" s="410"/>
      <c r="P39" s="410"/>
      <c r="Q39" s="410"/>
      <c r="R39" s="411"/>
    </row>
    <row r="40" spans="1:18" ht="15.75" thickTop="1" thickBot="1">
      <c r="A40" s="19"/>
      <c r="B40" s="400"/>
      <c r="C40" s="401"/>
      <c r="D40" s="401"/>
      <c r="E40" s="401"/>
      <c r="F40" s="402"/>
      <c r="G40" s="5"/>
      <c r="H40" s="276" t="str">
        <f>' Données'!D26</f>
        <v xml:space="preserve"> </v>
      </c>
      <c r="I40" s="261" t="str">
        <f>IF(H40=" "," ",' Données'!E26)</f>
        <v xml:space="preserve"> </v>
      </c>
      <c r="J40" s="277" t="str">
        <f>IF(H40=" "," ",' Données'!H26)</f>
        <v xml:space="preserve"> </v>
      </c>
      <c r="K40" s="4"/>
      <c r="L40" s="409"/>
      <c r="M40" s="410"/>
      <c r="N40" s="410"/>
      <c r="O40" s="410"/>
      <c r="P40" s="410"/>
      <c r="Q40" s="410"/>
      <c r="R40" s="411"/>
    </row>
    <row r="41" spans="1:18" ht="15.75" thickTop="1" thickBot="1">
      <c r="A41" s="19"/>
      <c r="B41" s="400"/>
      <c r="C41" s="401"/>
      <c r="D41" s="401"/>
      <c r="E41" s="401"/>
      <c r="F41" s="402"/>
      <c r="G41" s="5"/>
      <c r="H41" s="276" t="str">
        <f>' Données'!D27</f>
        <v xml:space="preserve"> </v>
      </c>
      <c r="I41" s="261" t="str">
        <f>IF(H41=" "," ",' Données'!E27)</f>
        <v xml:space="preserve"> </v>
      </c>
      <c r="J41" s="277" t="str">
        <f>IF(H41=" "," ",' Données'!H27)</f>
        <v xml:space="preserve"> </v>
      </c>
      <c r="K41" s="4"/>
      <c r="L41" s="409"/>
      <c r="M41" s="410"/>
      <c r="N41" s="410"/>
      <c r="O41" s="410"/>
      <c r="P41" s="410"/>
      <c r="Q41" s="410"/>
      <c r="R41" s="411"/>
    </row>
    <row r="42" spans="1:18" ht="15.75" thickTop="1" thickBot="1">
      <c r="A42" s="19"/>
      <c r="B42" s="400"/>
      <c r="C42" s="401"/>
      <c r="D42" s="401"/>
      <c r="E42" s="401"/>
      <c r="F42" s="402"/>
      <c r="G42" s="5"/>
      <c r="H42" s="276" t="str">
        <f>' Données'!D28</f>
        <v xml:space="preserve"> </v>
      </c>
      <c r="I42" s="261" t="str">
        <f>IF(H42=" "," ",' Données'!E28)</f>
        <v xml:space="preserve"> </v>
      </c>
      <c r="J42" s="277" t="str">
        <f>IF(H42=" "," ",' Données'!H28)</f>
        <v xml:space="preserve"> </v>
      </c>
      <c r="K42" s="4"/>
      <c r="L42" s="409"/>
      <c r="M42" s="410"/>
      <c r="N42" s="410"/>
      <c r="O42" s="410"/>
      <c r="P42" s="410"/>
      <c r="Q42" s="410"/>
      <c r="R42" s="411"/>
    </row>
    <row r="43" spans="1:18" ht="15.75" thickTop="1" thickBot="1">
      <c r="A43" s="19"/>
      <c r="B43" s="400"/>
      <c r="C43" s="401"/>
      <c r="D43" s="401"/>
      <c r="E43" s="401"/>
      <c r="F43" s="402"/>
      <c r="G43" s="5"/>
      <c r="H43" s="276" t="str">
        <f>' Données'!D29</f>
        <v xml:space="preserve"> </v>
      </c>
      <c r="I43" s="261" t="str">
        <f>IF(H43=" "," ",' Données'!E29)</f>
        <v xml:space="preserve"> </v>
      </c>
      <c r="J43" s="277" t="str">
        <f>IF(H43=" "," ",' Données'!H29)</f>
        <v xml:space="preserve"> </v>
      </c>
      <c r="K43" s="4"/>
      <c r="L43" s="409"/>
      <c r="M43" s="410"/>
      <c r="N43" s="410"/>
      <c r="O43" s="410"/>
      <c r="P43" s="410"/>
      <c r="Q43" s="410"/>
      <c r="R43" s="411"/>
    </row>
    <row r="44" spans="1:18" ht="15.75" thickTop="1" thickBot="1">
      <c r="A44" s="19"/>
      <c r="B44" s="400"/>
      <c r="C44" s="401"/>
      <c r="D44" s="401"/>
      <c r="E44" s="401"/>
      <c r="F44" s="402"/>
      <c r="G44" s="5"/>
      <c r="H44" s="276" t="str">
        <f>' Données'!D30</f>
        <v xml:space="preserve"> </v>
      </c>
      <c r="I44" s="261" t="str">
        <f>IF(H44=" "," ",' Données'!E30)</f>
        <v xml:space="preserve"> </v>
      </c>
      <c r="J44" s="277" t="str">
        <f>IF(H44=" "," ",' Données'!H30)</f>
        <v xml:space="preserve"> </v>
      </c>
      <c r="K44" s="4"/>
      <c r="L44" s="409"/>
      <c r="M44" s="410"/>
      <c r="N44" s="410"/>
      <c r="O44" s="410"/>
      <c r="P44" s="410"/>
      <c r="Q44" s="410"/>
      <c r="R44" s="411"/>
    </row>
    <row r="45" spans="1:18" ht="15.75" thickTop="1" thickBot="1">
      <c r="A45" s="19"/>
      <c r="B45" s="403"/>
      <c r="C45" s="404"/>
      <c r="D45" s="404"/>
      <c r="E45" s="404"/>
      <c r="F45" s="405"/>
      <c r="H45" s="276" t="str">
        <f>' Données'!D31</f>
        <v xml:space="preserve"> </v>
      </c>
      <c r="I45" s="261" t="str">
        <f>IF(H45=" "," ",' Données'!E31)</f>
        <v xml:space="preserve"> </v>
      </c>
      <c r="J45" s="277" t="str">
        <f>IF(H45=" "," ",' Données'!H31)</f>
        <v xml:space="preserve"> </v>
      </c>
      <c r="K45" s="4"/>
      <c r="L45" s="412"/>
      <c r="M45" s="413"/>
      <c r="N45" s="413"/>
      <c r="O45" s="413"/>
      <c r="P45" s="413"/>
      <c r="Q45" s="413"/>
      <c r="R45" s="414"/>
    </row>
    <row r="46" spans="1:18" ht="15.75" thickTop="1" thickBot="1">
      <c r="G46" s="18"/>
      <c r="H46" s="276" t="str">
        <f>' Données'!D32</f>
        <v xml:space="preserve"> </v>
      </c>
      <c r="I46" s="261" t="str">
        <f>IF(H46=" "," ",' Données'!E32)</f>
        <v xml:space="preserve"> </v>
      </c>
      <c r="J46" s="277" t="str">
        <f>IF(H46=" "," ",' Données'!H32)</f>
        <v xml:space="preserve"> </v>
      </c>
      <c r="K46" s="4"/>
      <c r="L46" s="19"/>
      <c r="M46" s="19"/>
      <c r="N46" s="19"/>
      <c r="O46" s="19"/>
      <c r="P46" s="19"/>
      <c r="Q46" s="19"/>
      <c r="R46" s="19"/>
    </row>
    <row r="47" spans="1:18" ht="15.75" thickTop="1" thickBot="1">
      <c r="G47" s="18"/>
      <c r="H47" s="276" t="str">
        <f>' Données'!D33</f>
        <v xml:space="preserve"> </v>
      </c>
      <c r="I47" s="261" t="str">
        <f>IF(H47=" "," ",' Données'!E33)</f>
        <v xml:space="preserve"> </v>
      </c>
      <c r="J47" s="277" t="str">
        <f>IF(H47=" "," ",' Données'!H33)</f>
        <v xml:space="preserve"> </v>
      </c>
      <c r="K47" s="4"/>
      <c r="L47" s="4"/>
      <c r="M47" s="4"/>
      <c r="N47" s="7"/>
    </row>
    <row r="48" spans="1:18" ht="15.75" thickTop="1" thickBot="1">
      <c r="G48" s="18"/>
      <c r="H48" s="276" t="str">
        <f>' Données'!D34</f>
        <v xml:space="preserve"> </v>
      </c>
      <c r="I48" s="261" t="str">
        <f>IF(H48=" "," ",' Données'!E34)</f>
        <v xml:space="preserve"> </v>
      </c>
      <c r="J48" s="277" t="str">
        <f>IF(H48=" "," ",' Données'!H34)</f>
        <v xml:space="preserve"> </v>
      </c>
      <c r="K48" s="4"/>
      <c r="L48" s="4"/>
      <c r="M48" s="4"/>
      <c r="N48" s="7"/>
    </row>
    <row r="49" spans="7:17" ht="15.75" thickTop="1" thickBot="1">
      <c r="G49" s="18"/>
      <c r="H49" s="276" t="str">
        <f>' Données'!D35</f>
        <v xml:space="preserve"> </v>
      </c>
      <c r="I49" s="261" t="str">
        <f>IF(H49=" "," ",' Données'!E35)</f>
        <v xml:space="preserve"> </v>
      </c>
      <c r="J49" s="277" t="str">
        <f>IF(H49=" "," ",' Données'!H35)</f>
        <v xml:space="preserve"> </v>
      </c>
      <c r="K49" s="4"/>
      <c r="L49" s="4"/>
      <c r="M49" s="4"/>
      <c r="N49" s="7"/>
    </row>
    <row r="50" spans="7:17" ht="15.75" thickTop="1" thickBot="1">
      <c r="G50" s="18"/>
      <c r="H50" s="276" t="str">
        <f>' Données'!D36</f>
        <v xml:space="preserve"> </v>
      </c>
      <c r="I50" s="261" t="str">
        <f>IF(H50=" "," ",' Données'!E36)</f>
        <v xml:space="preserve"> </v>
      </c>
      <c r="J50" s="277" t="str">
        <f>IF(H50=" "," ",' Données'!H36)</f>
        <v xml:space="preserve"> </v>
      </c>
      <c r="K50" s="4"/>
      <c r="L50" s="4"/>
      <c r="M50" s="4"/>
      <c r="N50" s="7"/>
    </row>
    <row r="51" spans="7:17" ht="15.75" thickTop="1" thickBot="1">
      <c r="G51" s="18"/>
      <c r="H51" s="276" t="str">
        <f>' Données'!D37</f>
        <v xml:space="preserve"> </v>
      </c>
      <c r="I51" s="261" t="str">
        <f>IF(H51=" "," ",' Données'!E37)</f>
        <v xml:space="preserve"> </v>
      </c>
      <c r="J51" s="277" t="str">
        <f>IF(H51=" "," ",' Données'!H37)</f>
        <v xml:space="preserve"> </v>
      </c>
      <c r="K51" s="4"/>
      <c r="L51" s="4"/>
      <c r="M51" s="4"/>
      <c r="N51" s="7"/>
      <c r="O51" s="4"/>
      <c r="P51" s="4"/>
      <c r="Q51" s="4"/>
    </row>
    <row r="52" spans="7:17" ht="15.75" thickTop="1" thickBot="1">
      <c r="H52" s="276" t="str">
        <f>' Données'!D38</f>
        <v xml:space="preserve"> </v>
      </c>
      <c r="I52" s="261" t="str">
        <f>IF(H52=" "," ",' Données'!E38)</f>
        <v xml:space="preserve"> </v>
      </c>
      <c r="J52" s="277" t="str">
        <f>IF(H52=" "," ",' Données'!H38)</f>
        <v xml:space="preserve"> </v>
      </c>
      <c r="K52" s="4"/>
      <c r="L52" s="4"/>
      <c r="M52" s="4"/>
      <c r="N52" s="7"/>
      <c r="O52" s="4"/>
      <c r="P52" s="4"/>
      <c r="Q52" s="4"/>
    </row>
    <row r="53" spans="7:17" ht="15.75" thickTop="1" thickBot="1">
      <c r="H53" s="276" t="str">
        <f>' Données'!D39</f>
        <v xml:space="preserve"> </v>
      </c>
      <c r="I53" s="261" t="str">
        <f>IF(H53=" "," ",' Données'!E39)</f>
        <v xml:space="preserve"> </v>
      </c>
      <c r="J53" s="277" t="str">
        <f>IF(H53=" "," ",' Données'!H39)</f>
        <v xml:space="preserve"> </v>
      </c>
      <c r="K53" s="4"/>
      <c r="L53" s="4"/>
      <c r="M53" s="4"/>
      <c r="N53" s="7"/>
      <c r="O53" s="4"/>
      <c r="P53" s="4"/>
      <c r="Q53" s="4"/>
    </row>
    <row r="54" spans="7:17" ht="15.75" thickTop="1" thickBot="1">
      <c r="H54" s="276" t="str">
        <f>' Données'!D40</f>
        <v xml:space="preserve"> </v>
      </c>
      <c r="I54" s="261" t="str">
        <f>IF(H54=" "," ",' Données'!E40)</f>
        <v xml:space="preserve"> </v>
      </c>
      <c r="J54" s="277" t="str">
        <f>IF(H54=" "," ",' Données'!H40)</f>
        <v xml:space="preserve"> </v>
      </c>
      <c r="K54" s="4"/>
      <c r="L54" s="4"/>
      <c r="M54" s="4"/>
      <c r="N54" s="7"/>
      <c r="O54" s="4"/>
      <c r="P54" s="4"/>
      <c r="Q54" s="4"/>
    </row>
    <row r="55" spans="7:17" ht="15.75" thickTop="1" thickBot="1">
      <c r="H55" s="276" t="str">
        <f>' Données'!D41</f>
        <v xml:space="preserve"> </v>
      </c>
      <c r="I55" s="261" t="str">
        <f>IF(H55=" "," ",' Données'!E41)</f>
        <v xml:space="preserve"> </v>
      </c>
      <c r="J55" s="277" t="str">
        <f>IF(H55=" "," ",' Données'!H41)</f>
        <v xml:space="preserve"> </v>
      </c>
      <c r="K55" s="4"/>
      <c r="L55" s="4"/>
      <c r="M55" s="4"/>
      <c r="N55" s="7"/>
      <c r="O55" s="4"/>
      <c r="P55" s="4"/>
      <c r="Q55" s="4"/>
    </row>
    <row r="56" spans="7:17" ht="15.75" thickTop="1" thickBot="1">
      <c r="H56" s="276" t="str">
        <f>' Données'!D42</f>
        <v xml:space="preserve"> </v>
      </c>
      <c r="I56" s="261" t="str">
        <f>IF(H56=" "," ",' Données'!E42)</f>
        <v xml:space="preserve"> </v>
      </c>
      <c r="J56" s="277" t="str">
        <f>IF(H56=" "," ",' Données'!H42)</f>
        <v xml:space="preserve"> </v>
      </c>
      <c r="K56" s="4"/>
      <c r="L56" s="4"/>
      <c r="M56" s="4"/>
      <c r="N56" s="7"/>
      <c r="O56" s="4"/>
      <c r="P56" s="4"/>
      <c r="Q56" s="4"/>
    </row>
    <row r="57" spans="7:17" ht="15" thickTop="1">
      <c r="H57" s="27"/>
      <c r="I57" s="28"/>
      <c r="J57" s="28"/>
      <c r="K57" s="4"/>
      <c r="L57" s="4"/>
      <c r="M57" s="4"/>
      <c r="O57" s="4"/>
      <c r="P57" s="4"/>
      <c r="Q57" s="4"/>
    </row>
    <row r="58" spans="7:17">
      <c r="H58" s="27"/>
      <c r="I58" s="28"/>
      <c r="J58" s="28"/>
      <c r="K58" s="4"/>
      <c r="L58" s="4"/>
      <c r="M58" s="4"/>
      <c r="O58" s="4"/>
      <c r="P58" s="4"/>
      <c r="Q58" s="4"/>
    </row>
    <row r="59" spans="7:17">
      <c r="H59" s="27"/>
      <c r="I59" s="28"/>
      <c r="J59" s="28"/>
      <c r="K59" s="4"/>
      <c r="L59" s="4"/>
      <c r="M59" s="4"/>
      <c r="O59" s="4"/>
      <c r="P59" s="4"/>
      <c r="Q59" s="4"/>
    </row>
  </sheetData>
  <mergeCells count="11">
    <mergeCell ref="H27:I27"/>
    <mergeCell ref="B26:F45"/>
    <mergeCell ref="H28:I28"/>
    <mergeCell ref="E2:P2"/>
    <mergeCell ref="E22:P22"/>
    <mergeCell ref="H26:I26"/>
    <mergeCell ref="L26:R45"/>
    <mergeCell ref="B5:F20"/>
    <mergeCell ref="L5:R20"/>
    <mergeCell ref="G17:K18"/>
    <mergeCell ref="G25:K25"/>
  </mergeCells>
  <dataValidations count="2">
    <dataValidation type="decimal" operator="lessThanOrEqual" allowBlank="1" showInputMessage="1" showErrorMessage="1" errorTitle="Attention :" error="Hi &gt; Hw" sqref="J14">
      <formula1>$J$8</formula1>
    </dataValidation>
    <dataValidation type="decimal" operator="lessThanOrEqual" allowBlank="1" showInputMessage="1" showErrorMessage="1" errorTitle="Attention :" error="Hi &gt; H totale" sqref="J27">
      <formula1>$J$8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S62"/>
  <sheetViews>
    <sheetView showGridLines="0" topLeftCell="A16" zoomScale="95" zoomScaleNormal="95" workbookViewId="0">
      <selection activeCell="C37" sqref="C37"/>
    </sheetView>
  </sheetViews>
  <sheetFormatPr defaultRowHeight="15"/>
  <cols>
    <col min="1" max="1" width="9.85546875" customWidth="1"/>
    <col min="2" max="2" width="12.5703125" bestFit="1" customWidth="1"/>
    <col min="3" max="3" width="11.7109375" customWidth="1"/>
    <col min="4" max="4" width="10.5703125" bestFit="1" customWidth="1"/>
    <col min="5" max="6" width="10" customWidth="1"/>
    <col min="7" max="7" width="9.28515625" customWidth="1"/>
    <col min="8" max="8" width="9.5703125" bestFit="1" customWidth="1"/>
    <col min="10" max="10" width="9.140625" customWidth="1"/>
    <col min="12" max="12" width="11.28515625" bestFit="1" customWidth="1"/>
    <col min="13" max="13" width="11.7109375" bestFit="1" customWidth="1"/>
    <col min="14" max="14" width="12.140625" bestFit="1" customWidth="1"/>
    <col min="15" max="15" width="11" bestFit="1" customWidth="1"/>
    <col min="16" max="16" width="11.140625" bestFit="1" customWidth="1"/>
    <col min="17" max="17" width="12.5703125" bestFit="1" customWidth="1"/>
    <col min="18" max="18" width="13.42578125" customWidth="1"/>
  </cols>
  <sheetData>
    <row r="1" spans="2:19" ht="5.25" customHeight="1" thickBot="1"/>
    <row r="2" spans="2:19" ht="21" thickTop="1">
      <c r="B2" s="376" t="s">
        <v>87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8"/>
    </row>
    <row r="3" spans="2:19" ht="18" customHeight="1" thickBot="1">
      <c r="B3" s="11" t="s">
        <v>23</v>
      </c>
      <c r="C3" s="13" t="str">
        <f>Calcul!$C$2</f>
        <v>Vers 1.5.3</v>
      </c>
      <c r="D3" s="13"/>
      <c r="E3" s="38"/>
      <c r="F3" s="38"/>
      <c r="G3" s="38"/>
      <c r="H3" s="15"/>
      <c r="I3" s="15"/>
      <c r="J3" s="38"/>
      <c r="K3" s="38"/>
      <c r="L3" s="12"/>
      <c r="M3" s="61"/>
      <c r="N3" s="61"/>
      <c r="O3" s="426"/>
      <c r="P3" s="426"/>
      <c r="Q3" s="426"/>
      <c r="R3" s="427"/>
    </row>
    <row r="4" spans="2:19" ht="16.5" thickTop="1" thickBot="1"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</row>
    <row r="5" spans="2:19" ht="19.5" thickBot="1">
      <c r="B5" s="423" t="s">
        <v>222</v>
      </c>
      <c r="C5" s="424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5"/>
    </row>
    <row r="6" spans="2:19" ht="19.5" thickTop="1" thickBot="1">
      <c r="B6" s="235" t="s">
        <v>289</v>
      </c>
      <c r="C6" s="235" t="s">
        <v>265</v>
      </c>
      <c r="D6" s="235" t="s">
        <v>266</v>
      </c>
      <c r="E6" s="235" t="s">
        <v>267</v>
      </c>
      <c r="F6" s="235" t="s">
        <v>268</v>
      </c>
      <c r="G6" s="235" t="s">
        <v>31</v>
      </c>
      <c r="H6" s="240" t="s">
        <v>263</v>
      </c>
      <c r="I6" s="240" t="s">
        <v>264</v>
      </c>
      <c r="J6" s="235" t="s">
        <v>290</v>
      </c>
      <c r="K6" s="235" t="s">
        <v>45</v>
      </c>
      <c r="L6" s="235" t="s">
        <v>291</v>
      </c>
      <c r="M6" s="235" t="s">
        <v>292</v>
      </c>
      <c r="N6" s="235" t="s">
        <v>293</v>
      </c>
      <c r="O6" s="235" t="s">
        <v>39</v>
      </c>
      <c r="P6" s="235" t="s">
        <v>269</v>
      </c>
      <c r="Q6" s="235" t="s">
        <v>213</v>
      </c>
      <c r="R6" s="235" t="s">
        <v>270</v>
      </c>
    </row>
    <row r="7" spans="2:19" ht="16.5" thickTop="1" thickBot="1">
      <c r="B7" s="266">
        <f>' Données'!$F$6</f>
        <v>2.61</v>
      </c>
      <c r="C7" s="266">
        <f>' Données'!$G$6</f>
        <v>1.6</v>
      </c>
      <c r="D7" s="266">
        <f>' Données'!$H$6</f>
        <v>0.2</v>
      </c>
      <c r="E7" s="266">
        <f>' Données'!$I$6</f>
        <v>2.5</v>
      </c>
      <c r="F7" s="266">
        <f>' Données'!$J$6</f>
        <v>25</v>
      </c>
      <c r="G7" s="266">
        <f>' Données'!$K$6</f>
        <v>400</v>
      </c>
      <c r="H7" s="266">
        <f>' Données'!$L$6</f>
        <v>1.2</v>
      </c>
      <c r="I7" s="266">
        <f>' Données'!$M$6</f>
        <v>1</v>
      </c>
      <c r="J7" s="266">
        <f>Enveloppe!$J$12</f>
        <v>2.5499999999999998</v>
      </c>
      <c r="K7" s="266">
        <f>' Données'!$H$10</f>
        <v>4.5</v>
      </c>
      <c r="L7" s="266">
        <f>' Données'!$D$10</f>
        <v>1</v>
      </c>
      <c r="M7" s="266">
        <f>' Données'!$E$10</f>
        <v>0.52</v>
      </c>
      <c r="N7" s="266">
        <f>' Données'!$F$10</f>
        <v>0.25</v>
      </c>
      <c r="O7" s="266">
        <f>ABS(Calcul!G79)</f>
        <v>600.51</v>
      </c>
      <c r="P7" s="266">
        <f>Calcul!$H$79</f>
        <v>144.03</v>
      </c>
      <c r="Q7" s="266">
        <f>ABS(Calcul!$I$79)</f>
        <v>157.5</v>
      </c>
      <c r="R7" s="266">
        <f>'Moment resistant'!$B$38*1</f>
        <v>981.90514180782282</v>
      </c>
    </row>
    <row r="8" spans="2:19" ht="16.5" thickTop="1" thickBot="1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2"/>
    </row>
    <row r="9" spans="2:19" ht="17.25" thickTop="1" thickBot="1">
      <c r="B9" s="419" t="s">
        <v>35</v>
      </c>
      <c r="C9" s="419"/>
      <c r="D9" s="53"/>
      <c r="E9" s="241" t="str">
        <f>" d (cm)= "&amp;$E$7</f>
        <v xml:space="preserve"> d (cm)= 2.5</v>
      </c>
      <c r="F9" s="433" t="str">
        <f>IF(C12&gt;C14,B14&amp; " = "&amp;$C$12,B14&amp; " = "&amp;$C$14)</f>
        <v>Lcg (min) (cm) = 35</v>
      </c>
      <c r="G9" s="433"/>
      <c r="H9" s="448" t="s">
        <v>41</v>
      </c>
      <c r="I9" s="448"/>
      <c r="J9" s="431" t="str">
        <f>"Lâme (cm) = "&amp;$C$7*100-$C$12-$R$12-4*$E$7</f>
        <v>Lâme (cm) = 80</v>
      </c>
      <c r="K9" s="431"/>
      <c r="L9" s="242" t="str">
        <f>"bw(cm) = "&amp;$D$7*100</f>
        <v>bw(cm) = 20</v>
      </c>
      <c r="M9" s="431" t="str">
        <f>IF(R12&gt;R14,Q14&amp; "= "&amp;$R$12,Q14&amp; "= "&amp;R14)</f>
        <v>Lcd  (min) (cm)= 35</v>
      </c>
      <c r="N9" s="431"/>
      <c r="O9" s="243" t="str">
        <f>" d (cm)= "&amp;$E$7</f>
        <v xml:space="preserve"> d (cm)= 2.5</v>
      </c>
      <c r="P9" s="57"/>
      <c r="Q9" s="419" t="s">
        <v>34</v>
      </c>
      <c r="R9" s="419"/>
    </row>
    <row r="10" spans="2:19" ht="19.5" thickTop="1" thickBot="1">
      <c r="B10" s="258" t="s">
        <v>271</v>
      </c>
      <c r="C10" s="231">
        <v>1.2</v>
      </c>
      <c r="D10" s="53"/>
      <c r="E10" s="446"/>
      <c r="F10" s="447" t="str">
        <f>B15&amp;" = "&amp;C13</f>
        <v>bcg  (min) (cm) = 20</v>
      </c>
      <c r="G10" s="245"/>
      <c r="H10" s="245"/>
      <c r="I10" s="245"/>
      <c r="J10" s="245"/>
      <c r="K10" s="245"/>
      <c r="L10" s="245"/>
      <c r="M10" s="245"/>
      <c r="N10" s="245"/>
      <c r="O10" s="428" t="str">
        <f>Q15&amp;" = "&amp;R13</f>
        <v>bcd  (min) (cm) = 20</v>
      </c>
      <c r="P10" s="58"/>
      <c r="Q10" s="258" t="s">
        <v>271</v>
      </c>
      <c r="R10" s="231">
        <v>1.2</v>
      </c>
    </row>
    <row r="11" spans="2:19" ht="17.25" customHeight="1" thickTop="1" thickBot="1">
      <c r="B11" s="328" t="s">
        <v>272</v>
      </c>
      <c r="C11" s="231">
        <v>9.0500000000000007</v>
      </c>
      <c r="D11" s="53"/>
      <c r="E11" s="446"/>
      <c r="F11" s="447"/>
      <c r="G11" s="245"/>
      <c r="H11" s="245"/>
      <c r="I11" s="245"/>
      <c r="J11" s="245"/>
      <c r="K11" s="245"/>
      <c r="L11" s="245"/>
      <c r="M11" s="245"/>
      <c r="N11" s="245"/>
      <c r="O11" s="428"/>
      <c r="P11" s="58"/>
      <c r="Q11" s="258" t="s">
        <v>272</v>
      </c>
      <c r="R11" s="231">
        <v>9.0500000000000007</v>
      </c>
    </row>
    <row r="12" spans="2:19" ht="19.5" thickTop="1" thickBot="1">
      <c r="B12" s="258" t="s">
        <v>274</v>
      </c>
      <c r="C12" s="231">
        <v>35</v>
      </c>
      <c r="D12" s="54"/>
      <c r="E12" s="446"/>
      <c r="F12" s="447"/>
      <c r="G12" s="245"/>
      <c r="H12" s="245"/>
      <c r="I12" s="245"/>
      <c r="J12" s="245"/>
      <c r="K12" s="245"/>
      <c r="L12" s="245"/>
      <c r="M12" s="245"/>
      <c r="N12" s="245"/>
      <c r="O12" s="428"/>
      <c r="P12" s="58"/>
      <c r="Q12" s="258" t="s">
        <v>273</v>
      </c>
      <c r="R12" s="231">
        <v>35</v>
      </c>
    </row>
    <row r="13" spans="2:19" ht="19.5" thickTop="1" thickBot="1">
      <c r="B13" s="258" t="s">
        <v>275</v>
      </c>
      <c r="C13" s="231">
        <v>20</v>
      </c>
      <c r="D13" s="54"/>
      <c r="E13" s="446"/>
      <c r="F13" s="447"/>
      <c r="G13" s="245"/>
      <c r="H13" s="245"/>
      <c r="I13" s="245"/>
      <c r="J13" s="245"/>
      <c r="K13" s="245"/>
      <c r="L13" s="245"/>
      <c r="M13" s="245"/>
      <c r="N13" s="245"/>
      <c r="O13" s="428"/>
      <c r="P13" s="58"/>
      <c r="Q13" s="258" t="s">
        <v>281</v>
      </c>
      <c r="R13" s="231">
        <v>20</v>
      </c>
    </row>
    <row r="14" spans="2:19" ht="19.5" thickTop="1" thickBot="1">
      <c r="B14" s="285" t="s">
        <v>310</v>
      </c>
      <c r="C14" s="237">
        <f>ROUND(MAX(0.15*$C$7,1.5*$D$7),2)*100</f>
        <v>30</v>
      </c>
      <c r="D14" s="54"/>
      <c r="E14" s="446"/>
      <c r="F14" s="447"/>
      <c r="G14" s="245"/>
      <c r="H14" s="245"/>
      <c r="I14" s="245"/>
      <c r="J14" s="245"/>
      <c r="K14" s="245"/>
      <c r="L14" s="245"/>
      <c r="M14" s="245"/>
      <c r="N14" s="245"/>
      <c r="O14" s="428"/>
      <c r="P14" s="58"/>
      <c r="Q14" s="285" t="s">
        <v>312</v>
      </c>
      <c r="R14" s="237">
        <f>ROUND(MAX(0.15*$C$7,1.5*$D$7),2)*100</f>
        <v>30</v>
      </c>
    </row>
    <row r="15" spans="2:19" ht="19.5" thickTop="1" thickBot="1">
      <c r="B15" s="285" t="s">
        <v>311</v>
      </c>
      <c r="C15" s="237">
        <f>MAX(IF($C$12/100&gt;MAX(2*$D$7,0.2*$C$7),$B$7/10,$B$7/15),0.2)*100</f>
        <v>20</v>
      </c>
      <c r="E15" s="246"/>
      <c r="F15" s="245"/>
      <c r="G15" s="245"/>
      <c r="H15" s="245"/>
      <c r="I15" s="245"/>
      <c r="J15" s="245"/>
      <c r="K15" s="245"/>
      <c r="L15" s="245"/>
      <c r="M15" s="245"/>
      <c r="N15" s="245"/>
      <c r="O15" s="247"/>
      <c r="P15" s="57"/>
      <c r="Q15" s="285" t="s">
        <v>313</v>
      </c>
      <c r="R15" s="237">
        <f>MAX(IF($R$12/100&gt; MAX(2*$D$7,0.2*$C$7),$B$7/10,$B$7/15),0.2)*100</f>
        <v>20</v>
      </c>
    </row>
    <row r="16" spans="2:19" ht="19.5" thickTop="1" thickBot="1">
      <c r="B16" s="258" t="s">
        <v>276</v>
      </c>
      <c r="C16" s="237">
        <f>$C$13-2*$E$7</f>
        <v>15</v>
      </c>
      <c r="E16" s="248"/>
      <c r="F16" s="430" t="str">
        <f>B19&amp;" = "&amp;C19</f>
        <v>Avg (cm²) = 9.05</v>
      </c>
      <c r="G16" s="430"/>
      <c r="H16" s="286" t="str">
        <f>B23&amp;"= "&amp;C23</f>
        <v>At (cm²)= 0.74</v>
      </c>
      <c r="I16" s="244"/>
      <c r="J16" s="432" t="str">
        <f>C6&amp;" = " &amp;C7</f>
        <v>lw (m) = 1.6</v>
      </c>
      <c r="K16" s="432"/>
      <c r="L16" s="244"/>
      <c r="M16" s="430" t="str">
        <f>Q19&amp;" = "&amp;R19</f>
        <v>Avd (cm²) = 9.05</v>
      </c>
      <c r="N16" s="430"/>
      <c r="O16" s="449"/>
      <c r="P16" s="57"/>
      <c r="Q16" s="258" t="s">
        <v>276</v>
      </c>
      <c r="R16" s="237">
        <f>$R$13-2*$E$7</f>
        <v>15</v>
      </c>
    </row>
    <row r="17" spans="2:18" ht="19.5" thickTop="1" thickBot="1">
      <c r="B17" s="258" t="s">
        <v>277</v>
      </c>
      <c r="C17" s="237">
        <f>0.5%*($C$12+2*$E$7)*$C$13</f>
        <v>4</v>
      </c>
      <c r="E17" s="249"/>
      <c r="F17" s="250"/>
      <c r="G17" s="250"/>
      <c r="H17" s="250"/>
      <c r="I17" s="250"/>
      <c r="J17" s="250"/>
      <c r="K17" s="250"/>
      <c r="L17" s="250"/>
      <c r="M17" s="250"/>
      <c r="N17" s="250"/>
      <c r="O17" s="251"/>
      <c r="P17" s="57"/>
      <c r="Q17" s="258" t="s">
        <v>277</v>
      </c>
      <c r="R17" s="237">
        <f>0.5%*($R$12+2*$E$7)*$R$13</f>
        <v>4</v>
      </c>
    </row>
    <row r="18" spans="2:18" ht="17.25" thickTop="1" thickBot="1">
      <c r="B18" s="258" t="s">
        <v>260</v>
      </c>
      <c r="C18" s="237">
        <f>1.1*($Q$7*10)/$G$7</f>
        <v>4.3312500000000007</v>
      </c>
      <c r="D18" s="52"/>
      <c r="E18" s="246"/>
      <c r="F18" s="252"/>
      <c r="G18" s="252"/>
      <c r="H18" s="253"/>
      <c r="I18" s="252" t="str">
        <f>"Ø"&amp;$J$28*10</f>
        <v>Ø10</v>
      </c>
      <c r="J18" s="429" t="str">
        <f>"St= "&amp;$J$29</f>
        <v>St= 20</v>
      </c>
      <c r="K18" s="429"/>
      <c r="L18" s="252" t="str">
        <f>"Ø"&amp;$M$28*10</f>
        <v>Ø12</v>
      </c>
      <c r="M18" s="252"/>
      <c r="N18" s="252"/>
      <c r="O18" s="254"/>
      <c r="P18" s="57"/>
      <c r="Q18" s="258" t="s">
        <v>260</v>
      </c>
      <c r="R18" s="237">
        <f>1.1*($Q$7*10)/$G$7</f>
        <v>4.3312500000000007</v>
      </c>
    </row>
    <row r="19" spans="2:18" ht="17.25" thickTop="1" thickBot="1">
      <c r="B19" s="233" t="s">
        <v>261</v>
      </c>
      <c r="C19" s="259">
        <f>MAX($C$11,$C$17,$C$18)</f>
        <v>9.0500000000000007</v>
      </c>
      <c r="D19" s="52"/>
      <c r="E19" s="246"/>
      <c r="F19" s="252"/>
      <c r="G19" s="252"/>
      <c r="H19" s="252"/>
      <c r="I19" s="252"/>
      <c r="J19" s="252"/>
      <c r="K19" s="252"/>
      <c r="L19" s="252"/>
      <c r="M19" s="252"/>
      <c r="N19" s="252"/>
      <c r="O19" s="254"/>
      <c r="P19" s="57"/>
      <c r="Q19" s="258" t="s">
        <v>280</v>
      </c>
      <c r="R19" s="259">
        <f>MAX($R$11,$R$17,$R$18)</f>
        <v>9.0500000000000007</v>
      </c>
    </row>
    <row r="20" spans="2:18" ht="19.5" thickTop="1" thickBot="1">
      <c r="B20" s="258" t="s">
        <v>278</v>
      </c>
      <c r="C20" s="237">
        <f>FLOOR(MIN($C$16/3,12.5,6*$C$10),1)</f>
        <v>5</v>
      </c>
      <c r="D20" s="52"/>
      <c r="E20" s="246"/>
      <c r="F20" s="252"/>
      <c r="G20" s="252"/>
      <c r="H20" s="252"/>
      <c r="I20" s="252"/>
      <c r="J20" s="252"/>
      <c r="K20" s="252"/>
      <c r="L20" s="252"/>
      <c r="M20" s="252"/>
      <c r="N20" s="252"/>
      <c r="O20" s="254"/>
      <c r="P20" s="57"/>
      <c r="Q20" s="258" t="s">
        <v>278</v>
      </c>
      <c r="R20" s="237">
        <f>FLOOR(MIN($R$16/3,12.5,6*$R$10),1)</f>
        <v>5</v>
      </c>
    </row>
    <row r="21" spans="2:18" ht="17.25" thickTop="1" thickBot="1">
      <c r="B21" s="233" t="s">
        <v>262</v>
      </c>
      <c r="C21" s="237">
        <f>($C$12+2*$E$7)*$C$13</f>
        <v>800</v>
      </c>
      <c r="D21" s="52"/>
      <c r="E21" s="246"/>
      <c r="F21" s="252"/>
      <c r="G21" s="252"/>
      <c r="H21" s="252"/>
      <c r="I21" s="429" t="str">
        <f>"  Sh = "&amp;M29</f>
        <v xml:space="preserve">  Sh = 20</v>
      </c>
      <c r="J21" s="429"/>
      <c r="K21" s="252"/>
      <c r="L21" s="252"/>
      <c r="M21" s="252"/>
      <c r="N21" s="252"/>
      <c r="O21" s="254"/>
      <c r="P21" s="57"/>
      <c r="Q21" s="258" t="s">
        <v>262</v>
      </c>
      <c r="R21" s="237">
        <f>($R$12+2*$E$7)*$R$13</f>
        <v>800</v>
      </c>
    </row>
    <row r="22" spans="2:18" ht="17.25" thickTop="1" thickBot="1">
      <c r="B22" s="233" t="s">
        <v>33</v>
      </c>
      <c r="C22" s="237">
        <f>$C$12*$C$16</f>
        <v>525</v>
      </c>
      <c r="D22" s="52"/>
      <c r="E22" s="246"/>
      <c r="F22" s="252"/>
      <c r="G22" s="252"/>
      <c r="H22" s="252"/>
      <c r="I22" s="252"/>
      <c r="J22" s="252"/>
      <c r="K22" s="252"/>
      <c r="L22" s="252"/>
      <c r="M22" s="252"/>
      <c r="N22" s="252"/>
      <c r="O22" s="255" t="str">
        <f>"St"&amp;"= "&amp;R20 &amp;"cm"</f>
        <v>St= 5cm</v>
      </c>
      <c r="P22" s="57"/>
      <c r="Q22" s="258" t="s">
        <v>33</v>
      </c>
      <c r="R22" s="237">
        <f>$R$12*$R$16</f>
        <v>525</v>
      </c>
    </row>
    <row r="23" spans="2:18" ht="19.5" thickTop="1" thickBot="1">
      <c r="B23" s="258" t="s">
        <v>279</v>
      </c>
      <c r="C23" s="237">
        <f>ROUND(MAX((0.09*$C$20*$C$16*$F$7/$G$7),(0.3*$C$20*$C$16*(($C$21/$C$22)-1)*$F$7/$G$7)),2)</f>
        <v>0.74</v>
      </c>
      <c r="E23" s="246"/>
      <c r="F23" s="252"/>
      <c r="G23" s="252"/>
      <c r="H23" s="252"/>
      <c r="I23" s="252"/>
      <c r="J23" s="252"/>
      <c r="K23" s="252"/>
      <c r="L23" s="252"/>
      <c r="M23" s="252"/>
      <c r="N23" s="252"/>
      <c r="O23" s="254"/>
      <c r="P23" s="57"/>
      <c r="Q23" s="258" t="s">
        <v>279</v>
      </c>
      <c r="R23" s="237">
        <f>MAX((0.09*$R$20*$R$16*$F$7/$G$7),(0.3*$R$20*$R$16*(($R$21/$R$22)-1)*$F$7/$G$7))</f>
        <v>0.73660714285714279</v>
      </c>
    </row>
    <row r="24" spans="2:18" ht="16.5" customHeight="1" thickTop="1" thickBot="1">
      <c r="B24" s="436" t="str">
        <f>IF(OR($C$12+$R$12+4*$E$7&gt;=$C$7*100,2*$C$12&gt;=$C$7*100),"- Augmenter la longueur du voile ou diminuer la longueur Lc."&amp;CHAR(10)," ")&amp; IF($C$13&lt;$C$15,"- bc,choisi &lt; bcg (min)."," ") &amp; IF($C$12&lt;$C$14,"-Lc,choisi &lt; Lcg (min)."," ")</f>
        <v xml:space="preserve">   </v>
      </c>
      <c r="C24" s="436"/>
      <c r="E24" s="248"/>
      <c r="F24" s="256"/>
      <c r="G24" s="256"/>
      <c r="H24" s="256"/>
      <c r="I24" s="256"/>
      <c r="J24" s="256"/>
      <c r="K24" s="256"/>
      <c r="L24" s="256"/>
      <c r="M24" s="256"/>
      <c r="N24" s="256"/>
      <c r="O24" s="257"/>
      <c r="P24" s="57"/>
      <c r="Q24" s="436" t="str">
        <f>IF(OR($R$12+$C$12+4*$E$7&gt;=$C$7*100,2*$R$12&gt;=$C$7*100),"- Augmenter la longueur du voile ou diminuer la longueur Lc."&amp;CHAR(10)," ")&amp; IF($R$13&lt;$R$15,"- bc,choisi &lt; bcg (min)."," ") &amp; IF($R$12&lt;$R$14,"- Lc,choisi &lt; Lcg (min)."," ")</f>
        <v xml:space="preserve">   </v>
      </c>
      <c r="R24" s="436"/>
    </row>
    <row r="25" spans="2:18" ht="25.5" customHeight="1" thickTop="1" thickBot="1">
      <c r="B25" s="437"/>
      <c r="C25" s="43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437"/>
      <c r="R25" s="437"/>
    </row>
    <row r="26" spans="2:18" ht="15.75" customHeight="1" thickTop="1" thickBot="1">
      <c r="B26" s="437"/>
      <c r="C26" s="437"/>
      <c r="H26" s="438" t="s">
        <v>40</v>
      </c>
      <c r="I26" s="439"/>
      <c r="J26" s="439"/>
      <c r="K26" s="439"/>
      <c r="L26" s="439"/>
      <c r="M26" s="440"/>
      <c r="Q26" s="437"/>
      <c r="R26" s="437"/>
    </row>
    <row r="27" spans="2:18" ht="16.5" thickTop="1" thickBot="1">
      <c r="B27" s="437"/>
      <c r="C27" s="437"/>
      <c r="H27" s="419" t="s">
        <v>36</v>
      </c>
      <c r="I27" s="419"/>
      <c r="J27" s="419"/>
      <c r="K27" s="450" t="s">
        <v>38</v>
      </c>
      <c r="L27" s="451"/>
      <c r="M27" s="452"/>
      <c r="Q27" s="437"/>
      <c r="R27" s="437"/>
    </row>
    <row r="28" spans="2:18" ht="19.5" thickTop="1" thickBot="1">
      <c r="H28" s="435" t="s">
        <v>282</v>
      </c>
      <c r="I28" s="435"/>
      <c r="J28" s="232">
        <v>1</v>
      </c>
      <c r="K28" s="435" t="s">
        <v>282</v>
      </c>
      <c r="L28" s="435"/>
      <c r="M28" s="232">
        <v>1.2</v>
      </c>
    </row>
    <row r="29" spans="2:18" ht="19.5" thickTop="1" thickBot="1">
      <c r="H29" s="435" t="s">
        <v>283</v>
      </c>
      <c r="I29" s="435"/>
      <c r="J29" s="239">
        <v>20</v>
      </c>
      <c r="K29" s="435" t="s">
        <v>286</v>
      </c>
      <c r="L29" s="435"/>
      <c r="M29" s="239">
        <v>20</v>
      </c>
    </row>
    <row r="30" spans="2:18" ht="19.5" thickTop="1" thickBot="1">
      <c r="B30" s="60"/>
      <c r="C30" s="60"/>
      <c r="H30" s="435" t="s">
        <v>284</v>
      </c>
      <c r="I30" s="435"/>
      <c r="J30" s="237">
        <f>MIN(1.5*$D$7*100,25,25*$J$28)</f>
        <v>25</v>
      </c>
      <c r="K30" s="435" t="s">
        <v>287</v>
      </c>
      <c r="L30" s="435"/>
      <c r="M30" s="237">
        <f>MIN(25,25*$J$28)</f>
        <v>25</v>
      </c>
    </row>
    <row r="31" spans="2:18" ht="19.5" thickTop="1" thickBot="1">
      <c r="B31" s="60"/>
      <c r="C31" s="60"/>
      <c r="H31" s="435" t="s">
        <v>271</v>
      </c>
      <c r="I31" s="435"/>
      <c r="J31" s="237">
        <f>0.8</f>
        <v>0.8</v>
      </c>
      <c r="K31" s="435" t="s">
        <v>288</v>
      </c>
      <c r="L31" s="435"/>
      <c r="M31" s="237">
        <f>$C$7*100-$C$12/2-$R$12/2-2*$E$7</f>
        <v>120</v>
      </c>
      <c r="N31" s="44"/>
    </row>
    <row r="32" spans="2:18" ht="19.5" thickTop="1" thickBot="1">
      <c r="B32" s="213"/>
      <c r="C32" s="213"/>
      <c r="H32" s="435" t="s">
        <v>285</v>
      </c>
      <c r="I32" s="435"/>
      <c r="J32" s="237">
        <f>$D$7*100/8</f>
        <v>2.5</v>
      </c>
      <c r="K32" s="435" t="s">
        <v>285</v>
      </c>
      <c r="L32" s="435"/>
      <c r="M32" s="237">
        <f>$D$7*100/8</f>
        <v>2.5</v>
      </c>
    </row>
    <row r="33" spans="1:18" ht="16.5" thickTop="1" thickBot="1">
      <c r="B33" s="60"/>
      <c r="C33" s="60"/>
      <c r="H33" s="435" t="str">
        <f>"Avmin (cm²)/e="&amp;$J$29&amp;"cm"</f>
        <v>Avmin (cm²)/e=20cm</v>
      </c>
      <c r="I33" s="435"/>
      <c r="J33" s="237">
        <f>ROUND(0.2%*$J$29*$D$7*100,2)</f>
        <v>0.8</v>
      </c>
      <c r="K33" s="435" t="str">
        <f>"Ahmin (cm²)/e="&amp;$M$29&amp;"cm"</f>
        <v>Ahmin (cm²)/e=20cm</v>
      </c>
      <c r="L33" s="435"/>
      <c r="M33" s="237">
        <f>ROUND(MAX(($M$29*ABS(' Données'!$H$17)*1.4)/($M$31*$G$7)*10,0.2%*$M$29*$D$7*100),2)</f>
        <v>0.8</v>
      </c>
    </row>
    <row r="34" spans="1:18" ht="16.5" thickTop="1" thickBot="1">
      <c r="B34" s="60"/>
      <c r="C34" s="60"/>
      <c r="H34" s="443" t="str">
        <f>"Asv (cm²)/L ="&amp;($C$7*100-$C$12-$R$12-4*$E$7)&amp;"cm"</f>
        <v>Asv (cm²)/L =80cm</v>
      </c>
      <c r="I34" s="443"/>
      <c r="J34" s="237">
        <f>(CEILING(($C$7*100-$C$12-$R$12-4*$E$7)/$J$29,1)*(PI()*$J$28^2/4))*2</f>
        <v>6.2831853071795862</v>
      </c>
      <c r="K34" s="443" t="str">
        <f>"Ash (cm²)/h ="&amp;$J$7*100&amp;"cm"</f>
        <v>Ash (cm²)/h =255cm</v>
      </c>
      <c r="L34" s="443"/>
      <c r="M34" s="237">
        <f>(CEILING(J7*100/M29,1)*(PI()*M28^2/4))*2</f>
        <v>29.405307237600464</v>
      </c>
    </row>
    <row r="35" spans="1:18" ht="17.25" thickTop="1" thickBot="1">
      <c r="B35" s="216"/>
      <c r="C35" s="216"/>
      <c r="H35" s="444" t="str">
        <f>IF(Calcul!$P$75&lt;=Calcul!$Q$75,Calcul!P74&amp;" = "&amp;Calcul!$P$75&amp;" &lt; "&amp;Calcul!Q74&amp;" = "&amp;Calcul!$Q$75,Calcul!P74&amp;" ="&amp;Calcul!$P$75&amp;"&gt; "&amp;Calcul!Q74&amp;" = "&amp;Calcul!$Q$75)</f>
        <v>τb (MPa) = 0.55 &lt; τadm (MPa) = 5</v>
      </c>
      <c r="I35" s="445"/>
      <c r="J35" s="445"/>
      <c r="K35" s="445"/>
      <c r="L35" s="441" t="str">
        <f>IF(Calcul!$P$75&lt;=Calcul!$Q$75,"Condition vérifie ","Condition non vérifie ")</f>
        <v xml:space="preserve">Condition vérifie </v>
      </c>
      <c r="M35" s="442"/>
    </row>
    <row r="36" spans="1:18" ht="16.5" thickTop="1">
      <c r="B36" s="60"/>
      <c r="C36" s="60"/>
      <c r="H36" s="420" t="str">
        <f>IF($J$29&lt;=$J$30,"  ","Sv,choisi &gt; Sv,max")</f>
        <v xml:space="preserve">  </v>
      </c>
      <c r="I36" s="420"/>
      <c r="J36" s="420"/>
      <c r="K36" s="420" t="str">
        <f>IF($M$29&lt;=$M$30,"  ","Sh,choisi &gt; Sh,max")&amp;IF((2*PI()*$M$28^2/4&lt;$M$33),"Ahchoisi"&amp;" &lt; Ahmin"," ")</f>
        <v xml:space="preserve">   </v>
      </c>
      <c r="L36" s="420"/>
      <c r="M36" s="420"/>
    </row>
    <row r="37" spans="1:18" ht="16.5" thickBot="1">
      <c r="B37" s="71"/>
      <c r="C37" s="71"/>
      <c r="H37" s="420"/>
      <c r="I37" s="420"/>
      <c r="J37" s="420"/>
      <c r="K37" s="420"/>
      <c r="L37" s="420"/>
      <c r="M37" s="420"/>
    </row>
    <row r="38" spans="1:18" ht="21" customHeight="1" thickBot="1">
      <c r="B38" s="423" t="s">
        <v>223</v>
      </c>
      <c r="C38" s="424"/>
      <c r="D38" s="424"/>
      <c r="E38" s="424"/>
      <c r="F38" s="424"/>
      <c r="G38" s="424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5"/>
    </row>
    <row r="39" spans="1:18" ht="16.5" thickBot="1">
      <c r="A39" s="2"/>
      <c r="B39" s="62"/>
      <c r="C39" s="62"/>
      <c r="D39" s="59"/>
      <c r="E39" s="62"/>
      <c r="F39" s="62"/>
      <c r="G39" s="59"/>
      <c r="H39" s="59"/>
      <c r="I39" s="59"/>
      <c r="J39" s="59"/>
      <c r="K39" s="59"/>
      <c r="L39" s="59"/>
      <c r="M39" s="59"/>
      <c r="N39" s="62"/>
      <c r="O39" s="62"/>
      <c r="P39" s="2"/>
    </row>
    <row r="40" spans="1:18" ht="17.25" thickTop="1" thickBot="1">
      <c r="A40" s="2"/>
      <c r="B40" s="434" t="s">
        <v>35</v>
      </c>
      <c r="C40" s="434"/>
      <c r="D40" s="59"/>
      <c r="E40" s="434" t="s">
        <v>46</v>
      </c>
      <c r="F40" s="434"/>
      <c r="G40" s="63"/>
      <c r="H40" s="64"/>
      <c r="I40" s="64"/>
      <c r="J40" s="64"/>
      <c r="K40" s="64"/>
      <c r="L40" s="64"/>
      <c r="M40" s="65"/>
      <c r="N40" s="434" t="s">
        <v>47</v>
      </c>
      <c r="O40" s="434"/>
      <c r="Q40" s="434" t="s">
        <v>34</v>
      </c>
      <c r="R40" s="434"/>
    </row>
    <row r="41" spans="1:18" ht="18" thickTop="1" thickBot="1">
      <c r="B41" s="227" t="s">
        <v>235</v>
      </c>
      <c r="C41" s="353">
        <f>ROUND(ABS(' Données'!$G$10)*10^3/((($C$12*10*$C$13*10)+($R$12*10*$R$13*10)+(($C$7*10^3-$C$12*10-$R$12*10)*$D$7*10^3))*$F$7),2)</f>
        <v>0.08</v>
      </c>
      <c r="E41" s="233" t="s">
        <v>43</v>
      </c>
      <c r="F41" s="230">
        <v>8</v>
      </c>
      <c r="G41" s="45"/>
      <c r="H41" s="49"/>
      <c r="I41" s="49"/>
      <c r="J41" s="49"/>
      <c r="K41" s="49"/>
      <c r="L41" s="49"/>
      <c r="M41" s="46"/>
      <c r="N41" s="233" t="s">
        <v>43</v>
      </c>
      <c r="O41" s="230">
        <v>8</v>
      </c>
      <c r="Q41" s="227" t="s">
        <v>235</v>
      </c>
      <c r="R41" s="237">
        <f>ROUND(ABS(' Données'!$G$10)*10^3/((($C$12*10*$C$13*10)+($R$12*10*$R$13*10)+(($C$7*10^3-$C$12*10-$R$12*10)*$D$7*10^3))*$F$7),2)</f>
        <v>0.08</v>
      </c>
    </row>
    <row r="42" spans="1:18" ht="18" thickTop="1" thickBot="1">
      <c r="B42" s="228" t="s">
        <v>236</v>
      </c>
      <c r="C42" s="237">
        <f>($G$7/$F$7)*($H$7/$I$7)</f>
        <v>19.2</v>
      </c>
      <c r="E42" s="233" t="s">
        <v>249</v>
      </c>
      <c r="F42" s="231">
        <v>12</v>
      </c>
      <c r="G42" s="45"/>
      <c r="H42" s="49"/>
      <c r="I42" s="49"/>
      <c r="J42" s="49"/>
      <c r="K42" s="49"/>
      <c r="L42" s="49"/>
      <c r="M42" s="46"/>
      <c r="N42" s="233" t="s">
        <v>257</v>
      </c>
      <c r="O42" s="231">
        <v>12</v>
      </c>
      <c r="Q42" s="228" t="s">
        <v>236</v>
      </c>
      <c r="R42" s="237">
        <f>($G$7/$F$7)*($H$7/$I$7)</f>
        <v>19.2</v>
      </c>
    </row>
    <row r="43" spans="1:18" ht="17.25" thickTop="1" thickBot="1">
      <c r="B43" s="227" t="s">
        <v>237</v>
      </c>
      <c r="C43" s="237">
        <f>ROUND((($J$34/(($C$7*100-2*$C$12)*$D$7*100)))*$C$42,2)</f>
        <v>7.0000000000000007E-2</v>
      </c>
      <c r="D43" s="56"/>
      <c r="E43" s="233" t="s">
        <v>42</v>
      </c>
      <c r="F43" s="231">
        <v>184</v>
      </c>
      <c r="G43" s="45"/>
      <c r="H43" s="49"/>
      <c r="I43" s="49"/>
      <c r="J43" s="49"/>
      <c r="K43" s="49"/>
      <c r="L43" s="49"/>
      <c r="M43" s="46"/>
      <c r="N43" s="233" t="s">
        <v>42</v>
      </c>
      <c r="O43" s="231">
        <v>184</v>
      </c>
      <c r="Q43" s="227" t="s">
        <v>237</v>
      </c>
      <c r="R43" s="237">
        <f>ROUND((($J$34/(($C$7*100-2*R12)*$D$7*100)))*R42,2)</f>
        <v>7.0000000000000007E-2</v>
      </c>
    </row>
    <row r="44" spans="1:18" ht="17.25" thickTop="1" thickBot="1">
      <c r="B44" s="228" t="s">
        <v>238</v>
      </c>
      <c r="C44" s="237">
        <f>($C$41+$C$43)*($C$7*100*$C$13)/($C$16)</f>
        <v>32.000000000000007</v>
      </c>
      <c r="D44" s="56"/>
      <c r="E44" s="234" t="s">
        <v>250</v>
      </c>
      <c r="F44" s="232">
        <v>0.8</v>
      </c>
      <c r="G44" s="45"/>
      <c r="H44" s="49"/>
      <c r="I44" s="49"/>
      <c r="J44" s="49"/>
      <c r="K44" s="49"/>
      <c r="L44" s="49"/>
      <c r="M44" s="46"/>
      <c r="N44" s="234" t="s">
        <v>258</v>
      </c>
      <c r="O44" s="232">
        <v>0.8</v>
      </c>
      <c r="Q44" s="228" t="s">
        <v>238</v>
      </c>
      <c r="R44" s="237">
        <f>($R$41+$R$43)*($C$7*100*$R$13)/($R$16)</f>
        <v>32.000000000000007</v>
      </c>
    </row>
    <row r="45" spans="1:18" ht="18" thickTop="1" thickBot="1">
      <c r="B45" s="228" t="s">
        <v>239</v>
      </c>
      <c r="C45" s="237">
        <f>$C$12*$C$16*$J$7*100</f>
        <v>133875</v>
      </c>
      <c r="E45" s="312" t="s">
        <v>251</v>
      </c>
      <c r="F45" s="236">
        <f>FLOOR(($J$7*100-10)/$C$20,1)</f>
        <v>49</v>
      </c>
      <c r="G45" s="45"/>
      <c r="H45" s="49"/>
      <c r="I45" s="49"/>
      <c r="J45" s="49"/>
      <c r="K45" s="49"/>
      <c r="L45" s="49"/>
      <c r="M45" s="46"/>
      <c r="N45" s="233" t="s">
        <v>259</v>
      </c>
      <c r="O45" s="236">
        <f>FLOOR(($J$7*100-10)/$R$20,1)</f>
        <v>49</v>
      </c>
      <c r="Q45" s="228" t="s">
        <v>239</v>
      </c>
      <c r="R45" s="237">
        <f>$R$12*$R$16*$J$7*100</f>
        <v>133875</v>
      </c>
    </row>
    <row r="46" spans="1:18" ht="18" thickTop="1" thickBot="1">
      <c r="B46" s="228" t="s">
        <v>240</v>
      </c>
      <c r="C46" s="237">
        <f>$F$43*(PI()*($F$44^2)/4)*$F$45</f>
        <v>4531.9358983624925</v>
      </c>
      <c r="E46" s="234" t="s">
        <v>252</v>
      </c>
      <c r="F46" s="237">
        <f>$C$20</f>
        <v>5</v>
      </c>
      <c r="G46" s="45"/>
      <c r="H46" s="49"/>
      <c r="I46" s="49"/>
      <c r="J46" s="49"/>
      <c r="K46" s="49"/>
      <c r="L46" s="49"/>
      <c r="M46" s="46"/>
      <c r="N46" s="234" t="s">
        <v>320</v>
      </c>
      <c r="O46" s="237">
        <f>$R$20</f>
        <v>5</v>
      </c>
      <c r="Q46" s="228" t="s">
        <v>240</v>
      </c>
      <c r="R46" s="237">
        <f>$O$43*(PI()*($O$44^2)/4)*$O$45</f>
        <v>4531.9358983624925</v>
      </c>
    </row>
    <row r="47" spans="1:18" ht="17.25" thickTop="1" thickBot="1">
      <c r="B47" s="228" t="s">
        <v>241</v>
      </c>
      <c r="C47" s="238">
        <v>3.5000000000000001E-3</v>
      </c>
      <c r="E47" s="312" t="s">
        <v>253</v>
      </c>
      <c r="F47" s="237">
        <f>$C$13</f>
        <v>20</v>
      </c>
      <c r="G47" s="45"/>
      <c r="H47" s="49"/>
      <c r="I47" s="49"/>
      <c r="J47" s="49"/>
      <c r="K47" s="49"/>
      <c r="L47" s="49"/>
      <c r="M47" s="46"/>
      <c r="N47" s="312" t="s">
        <v>253</v>
      </c>
      <c r="O47" s="237">
        <f>$R$13</f>
        <v>20</v>
      </c>
      <c r="Q47" s="228" t="s">
        <v>241</v>
      </c>
      <c r="R47" s="238">
        <v>3.5000000000000001E-3</v>
      </c>
    </row>
    <row r="48" spans="1:18" ht="17.25" thickTop="1" thickBot="1">
      <c r="B48" s="228" t="s">
        <v>242</v>
      </c>
      <c r="C48" s="237">
        <f>IF($M$7&gt;=$N$7,2*(($K$7/$L$7)*($P$7/$R$7))-1,1+2*(($K$7/$L$7*$P$7/$R$7)-1)*$N$7/$M$7)</f>
        <v>0.32015807312444466</v>
      </c>
      <c r="E48" s="312" t="s">
        <v>254</v>
      </c>
      <c r="F48" s="237">
        <f>$C$16</f>
        <v>15</v>
      </c>
      <c r="G48" s="45"/>
      <c r="H48" s="49"/>
      <c r="I48" s="49"/>
      <c r="J48" s="49"/>
      <c r="K48" s="49"/>
      <c r="L48" s="49"/>
      <c r="M48" s="46"/>
      <c r="N48" s="312" t="s">
        <v>254</v>
      </c>
      <c r="O48" s="237">
        <f>$R$16</f>
        <v>15</v>
      </c>
      <c r="Q48" s="228" t="s">
        <v>242</v>
      </c>
      <c r="R48" s="237">
        <f>IF($M$7&gt;=$N$7,2*(($K$7/$L$7)*($P$7/$R$7))-1,1+2*(($K$7/$L$7*$P$7/$R$7)-1)*$N$7/$M$7)</f>
        <v>0.32015807312444466</v>
      </c>
    </row>
    <row r="49" spans="2:18" ht="17.25" thickTop="1" thickBot="1">
      <c r="B49" s="228" t="s">
        <v>243</v>
      </c>
      <c r="C49" s="237">
        <f>1-($F$41*$F$42^2)/(6*$F$48*$F$50)</f>
        <v>0.63428571428571434</v>
      </c>
      <c r="E49" s="312" t="s">
        <v>255</v>
      </c>
      <c r="F49" s="237">
        <f>$C$12+2*$E$7</f>
        <v>40</v>
      </c>
      <c r="G49" s="45"/>
      <c r="H49" s="49"/>
      <c r="I49" s="49"/>
      <c r="J49" s="49"/>
      <c r="K49" s="49"/>
      <c r="L49" s="49"/>
      <c r="M49" s="46"/>
      <c r="N49" s="312" t="s">
        <v>255</v>
      </c>
      <c r="O49" s="237">
        <f>$R$12+2*$E$7</f>
        <v>40</v>
      </c>
      <c r="Q49" s="228" t="s">
        <v>243</v>
      </c>
      <c r="R49" s="237">
        <f>1-($O$41*$O$42^2)/(6*$O$48*$O$50)</f>
        <v>0.63428571428571434</v>
      </c>
    </row>
    <row r="50" spans="2:18" ht="17.25" thickTop="1" thickBot="1">
      <c r="B50" s="228" t="s">
        <v>244</v>
      </c>
      <c r="C50" s="237">
        <f>(1-$F$46/(2*$F$48))*(1-$F$46/(2*$F$50))</f>
        <v>0.77380952380952384</v>
      </c>
      <c r="E50" s="312" t="s">
        <v>256</v>
      </c>
      <c r="F50" s="237">
        <f>$C$12</f>
        <v>35</v>
      </c>
      <c r="G50" s="47"/>
      <c r="H50" s="50"/>
      <c r="I50" s="50"/>
      <c r="J50" s="50"/>
      <c r="K50" s="50"/>
      <c r="L50" s="50"/>
      <c r="M50" s="48"/>
      <c r="N50" s="312" t="s">
        <v>256</v>
      </c>
      <c r="O50" s="237">
        <f>$R$12</f>
        <v>35</v>
      </c>
      <c r="Q50" s="228" t="s">
        <v>244</v>
      </c>
      <c r="R50" s="237">
        <f>(1-$O$46/(2*$O$48))*(1-$O$46/(2*$O$50))</f>
        <v>0.77380952380952384</v>
      </c>
    </row>
    <row r="51" spans="2:18" ht="17.25" thickTop="1" thickBot="1">
      <c r="B51" s="227" t="s">
        <v>44</v>
      </c>
      <c r="C51" s="237">
        <f>$C$49*$C$50</f>
        <v>0.4908163265306123</v>
      </c>
      <c r="G51" s="55"/>
      <c r="H51" s="55"/>
      <c r="I51" s="55"/>
      <c r="J51" s="55"/>
      <c r="K51" s="55"/>
      <c r="L51" s="55"/>
      <c r="M51" s="55"/>
      <c r="N51" s="55"/>
      <c r="Q51" s="227" t="s">
        <v>44</v>
      </c>
      <c r="R51" s="237">
        <f>R49*R50</f>
        <v>0.4908163265306123</v>
      </c>
    </row>
    <row r="52" spans="2:18" ht="17.25" thickTop="1" thickBot="1">
      <c r="B52" s="228" t="s">
        <v>245</v>
      </c>
      <c r="C52" s="237">
        <f>0.0035+0.1*$C$51*$C$54</f>
        <v>3.5403061224489801E-2</v>
      </c>
      <c r="G52" s="55"/>
      <c r="H52" s="55"/>
      <c r="I52" s="55"/>
      <c r="J52" s="55"/>
      <c r="K52" s="55"/>
      <c r="L52" s="55"/>
      <c r="M52" s="55"/>
      <c r="N52" s="55"/>
      <c r="Q52" s="228" t="s">
        <v>245</v>
      </c>
      <c r="R52" s="237">
        <f>$R$47+0.1*$R$51*$R$54</f>
        <v>3.5403061224489801E-2</v>
      </c>
    </row>
    <row r="53" spans="2:18" ht="17.25" thickTop="1" thickBot="1">
      <c r="B53" s="228" t="s">
        <v>246</v>
      </c>
      <c r="C53" s="238">
        <f>$G$7/200000</f>
        <v>2E-3</v>
      </c>
      <c r="G53" s="55"/>
      <c r="H53" s="55"/>
      <c r="I53" s="55"/>
      <c r="J53" s="55"/>
      <c r="K53" s="55"/>
      <c r="L53" s="55"/>
      <c r="M53" s="55"/>
      <c r="N53" s="55"/>
      <c r="Q53" s="228" t="s">
        <v>246</v>
      </c>
      <c r="R53" s="238">
        <f>$G$7/200000</f>
        <v>2E-3</v>
      </c>
    </row>
    <row r="54" spans="2:18" ht="17.25" thickTop="1" thickBot="1">
      <c r="B54" s="227" t="s">
        <v>247</v>
      </c>
      <c r="C54" s="238">
        <f>ROUND($C$46/$C$45*$C$42,4)</f>
        <v>0.65</v>
      </c>
      <c r="G54" s="55"/>
      <c r="H54" s="55"/>
      <c r="I54" s="55"/>
      <c r="J54" s="55"/>
      <c r="K54" s="55"/>
      <c r="L54" s="55"/>
      <c r="M54" s="55"/>
      <c r="N54" s="55"/>
      <c r="Q54" s="227" t="s">
        <v>247</v>
      </c>
      <c r="R54" s="238">
        <f>ROUND($R$46/$R$45*$R$42,4)</f>
        <v>0.65</v>
      </c>
    </row>
    <row r="55" spans="2:18" ht="17.25" thickTop="1" thickBot="1">
      <c r="B55" s="227" t="s">
        <v>248</v>
      </c>
      <c r="C55" s="238">
        <f>ROUND((30*$C$48*($C$41+$C$43)*$C$53*($F$47/$F$48)-0.035)/$C$51,4)</f>
        <v>-6.3500000000000001E-2</v>
      </c>
      <c r="D55" s="55"/>
      <c r="F55" s="55"/>
      <c r="G55" s="55"/>
      <c r="J55" s="55"/>
      <c r="K55" s="55"/>
      <c r="L55" s="55"/>
      <c r="M55" s="55"/>
      <c r="N55" s="55"/>
      <c r="Q55" s="227" t="s">
        <v>248</v>
      </c>
      <c r="R55" s="238">
        <f>ROUND((30*$R$48*($R$41+$R$43)*$R$53*($O$47/$O$48)-0.035)/$R$51,4)</f>
        <v>-6.3500000000000001E-2</v>
      </c>
    </row>
    <row r="56" spans="2:18" ht="18" thickTop="1" thickBot="1">
      <c r="B56" s="229" t="s">
        <v>368</v>
      </c>
      <c r="C56" s="237">
        <f>ROUND($C$44*(1-$C$47/$C$52),2)</f>
        <v>28.84</v>
      </c>
      <c r="D56" s="55"/>
      <c r="E56" s="55"/>
      <c r="F56" s="55"/>
      <c r="G56" s="55"/>
      <c r="J56" s="55"/>
      <c r="K56" s="55"/>
      <c r="L56" s="55"/>
      <c r="M56" s="55"/>
      <c r="N56" s="55"/>
      <c r="Q56" s="229" t="s">
        <v>369</v>
      </c>
      <c r="R56" s="237">
        <f>ROUND($R$44*(1-$R$47/$R$52),2)</f>
        <v>28.84</v>
      </c>
    </row>
    <row r="57" spans="2:18" ht="17.25" customHeight="1" thickTop="1" thickBot="1">
      <c r="B57" s="453" t="str">
        <f>IF(AND($C$54&gt;=0.12,$C$54&gt;=$C$55,$C$56&lt;=$C$12),"Condition vérifie ","Condition non vérifie ")</f>
        <v xml:space="preserve">Condition vérifie </v>
      </c>
      <c r="C57" s="454"/>
      <c r="Q57" s="453" t="str">
        <f>IF(AND($R$54&gt;=0.12,$R$54&gt;=$R$55,$R$56&lt;=$R$12),"Condition vérifie ","Condition non vérifie ")</f>
        <v xml:space="preserve">Condition vérifie </v>
      </c>
      <c r="R57" s="454"/>
    </row>
    <row r="58" spans="2:18" ht="15" customHeight="1" thickTop="1">
      <c r="B58" s="421" t="str">
        <f>IF(C54&lt;0.12,B54&amp;" &lt; 0.12"&amp;CHAR(10)," ")&amp;IF(C54&lt;C55,B54&amp;"&lt; "&amp;B55&amp;CHAR(10)," ")&amp;IF(C56&gt;C12,"lc,calcul &gt; Lc,choisi "&amp;CHAR(10)," ")</f>
        <v xml:space="preserve">   </v>
      </c>
      <c r="C58" s="421"/>
      <c r="Q58" s="421" t="str">
        <f>IF(R54&lt;0.12,Q54&amp;"&lt;0.12"&amp; CHAR(10)," ")&amp;IF(R54&lt;R55,Q54&amp;"&lt; "&amp;Q55 &amp;CHAR(10)," ")&amp;IF(R56&gt;R12,"lc,calcul &gt; lc,choisi"&amp; CHAR(10)," ")</f>
        <v xml:space="preserve">   </v>
      </c>
      <c r="R58" s="421"/>
    </row>
    <row r="59" spans="2:18">
      <c r="B59" s="422"/>
      <c r="C59" s="422"/>
      <c r="Q59" s="422"/>
      <c r="R59" s="422"/>
    </row>
    <row r="60" spans="2:18">
      <c r="B60" s="422"/>
      <c r="C60" s="422"/>
      <c r="Q60" s="422"/>
      <c r="R60" s="422"/>
    </row>
    <row r="61" spans="2:18">
      <c r="B61" s="422"/>
      <c r="C61" s="422"/>
      <c r="Q61" s="422"/>
      <c r="R61" s="422"/>
    </row>
    <row r="62" spans="2:18">
      <c r="B62" s="422"/>
      <c r="C62" s="422"/>
      <c r="Q62" s="422"/>
      <c r="R62" s="422"/>
    </row>
  </sheetData>
  <mergeCells count="51">
    <mergeCell ref="B58:C62"/>
    <mergeCell ref="M16:O16"/>
    <mergeCell ref="B38:R38"/>
    <mergeCell ref="H31:I31"/>
    <mergeCell ref="H32:I32"/>
    <mergeCell ref="H30:I30"/>
    <mergeCell ref="K27:M27"/>
    <mergeCell ref="K28:L28"/>
    <mergeCell ref="K30:L30"/>
    <mergeCell ref="K31:L31"/>
    <mergeCell ref="K33:L33"/>
    <mergeCell ref="K32:L32"/>
    <mergeCell ref="Q24:R27"/>
    <mergeCell ref="Q40:R40"/>
    <mergeCell ref="Q57:R57"/>
    <mergeCell ref="B57:C57"/>
    <mergeCell ref="M9:N9"/>
    <mergeCell ref="N40:O40"/>
    <mergeCell ref="E40:F40"/>
    <mergeCell ref="H36:J36"/>
    <mergeCell ref="L35:M35"/>
    <mergeCell ref="H34:I34"/>
    <mergeCell ref="K34:L34"/>
    <mergeCell ref="H35:K35"/>
    <mergeCell ref="E10:E14"/>
    <mergeCell ref="F10:F14"/>
    <mergeCell ref="H9:I9"/>
    <mergeCell ref="K37:M37"/>
    <mergeCell ref="H37:J37"/>
    <mergeCell ref="B24:C27"/>
    <mergeCell ref="H26:M26"/>
    <mergeCell ref="H27:J27"/>
    <mergeCell ref="H28:I28"/>
    <mergeCell ref="K29:L29"/>
    <mergeCell ref="H29:I29"/>
    <mergeCell ref="B9:C9"/>
    <mergeCell ref="K36:M36"/>
    <mergeCell ref="Q58:R62"/>
    <mergeCell ref="B5:R5"/>
    <mergeCell ref="B2:R2"/>
    <mergeCell ref="O3:R3"/>
    <mergeCell ref="O10:O14"/>
    <mergeCell ref="Q9:R9"/>
    <mergeCell ref="J18:K18"/>
    <mergeCell ref="I21:J21"/>
    <mergeCell ref="F16:G16"/>
    <mergeCell ref="J9:K9"/>
    <mergeCell ref="J16:K16"/>
    <mergeCell ref="F9:G9"/>
    <mergeCell ref="B40:C40"/>
    <mergeCell ref="H33:I33"/>
  </mergeCells>
  <conditionalFormatting sqref="B57:C57 Q57:R57">
    <cfRule type="cellIs" dxfId="16" priority="34" operator="equal">
      <formula>"Condition non vérifie "</formula>
    </cfRule>
  </conditionalFormatting>
  <conditionalFormatting sqref="L35:M35">
    <cfRule type="cellIs" dxfId="15" priority="13" operator="equal">
      <formula>"""Condition non vérifie"""</formula>
    </cfRule>
    <cfRule type="cellIs" dxfId="14" priority="14" operator="equal">
      <formula>"Condition non vérifie "</formula>
    </cfRule>
  </conditionalFormatting>
  <conditionalFormatting sqref="B58">
    <cfRule type="expression" dxfId="13" priority="9">
      <formula>$B$57="Condition non vérifie "</formula>
    </cfRule>
  </conditionalFormatting>
  <conditionalFormatting sqref="Q58">
    <cfRule type="expression" dxfId="12" priority="7">
      <formula>$Q$57="Condition non vérifie "</formula>
    </cfRule>
  </conditionalFormatting>
  <conditionalFormatting sqref="B24">
    <cfRule type="expression" dxfId="11" priority="3">
      <formula>OR($C$12+$R$12+4*$E$7&gt;=$C$7*100,2*$C$12&gt;=$C$7*100,$C$12&lt;$C$14,$C$13&lt;$C$15)</formula>
    </cfRule>
  </conditionalFormatting>
  <conditionalFormatting sqref="Q24">
    <cfRule type="expression" dxfId="10" priority="1">
      <formula>OR($C$12+$R$12+4*$E$7&gt;=$C$7*100,2*$R$12&gt;=$C$7*100,$R$12&lt;$R$14,$R$13&lt;$R$15)</formula>
    </cfRule>
  </conditionalFormatting>
  <dataValidations count="11">
    <dataValidation type="list" allowBlank="1" showInputMessage="1" showErrorMessage="1" sqref="C10 R10">
      <formula1>Calcul!J127:J130</formula1>
    </dataValidation>
    <dataValidation type="list" allowBlank="1" showInputMessage="1" showErrorMessage="1" sqref="F44 O44">
      <formula1>Calcul!J124:J127</formula1>
    </dataValidation>
    <dataValidation type="list" allowBlank="1" showInputMessage="1" showErrorMessage="1" sqref="J28 M28">
      <formula1>Calcul!J125:J130</formula1>
    </dataValidation>
    <dataValidation type="decimal" operator="lessThanOrEqual" allowBlank="1" showInputMessage="1" showErrorMessage="1" sqref="O42">
      <formula1>20</formula1>
    </dataValidation>
    <dataValidation type="whole" operator="lessThanOrEqual" allowBlank="1" showInputMessage="1" showErrorMessage="1" errorTitle="Attention :" error="La distance horizontale entre deux barres verticales ligaturees ne doit pas depasser 20cm." sqref="F42">
      <formula1>20</formula1>
    </dataValidation>
    <dataValidation type="decimal" operator="greaterThanOrEqual" allowBlank="1" showInputMessage="1" showErrorMessage="1" errorTitle="Attension :" error="Lc,choisi &lt; Lcg (Min)" sqref="C12">
      <formula1>$C$14</formula1>
    </dataValidation>
    <dataValidation type="decimal" operator="greaterThanOrEqual" allowBlank="1" showInputMessage="1" showErrorMessage="1" errorTitle="Attention :" error="Lc,choisi &lt; Lcd (Min) " sqref="R12">
      <formula1>$R$14</formula1>
    </dataValidation>
    <dataValidation type="decimal" operator="greaterThanOrEqual" allowBlank="1" showInputMessage="1" showErrorMessage="1" errorTitle="Attention :" error="bc,choisi &lt; bcd (Min)" sqref="R13">
      <formula1>$R$15</formula1>
    </dataValidation>
    <dataValidation type="decimal" operator="lessThanOrEqual" allowBlank="1" showInputMessage="1" showErrorMessage="1" errorTitle="Attention :" error="Sv,choisi &gt; Svmax" sqref="J29">
      <formula1>$J$30</formula1>
    </dataValidation>
    <dataValidation type="decimal" operator="lessThanOrEqual" allowBlank="1" showInputMessage="1" showErrorMessage="1" errorTitle="Attention :" error="Sh,choisi &gt; Sh,max" sqref="M29">
      <formula1>$M$30</formula1>
    </dataValidation>
    <dataValidation type="decimal" operator="greaterThanOrEqual" allowBlank="1" showInputMessage="1" showErrorMessage="1" errorTitle="Attention :" error="bc,choisi &lt; bcg (Min)" sqref="C13">
      <formula1>$C$15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7">
    <tabColor rgb="FF7030A0"/>
  </sheetPr>
  <dimension ref="A1:AB37"/>
  <sheetViews>
    <sheetView showGridLines="0" topLeftCell="C1" zoomScale="95" zoomScaleNormal="95" zoomScaleSheetLayoutView="90" workbookViewId="0">
      <selection activeCell="E3" sqref="E3:F3"/>
    </sheetView>
  </sheetViews>
  <sheetFormatPr defaultRowHeight="15"/>
  <cols>
    <col min="1" max="2" width="9.140625" hidden="1" customWidth="1"/>
    <col min="3" max="3" width="1.28515625" customWidth="1"/>
    <col min="4" max="4" width="11" bestFit="1" customWidth="1"/>
    <col min="5" max="5" width="10.5703125" bestFit="1" customWidth="1"/>
    <col min="6" max="7" width="11.5703125" bestFit="1" customWidth="1"/>
    <col min="8" max="8" width="10.5703125" bestFit="1" customWidth="1"/>
    <col min="9" max="9" width="10" customWidth="1"/>
    <col min="10" max="10" width="11.140625" customWidth="1"/>
    <col min="11" max="11" width="17.28515625" bestFit="1" customWidth="1"/>
    <col min="12" max="12" width="12.5703125" customWidth="1"/>
    <col min="13" max="13" width="17.28515625" bestFit="1" customWidth="1"/>
    <col min="14" max="15" width="12.140625" customWidth="1"/>
    <col min="16" max="16" width="17.28515625" bestFit="1" customWidth="1"/>
    <col min="18" max="18" width="21.42578125" customWidth="1"/>
  </cols>
  <sheetData>
    <row r="1" spans="1:28" ht="15.75" thickBot="1"/>
    <row r="2" spans="1:28" ht="21" thickTop="1">
      <c r="D2" s="376" t="s">
        <v>88</v>
      </c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8"/>
      <c r="T2" s="2"/>
      <c r="U2" s="2"/>
      <c r="V2" s="2"/>
      <c r="W2" s="2"/>
      <c r="X2" s="2"/>
      <c r="Y2" s="2"/>
      <c r="Z2" s="2"/>
      <c r="AA2" s="2"/>
      <c r="AB2" s="2"/>
    </row>
    <row r="3" spans="1:28" ht="18" customHeight="1" thickBot="1">
      <c r="D3" s="11" t="s">
        <v>23</v>
      </c>
      <c r="E3" s="464" t="str">
        <f>Calcul!$C$2</f>
        <v>Vers 1.5.3</v>
      </c>
      <c r="F3" s="464"/>
      <c r="G3" s="38"/>
      <c r="H3" s="38"/>
      <c r="I3" s="38"/>
      <c r="J3" s="12"/>
      <c r="K3" s="61"/>
      <c r="L3" s="426"/>
      <c r="M3" s="426"/>
      <c r="N3" s="426"/>
      <c r="O3" s="426"/>
      <c r="P3" s="426"/>
      <c r="Q3" s="426"/>
      <c r="R3" s="427"/>
      <c r="T3" s="2"/>
      <c r="U3" s="2"/>
      <c r="V3" s="2"/>
      <c r="W3" s="2"/>
      <c r="X3" s="2"/>
      <c r="Y3" s="2"/>
      <c r="Z3" s="2"/>
      <c r="AA3" s="2"/>
      <c r="AB3" s="2"/>
    </row>
    <row r="4" spans="1:28" ht="16.5" thickTop="1" thickBot="1">
      <c r="T4" s="2"/>
      <c r="U4" s="2"/>
      <c r="V4" s="2"/>
      <c r="W4" s="2"/>
      <c r="X4" s="2"/>
      <c r="Y4" s="2"/>
      <c r="Z4" s="2"/>
      <c r="AA4" s="2"/>
      <c r="AB4" s="2"/>
    </row>
    <row r="5" spans="1:28" ht="15.75" thickTop="1">
      <c r="D5" s="466" t="s">
        <v>85</v>
      </c>
      <c r="E5" s="467"/>
      <c r="F5" s="467"/>
      <c r="G5" s="467"/>
      <c r="H5" s="467"/>
      <c r="I5" s="468"/>
      <c r="T5" s="2"/>
      <c r="U5" s="2"/>
      <c r="V5" s="2"/>
      <c r="W5" s="2"/>
      <c r="X5" s="2"/>
      <c r="Y5" s="2"/>
      <c r="Z5" s="2"/>
      <c r="AA5" s="2"/>
      <c r="AB5" s="2"/>
    </row>
    <row r="6" spans="1:28" ht="15.75" thickBot="1">
      <c r="D6" s="469"/>
      <c r="E6" s="470"/>
      <c r="F6" s="470"/>
      <c r="G6" s="470"/>
      <c r="H6" s="470"/>
      <c r="I6" s="471"/>
      <c r="T6" s="2"/>
      <c r="U6" s="2"/>
      <c r="V6" s="2"/>
      <c r="W6" s="2"/>
      <c r="X6" s="2"/>
      <c r="Y6" s="2"/>
      <c r="Z6" s="2"/>
      <c r="AA6" s="2"/>
      <c r="AB6" s="2"/>
    </row>
    <row r="7" spans="1:28" ht="16.5" thickTop="1" thickBot="1">
      <c r="D7" s="472" t="s">
        <v>36</v>
      </c>
      <c r="E7" s="472"/>
      <c r="F7" s="472"/>
      <c r="G7" s="472" t="s">
        <v>38</v>
      </c>
      <c r="H7" s="472"/>
      <c r="I7" s="472"/>
      <c r="T7" s="2"/>
      <c r="U7" s="2"/>
      <c r="V7" s="2"/>
      <c r="W7" s="2"/>
      <c r="X7" s="2"/>
      <c r="Y7" s="2"/>
      <c r="Z7" s="2"/>
      <c r="AA7" s="2"/>
      <c r="AB7" s="2"/>
    </row>
    <row r="8" spans="1:28" ht="17.25" thickTop="1" thickBot="1">
      <c r="D8" s="459" t="s">
        <v>306</v>
      </c>
      <c r="E8" s="459"/>
      <c r="F8" s="281">
        <v>1</v>
      </c>
      <c r="G8" s="459" t="s">
        <v>306</v>
      </c>
      <c r="H8" s="459"/>
      <c r="I8" s="281">
        <v>1</v>
      </c>
      <c r="T8" s="2"/>
      <c r="U8" s="2"/>
      <c r="V8" s="2"/>
      <c r="W8" s="2"/>
      <c r="X8" s="2"/>
      <c r="Y8" s="2"/>
      <c r="Z8" s="2"/>
      <c r="AA8" s="2"/>
      <c r="AB8" s="2"/>
    </row>
    <row r="9" spans="1:28" ht="17.25" thickTop="1" thickBot="1">
      <c r="D9" s="459" t="s">
        <v>307</v>
      </c>
      <c r="E9" s="459"/>
      <c r="F9" s="281">
        <v>20</v>
      </c>
      <c r="G9" s="459" t="s">
        <v>307</v>
      </c>
      <c r="H9" s="459"/>
      <c r="I9" s="281">
        <v>25</v>
      </c>
      <c r="T9" s="2"/>
      <c r="U9" s="2"/>
      <c r="V9" s="2"/>
      <c r="W9" s="2"/>
      <c r="X9" s="2"/>
      <c r="Y9" s="2"/>
      <c r="Z9" s="2"/>
      <c r="AA9" s="2"/>
      <c r="AB9" s="2"/>
    </row>
    <row r="10" spans="1:28" ht="17.25" thickTop="1" thickBot="1">
      <c r="D10" s="459" t="s">
        <v>308</v>
      </c>
      <c r="E10" s="459"/>
      <c r="F10" s="282">
        <f>Calcul!$F$73*100/10</f>
        <v>2</v>
      </c>
      <c r="G10" s="459" t="s">
        <v>308</v>
      </c>
      <c r="H10" s="459"/>
      <c r="I10" s="282">
        <f>Calcul!$F$73*100/10</f>
        <v>2</v>
      </c>
      <c r="T10" s="2"/>
      <c r="U10" s="2"/>
      <c r="V10" s="2"/>
      <c r="W10" s="2"/>
      <c r="X10" s="2"/>
      <c r="Y10" s="2"/>
      <c r="Z10" s="2"/>
      <c r="AA10" s="2"/>
      <c r="AB10" s="2"/>
    </row>
    <row r="11" spans="1:28" ht="17.25" thickTop="1" thickBot="1">
      <c r="D11" s="459" t="s">
        <v>309</v>
      </c>
      <c r="E11" s="459"/>
      <c r="F11" s="282">
        <f>MIN(1.5*Calcul!$F$73*100,25,25*$F$8)</f>
        <v>25</v>
      </c>
      <c r="G11" s="459" t="s">
        <v>309</v>
      </c>
      <c r="H11" s="459"/>
      <c r="I11" s="282">
        <f>MIN(1.5*Calcul!$F$73*100,25)</f>
        <v>25</v>
      </c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thickTop="1"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thickBot="1">
      <c r="T13" s="2"/>
      <c r="U13" s="2"/>
      <c r="V13" s="2"/>
      <c r="W13" s="2"/>
      <c r="X13" s="2"/>
      <c r="Y13" s="2"/>
      <c r="Z13" s="2"/>
      <c r="AA13" s="2"/>
      <c r="AB13" s="2"/>
    </row>
    <row r="14" spans="1:28" ht="16.5" thickTop="1" thickBot="1">
      <c r="I14" s="473" t="s">
        <v>86</v>
      </c>
      <c r="J14" s="474"/>
      <c r="K14" s="474"/>
      <c r="L14" s="370" t="s">
        <v>76</v>
      </c>
      <c r="M14" s="371"/>
      <c r="N14" s="371"/>
      <c r="O14" s="371"/>
      <c r="P14" s="372"/>
    </row>
    <row r="15" spans="1:28" ht="30" customHeight="1" thickTop="1" thickBot="1">
      <c r="A15" s="465" t="s">
        <v>83</v>
      </c>
      <c r="B15" s="465"/>
      <c r="D15" s="269" t="s">
        <v>16</v>
      </c>
      <c r="E15" s="287" t="s">
        <v>314</v>
      </c>
      <c r="F15" s="290" t="s">
        <v>315</v>
      </c>
      <c r="G15" s="292" t="s">
        <v>316</v>
      </c>
      <c r="H15" s="288" t="s">
        <v>317</v>
      </c>
      <c r="I15" s="290" t="s">
        <v>318</v>
      </c>
      <c r="J15" s="291" t="s">
        <v>319</v>
      </c>
      <c r="K15" s="292" t="s">
        <v>225</v>
      </c>
      <c r="L15" s="294" t="str">
        <f>"Avmin (cm²)"&amp;CHAR(10)&amp;" e = "&amp;F9&amp;" cm"</f>
        <v>Avmin (cm²)
 e = 20 cm</v>
      </c>
      <c r="M15" s="295" t="str">
        <f>"Choix des barres"&amp;CHAR(10)&amp;"n HA"&amp;$F$8*10&amp;"/e= "&amp;$F$9&amp;" cm"</f>
        <v>Choix des barres
n HA10/e= 20 cm</v>
      </c>
      <c r="N15" s="296" t="s">
        <v>227</v>
      </c>
      <c r="O15" s="295" t="str">
        <f>"Ahmin (cm²)"&amp;CHAR(10)&amp;" e = "&amp;I9&amp;" cm"</f>
        <v>Ahmin (cm²)
 e = 25 cm</v>
      </c>
      <c r="P15" s="297" t="str">
        <f>"Choix des barres"&amp;CHAR(10)&amp;"n HA"&amp;$I$8*10&amp;"/e= "&amp;$I$9&amp;" cm"</f>
        <v>Choix des barres
n HA10/e= 25 cm</v>
      </c>
      <c r="Q15" s="455" t="s">
        <v>84</v>
      </c>
      <c r="R15" s="456"/>
    </row>
    <row r="16" spans="1:28" ht="17.25" thickTop="1" thickBot="1">
      <c r="A16" s="462">
        <f>Calcul!Q73</f>
        <v>3.06</v>
      </c>
      <c r="B16" s="462"/>
      <c r="D16" s="280">
        <f>Calcul!E79</f>
        <v>0</v>
      </c>
      <c r="E16" s="303">
        <f>Calcul!F79</f>
        <v>0</v>
      </c>
      <c r="F16" s="306">
        <f>Calcul!G79</f>
        <v>-600.51</v>
      </c>
      <c r="G16" s="307">
        <f>Calcul!H79</f>
        <v>144.03</v>
      </c>
      <c r="H16" s="304">
        <f>Calcul!I79</f>
        <v>-157.5</v>
      </c>
      <c r="I16" s="354"/>
      <c r="J16" s="289">
        <f>IF(E16=" "," ",Calcul!O79)</f>
        <v>3.5000000000000004</v>
      </c>
      <c r="K16" s="356"/>
      <c r="L16" s="298">
        <f>IF(E16=" "," ",0.2%*$F$9*' Données'!$H$6*100)</f>
        <v>0.8</v>
      </c>
      <c r="M16" s="284" t="str">
        <f>Calcul!R124</f>
        <v>2HA10=1.57cm²</v>
      </c>
      <c r="N16" s="284">
        <f>IF(E16=" "," ",($I$9*ABS(' Données'!H17)*1.4/('Zone critique'!$M$31*' Données'!$K$6)*10))</f>
        <v>0.82031249999999989</v>
      </c>
      <c r="O16" s="284">
        <f>IF(E16=" "," ",0.2%*$I$9*' Données'!$H$6*100)</f>
        <v>1.0000000000000002</v>
      </c>
      <c r="P16" s="299" t="str">
        <f>Calcul!S124</f>
        <v>2HA10=1.57cm²</v>
      </c>
      <c r="Q16" s="457" t="str">
        <f>IF(E16=" ", " ",IF(E16&lt;=$A$16, "Zone critique(déjà calculée)",IF(E16=$A$19,"Au-dessus de la zone critique", "Zone superieure")))</f>
        <v>Zone critique(déjà calculée)</v>
      </c>
      <c r="R16" s="458"/>
    </row>
    <row r="17" spans="1:18" ht="17.25" thickTop="1" thickBot="1">
      <c r="A17" s="463" t="s">
        <v>228</v>
      </c>
      <c r="B17" s="463"/>
      <c r="D17" s="280">
        <f>Calcul!E80</f>
        <v>1</v>
      </c>
      <c r="E17" s="303">
        <f>Calcul!F80</f>
        <v>3.06</v>
      </c>
      <c r="F17" s="306">
        <f>Calcul!G80</f>
        <v>-365.4</v>
      </c>
      <c r="G17" s="307">
        <f>Calcul!H80</f>
        <v>140.30266666666668</v>
      </c>
      <c r="H17" s="304">
        <f>Calcul!I80</f>
        <v>-71.778000000000006</v>
      </c>
      <c r="I17" s="354"/>
      <c r="J17" s="289">
        <f>IF(E17=" "," ",Calcul!O80)</f>
        <v>3.5000000000000004</v>
      </c>
      <c r="K17" s="356"/>
      <c r="L17" s="298">
        <f>IF(E17=" "," ",0.2%*$F$9*' Données'!$H$6*100)</f>
        <v>0.8</v>
      </c>
      <c r="M17" s="284" t="str">
        <f>Calcul!R125</f>
        <v>2HA10=1.57cm²</v>
      </c>
      <c r="N17" s="284">
        <f>IF(E17=" "," ",($I$9*ABS(' Données'!H18)*1.4/('Zone critique'!$M$31*' Données'!$K$6)*10))</f>
        <v>0.37384374999999997</v>
      </c>
      <c r="O17" s="284">
        <f>IF(E17=" "," ",0.2%*$I$9*' Données'!$H$6*100)</f>
        <v>1.0000000000000002</v>
      </c>
      <c r="P17" s="299" t="str">
        <f>Calcul!S125</f>
        <v>2HA10=1.57cm²</v>
      </c>
      <c r="Q17" s="457" t="str">
        <f t="shared" ref="Q17:Q36" si="0">IF(E17=" ", " ",IF(E17&lt;=$A$16, "Zone critique(déjà calculée)",IF(E17=$A$19,"Au-dessus de la zone critique", "Zone superieure")))</f>
        <v>Zone critique(déjà calculée)</v>
      </c>
      <c r="R17" s="458"/>
    </row>
    <row r="18" spans="1:18" ht="17.25" thickTop="1" thickBot="1">
      <c r="A18" s="463"/>
      <c r="B18" s="463"/>
      <c r="D18" s="280">
        <f>Calcul!E81</f>
        <v>2</v>
      </c>
      <c r="E18" s="303">
        <f>Calcul!F81</f>
        <v>6.12</v>
      </c>
      <c r="F18" s="308">
        <f>Calcul!G81</f>
        <v>-250.31</v>
      </c>
      <c r="G18" s="309">
        <f>Calcul!H81</f>
        <v>117.93866666666669</v>
      </c>
      <c r="H18" s="305">
        <f>Calcul!I81</f>
        <v>-67.746000000000009</v>
      </c>
      <c r="I18" s="354">
        <v>0</v>
      </c>
      <c r="J18" s="283">
        <f>IF(E18=" "," ",Calcul!O81)</f>
        <v>3.5000000000000004</v>
      </c>
      <c r="K18" s="356" t="s">
        <v>226</v>
      </c>
      <c r="L18" s="298">
        <f>IF(E18=" "," ",0.2%*$F$9*' Données'!$H$6*100)</f>
        <v>0.8</v>
      </c>
      <c r="M18" s="284" t="str">
        <f>Calcul!R126</f>
        <v>2HA10=1.57cm²</v>
      </c>
      <c r="N18" s="284">
        <f>IF(E18=" "," ",($I$9*ABS(' Données'!H19)*1.4/('Zone critique'!$M$31*' Données'!$K$6)*10))</f>
        <v>0.33279166666666665</v>
      </c>
      <c r="O18" s="284">
        <f>IF(E18=" "," ",0.2%*$I$9*' Données'!$H$6*100)</f>
        <v>1.0000000000000002</v>
      </c>
      <c r="P18" s="299" t="str">
        <f>Calcul!S126</f>
        <v>2HA10=1.57cm²</v>
      </c>
      <c r="Q18" s="457" t="str">
        <f t="shared" si="0"/>
        <v>Au-dessus de la zone critique</v>
      </c>
      <c r="R18" s="458"/>
    </row>
    <row r="19" spans="1:18" ht="17.25" thickTop="1" thickBot="1">
      <c r="A19" s="462">
        <f>Calcul!$S$73</f>
        <v>6.12</v>
      </c>
      <c r="B19" s="462"/>
      <c r="D19" s="280">
        <f>Calcul!E82</f>
        <v>3</v>
      </c>
      <c r="E19" s="303">
        <f>Calcul!F82</f>
        <v>9.18</v>
      </c>
      <c r="F19" s="308">
        <f>Calcul!G82</f>
        <v>-91.82</v>
      </c>
      <c r="G19" s="309">
        <f>Calcul!H82</f>
        <v>95.574666666666701</v>
      </c>
      <c r="H19" s="305">
        <f>Calcul!I82</f>
        <v>-71.414000000000001</v>
      </c>
      <c r="I19" s="354">
        <v>0.37</v>
      </c>
      <c r="J19" s="283">
        <f>IF(E19=" "," ",Calcul!O82)</f>
        <v>3.5000000000000004</v>
      </c>
      <c r="K19" s="356" t="s">
        <v>226</v>
      </c>
      <c r="L19" s="298">
        <f>IF(E19=" "," ",0.2%*$F$9*' Données'!$H$6*100)</f>
        <v>0.8</v>
      </c>
      <c r="M19" s="284" t="str">
        <f>Calcul!R127</f>
        <v>2HA10=1.57cm²</v>
      </c>
      <c r="N19" s="284">
        <f>IF(E19=" "," ",($I$9*ABS(' Données'!H20)*1.4/('Zone critique'!$M$31*' Données'!$K$6)*10))</f>
        <v>0.28678124999999999</v>
      </c>
      <c r="O19" s="284">
        <f>IF(E19=" "," ",0.2%*$I$9*' Données'!$H$6*100)</f>
        <v>1.0000000000000002</v>
      </c>
      <c r="P19" s="299" t="str">
        <f>Calcul!S127</f>
        <v>2HA10=1.57cm²</v>
      </c>
      <c r="Q19" s="457" t="str">
        <f t="shared" si="0"/>
        <v>Zone superieure</v>
      </c>
      <c r="R19" s="458"/>
    </row>
    <row r="20" spans="1:18" ht="17.25" thickTop="1" thickBot="1">
      <c r="D20" s="280">
        <f>Calcul!E83</f>
        <v>4</v>
      </c>
      <c r="E20" s="303">
        <f>Calcul!F83</f>
        <v>12.24</v>
      </c>
      <c r="F20" s="308">
        <f>Calcul!G83</f>
        <v>-16.329999999999998</v>
      </c>
      <c r="G20" s="309">
        <f>Calcul!H83</f>
        <v>73.210666666666697</v>
      </c>
      <c r="H20" s="305">
        <f>Calcul!I83</f>
        <v>-75.082000000000008</v>
      </c>
      <c r="I20" s="354">
        <v>0.96</v>
      </c>
      <c r="J20" s="283">
        <f>IF(E20=" "," ",Calcul!O83)</f>
        <v>3.5000000000000004</v>
      </c>
      <c r="K20" s="356" t="s">
        <v>226</v>
      </c>
      <c r="L20" s="298">
        <f>IF(E20=" "," ",0.2%*$F$9*' Données'!$H$6*100)</f>
        <v>0.8</v>
      </c>
      <c r="M20" s="284" t="str">
        <f>Calcul!R128</f>
        <v>2HA10=1.57cm²</v>
      </c>
      <c r="N20" s="284">
        <f>IF(E20=" "," ",($I$9*ABS(' Données'!H21)*1.4/('Zone critique'!$M$31*' Données'!$K$6)*10))</f>
        <v>0.30398958333333331</v>
      </c>
      <c r="O20" s="284">
        <f>IF(E20=" "," ",0.2%*$I$9*' Données'!$H$6*100)</f>
        <v>1.0000000000000002</v>
      </c>
      <c r="P20" s="299" t="str">
        <f>Calcul!S128</f>
        <v>2HA10=1.57cm²</v>
      </c>
      <c r="Q20" s="457" t="str">
        <f t="shared" si="0"/>
        <v>Zone superieure</v>
      </c>
      <c r="R20" s="458"/>
    </row>
    <row r="21" spans="1:18" ht="17.25" thickTop="1" thickBot="1">
      <c r="D21" s="280">
        <f>Calcul!E84</f>
        <v>5</v>
      </c>
      <c r="E21" s="303">
        <f>Calcul!F84</f>
        <v>15.3</v>
      </c>
      <c r="F21" s="308">
        <f>Calcul!G84</f>
        <v>-49.18</v>
      </c>
      <c r="G21" s="309">
        <f>Calcul!H84</f>
        <v>50.846666666666692</v>
      </c>
      <c r="H21" s="305">
        <f>Calcul!I84</f>
        <v>-78.75</v>
      </c>
      <c r="I21" s="354">
        <v>0.19</v>
      </c>
      <c r="J21" s="283">
        <f>IF(E21=" "," ",Calcul!O84)</f>
        <v>3.5000000000000004</v>
      </c>
      <c r="K21" s="356" t="s">
        <v>226</v>
      </c>
      <c r="L21" s="298">
        <f>IF(E21=" "," ",0.2%*$F$9*' Données'!$H$6*100)</f>
        <v>0.8</v>
      </c>
      <c r="M21" s="284" t="str">
        <f>Calcul!R129</f>
        <v>2HA10=1.57cm²</v>
      </c>
      <c r="N21" s="284">
        <f>IF(E21=" "," ",($I$9*ABS(' Données'!H22)*1.4/('Zone critique'!$M$31*' Données'!$K$6)*10))</f>
        <v>0.3066875</v>
      </c>
      <c r="O21" s="284">
        <f>IF(E21=" "," ",0.2%*$I$9*' Données'!$H$6*100)</f>
        <v>1.0000000000000002</v>
      </c>
      <c r="P21" s="299" t="str">
        <f>Calcul!S129</f>
        <v>2HA10=1.57cm²</v>
      </c>
      <c r="Q21" s="457" t="str">
        <f t="shared" si="0"/>
        <v>Zone superieure</v>
      </c>
      <c r="R21" s="458"/>
    </row>
    <row r="22" spans="1:18" ht="17.25" thickTop="1" thickBot="1">
      <c r="D22" s="280" t="str">
        <f>Calcul!E85</f>
        <v xml:space="preserve"> </v>
      </c>
      <c r="E22" s="303" t="str">
        <f>Calcul!F85</f>
        <v xml:space="preserve"> </v>
      </c>
      <c r="F22" s="308" t="str">
        <f>Calcul!G85</f>
        <v xml:space="preserve"> </v>
      </c>
      <c r="G22" s="309" t="str">
        <f>Calcul!H85</f>
        <v xml:space="preserve"> </v>
      </c>
      <c r="H22" s="305" t="str">
        <f>Calcul!I85</f>
        <v xml:space="preserve"> </v>
      </c>
      <c r="I22" s="354"/>
      <c r="J22" s="283" t="str">
        <f>IF(E22=" "," ",Calcul!O85)</f>
        <v xml:space="preserve"> </v>
      </c>
      <c r="K22" s="356"/>
      <c r="L22" s="298" t="str">
        <f>IF(E22=" "," ",0.2%*$F$9*' Données'!$H$6*100)</f>
        <v xml:space="preserve"> </v>
      </c>
      <c r="M22" s="284" t="str">
        <f>Calcul!R130</f>
        <v/>
      </c>
      <c r="N22" s="284" t="str">
        <f>IF(E22=" "," ",($I$9*ABS(' Données'!H23)*1.4/('Zone critique'!$M$31*' Données'!$K$6)*10))</f>
        <v xml:space="preserve"> </v>
      </c>
      <c r="O22" s="284" t="str">
        <f>IF(E22=" "," ",0.2%*$I$9*' Données'!$H$6*100)</f>
        <v xml:space="preserve"> </v>
      </c>
      <c r="P22" s="299" t="str">
        <f>Calcul!S130</f>
        <v/>
      </c>
      <c r="Q22" s="457" t="str">
        <f t="shared" si="0"/>
        <v xml:space="preserve"> </v>
      </c>
      <c r="R22" s="458"/>
    </row>
    <row r="23" spans="1:18" ht="17.25" thickTop="1" thickBot="1">
      <c r="D23" s="280" t="str">
        <f>Calcul!E86</f>
        <v xml:space="preserve"> </v>
      </c>
      <c r="E23" s="303" t="str">
        <f>Calcul!F86</f>
        <v xml:space="preserve"> </v>
      </c>
      <c r="F23" s="308" t="str">
        <f>Calcul!G86</f>
        <v xml:space="preserve"> </v>
      </c>
      <c r="G23" s="309" t="str">
        <f>Calcul!H86</f>
        <v xml:space="preserve"> </v>
      </c>
      <c r="H23" s="305" t="str">
        <f>Calcul!I86</f>
        <v xml:space="preserve"> </v>
      </c>
      <c r="I23" s="354"/>
      <c r="J23" s="283" t="str">
        <f>IF(E23=" "," ",Calcul!O86)</f>
        <v xml:space="preserve"> </v>
      </c>
      <c r="K23" s="356"/>
      <c r="L23" s="298" t="str">
        <f>IF(E23=" "," ",0.2%*$F$9*' Données'!$H$6*100)</f>
        <v xml:space="preserve"> </v>
      </c>
      <c r="M23" s="284" t="str">
        <f>Calcul!R131</f>
        <v/>
      </c>
      <c r="N23" s="284" t="str">
        <f>IF(E23=" "," ",($I$9*ABS(' Données'!H24)*1.4/('Zone critique'!$M$31*' Données'!$K$6)*10))</f>
        <v xml:space="preserve"> </v>
      </c>
      <c r="O23" s="284" t="str">
        <f>IF(E23=" "," ",0.2%*$I$9*' Données'!$H$6*100)</f>
        <v xml:space="preserve"> </v>
      </c>
      <c r="P23" s="299" t="str">
        <f>Calcul!S131</f>
        <v/>
      </c>
      <c r="Q23" s="457" t="str">
        <f t="shared" si="0"/>
        <v xml:space="preserve"> </v>
      </c>
      <c r="R23" s="458"/>
    </row>
    <row r="24" spans="1:18" ht="17.25" thickTop="1" thickBot="1">
      <c r="D24" s="280" t="str">
        <f>Calcul!E87</f>
        <v xml:space="preserve"> </v>
      </c>
      <c r="E24" s="303" t="str">
        <f>Calcul!F87</f>
        <v xml:space="preserve"> </v>
      </c>
      <c r="F24" s="308" t="str">
        <f>Calcul!G87</f>
        <v xml:space="preserve"> </v>
      </c>
      <c r="G24" s="309" t="str">
        <f>Calcul!H87</f>
        <v xml:space="preserve"> </v>
      </c>
      <c r="H24" s="305" t="str">
        <f>Calcul!I87</f>
        <v xml:space="preserve"> </v>
      </c>
      <c r="I24" s="354"/>
      <c r="J24" s="283" t="str">
        <f>IF(E24=" "," ",Calcul!O87)</f>
        <v xml:space="preserve"> </v>
      </c>
      <c r="K24" s="356"/>
      <c r="L24" s="298" t="str">
        <f>IF(E24=" "," ",0.2%*$F$9*' Données'!$H$6*100)</f>
        <v xml:space="preserve"> </v>
      </c>
      <c r="M24" s="284" t="str">
        <f>Calcul!R132</f>
        <v/>
      </c>
      <c r="N24" s="284" t="str">
        <f>IF(E24=" "," ",($I$9*ABS(' Données'!H25)*1.4/('Zone critique'!$M$31*' Données'!$K$6)*10))</f>
        <v xml:space="preserve"> </v>
      </c>
      <c r="O24" s="284" t="str">
        <f>IF(E24=" "," ",0.2%*$I$9*' Données'!$H$6*100)</f>
        <v xml:space="preserve"> </v>
      </c>
      <c r="P24" s="299" t="str">
        <f>Calcul!S132</f>
        <v/>
      </c>
      <c r="Q24" s="457" t="str">
        <f t="shared" si="0"/>
        <v xml:space="preserve"> </v>
      </c>
      <c r="R24" s="458"/>
    </row>
    <row r="25" spans="1:18" ht="17.25" thickTop="1" thickBot="1">
      <c r="D25" s="280" t="str">
        <f>Calcul!E88</f>
        <v xml:space="preserve"> </v>
      </c>
      <c r="E25" s="303" t="str">
        <f>Calcul!F88</f>
        <v xml:space="preserve"> </v>
      </c>
      <c r="F25" s="308" t="str">
        <f>Calcul!G88</f>
        <v xml:space="preserve"> </v>
      </c>
      <c r="G25" s="309" t="str">
        <f>Calcul!H88</f>
        <v xml:space="preserve"> </v>
      </c>
      <c r="H25" s="305" t="str">
        <f>Calcul!I88</f>
        <v xml:space="preserve"> </v>
      </c>
      <c r="I25" s="354"/>
      <c r="J25" s="283" t="str">
        <f>IF(E25=" "," ",Calcul!O88)</f>
        <v xml:space="preserve"> </v>
      </c>
      <c r="K25" s="356"/>
      <c r="L25" s="298" t="str">
        <f>IF(E25=" "," ",0.2%*$F$9*' Données'!$H$6*100)</f>
        <v xml:space="preserve"> </v>
      </c>
      <c r="M25" s="284" t="str">
        <f>Calcul!R133</f>
        <v/>
      </c>
      <c r="N25" s="284" t="str">
        <f>IF(E25=" "," ",($I$9*ABS(' Données'!H26)*1.4/('Zone critique'!$M$31*' Données'!$K$6)*10))</f>
        <v xml:space="preserve"> </v>
      </c>
      <c r="O25" s="284" t="str">
        <f>IF(E25=" "," ",0.2%*$I$9*' Données'!$H$6*100)</f>
        <v xml:space="preserve"> </v>
      </c>
      <c r="P25" s="299" t="str">
        <f>Calcul!S133</f>
        <v/>
      </c>
      <c r="Q25" s="457" t="str">
        <f t="shared" si="0"/>
        <v xml:space="preserve"> </v>
      </c>
      <c r="R25" s="458"/>
    </row>
    <row r="26" spans="1:18" ht="17.25" thickTop="1" thickBot="1">
      <c r="D26" s="280" t="str">
        <f>Calcul!E89</f>
        <v xml:space="preserve"> </v>
      </c>
      <c r="E26" s="303" t="str">
        <f>Calcul!F89</f>
        <v xml:space="preserve"> </v>
      </c>
      <c r="F26" s="308" t="str">
        <f>Calcul!G89</f>
        <v xml:space="preserve"> </v>
      </c>
      <c r="G26" s="309" t="str">
        <f>Calcul!H89</f>
        <v xml:space="preserve"> </v>
      </c>
      <c r="H26" s="305" t="str">
        <f>Calcul!I89</f>
        <v xml:space="preserve"> </v>
      </c>
      <c r="I26" s="354"/>
      <c r="J26" s="283" t="str">
        <f>IF(E26=" "," ",Calcul!O89)</f>
        <v xml:space="preserve"> </v>
      </c>
      <c r="K26" s="356"/>
      <c r="L26" s="298" t="str">
        <f>IF(E26=" "," ",0.2%*$F$9*' Données'!$H$6*100)</f>
        <v xml:space="preserve"> </v>
      </c>
      <c r="M26" s="284" t="str">
        <f>Calcul!R134</f>
        <v/>
      </c>
      <c r="N26" s="284" t="str">
        <f>IF(E26=" "," ",($I$9*ABS(' Données'!H27)*1.4/('Zone critique'!$M$31*' Données'!$K$6)*10))</f>
        <v xml:space="preserve"> </v>
      </c>
      <c r="O26" s="284" t="str">
        <f>IF(E26=" "," ",0.2%*$I$9*' Données'!$H$6*100)</f>
        <v xml:space="preserve"> </v>
      </c>
      <c r="P26" s="299" t="str">
        <f>Calcul!S134</f>
        <v/>
      </c>
      <c r="Q26" s="457" t="str">
        <f t="shared" si="0"/>
        <v xml:space="preserve"> </v>
      </c>
      <c r="R26" s="458"/>
    </row>
    <row r="27" spans="1:18" ht="17.25" thickTop="1" thickBot="1">
      <c r="D27" s="280" t="str">
        <f>Calcul!E90</f>
        <v xml:space="preserve"> </v>
      </c>
      <c r="E27" s="303" t="str">
        <f>Calcul!F90</f>
        <v xml:space="preserve"> </v>
      </c>
      <c r="F27" s="308" t="str">
        <f>Calcul!G90</f>
        <v xml:space="preserve"> </v>
      </c>
      <c r="G27" s="309" t="str">
        <f>Calcul!H90</f>
        <v xml:space="preserve"> </v>
      </c>
      <c r="H27" s="305" t="str">
        <f>Calcul!I90</f>
        <v xml:space="preserve"> </v>
      </c>
      <c r="I27" s="354"/>
      <c r="J27" s="283" t="str">
        <f>IF(E27=" "," ",Calcul!O90)</f>
        <v xml:space="preserve"> </v>
      </c>
      <c r="K27" s="356"/>
      <c r="L27" s="298" t="str">
        <f>IF(E27=" "," ",0.2%*$F$9*' Données'!$H$6*100)</f>
        <v xml:space="preserve"> </v>
      </c>
      <c r="M27" s="284" t="str">
        <f>Calcul!R135</f>
        <v/>
      </c>
      <c r="N27" s="284" t="str">
        <f>IF(E27=" "," ",($I$9*ABS(' Données'!H28)*1.4/('Zone critique'!$M$31*' Données'!$K$6)*10))</f>
        <v xml:space="preserve"> </v>
      </c>
      <c r="O27" s="284" t="str">
        <f>IF(E27=" "," ",0.2%*$I$9*' Données'!$H$6*100)</f>
        <v xml:space="preserve"> </v>
      </c>
      <c r="P27" s="299" t="str">
        <f>Calcul!S135</f>
        <v/>
      </c>
      <c r="Q27" s="457" t="str">
        <f t="shared" si="0"/>
        <v xml:space="preserve"> </v>
      </c>
      <c r="R27" s="458"/>
    </row>
    <row r="28" spans="1:18" ht="17.25" thickTop="1" thickBot="1">
      <c r="D28" s="280" t="str">
        <f>Calcul!E91</f>
        <v xml:space="preserve"> </v>
      </c>
      <c r="E28" s="303" t="str">
        <f>Calcul!F91</f>
        <v xml:space="preserve"> </v>
      </c>
      <c r="F28" s="308" t="str">
        <f>Calcul!G91</f>
        <v xml:space="preserve"> </v>
      </c>
      <c r="G28" s="309" t="str">
        <f>Calcul!H91</f>
        <v xml:space="preserve"> </v>
      </c>
      <c r="H28" s="305" t="str">
        <f>Calcul!I91</f>
        <v xml:space="preserve"> </v>
      </c>
      <c r="I28" s="354"/>
      <c r="J28" s="283" t="str">
        <f>IF(E28=" "," ",Calcul!O91)</f>
        <v xml:space="preserve"> </v>
      </c>
      <c r="K28" s="356"/>
      <c r="L28" s="298" t="str">
        <f>IF(E28=" "," ",0.2%*$F$9*' Données'!$H$6*100)</f>
        <v xml:space="preserve"> </v>
      </c>
      <c r="M28" s="284" t="str">
        <f>Calcul!R136</f>
        <v/>
      </c>
      <c r="N28" s="284" t="str">
        <f>IF(E28=" "," ",($I$9*ABS(' Données'!H29)*1.4/('Zone critique'!$M$31*' Données'!$K$6)*10))</f>
        <v xml:space="preserve"> </v>
      </c>
      <c r="O28" s="284" t="str">
        <f>IF(E28=" "," ",0.2%*$I$9*' Données'!$H$6*100)</f>
        <v xml:space="preserve"> </v>
      </c>
      <c r="P28" s="299" t="str">
        <f>Calcul!S136</f>
        <v/>
      </c>
      <c r="Q28" s="457" t="str">
        <f t="shared" si="0"/>
        <v xml:space="preserve"> </v>
      </c>
      <c r="R28" s="458"/>
    </row>
    <row r="29" spans="1:18" ht="17.25" thickTop="1" thickBot="1">
      <c r="D29" s="280" t="str">
        <f>Calcul!E92</f>
        <v xml:space="preserve"> </v>
      </c>
      <c r="E29" s="303" t="str">
        <f>Calcul!F92</f>
        <v xml:space="preserve"> </v>
      </c>
      <c r="F29" s="308" t="str">
        <f>Calcul!G92</f>
        <v xml:space="preserve"> </v>
      </c>
      <c r="G29" s="309" t="str">
        <f>Calcul!H92</f>
        <v xml:space="preserve"> </v>
      </c>
      <c r="H29" s="305" t="str">
        <f>Calcul!I92</f>
        <v xml:space="preserve"> </v>
      </c>
      <c r="I29" s="354"/>
      <c r="J29" s="283" t="str">
        <f>IF(E29=" "," ",Calcul!O92)</f>
        <v xml:space="preserve"> </v>
      </c>
      <c r="K29" s="356"/>
      <c r="L29" s="298" t="str">
        <f>IF(E29=" "," ",0.2%*$F$9*' Données'!$H$6*100)</f>
        <v xml:space="preserve"> </v>
      </c>
      <c r="M29" s="284" t="str">
        <f>Calcul!R137</f>
        <v/>
      </c>
      <c r="N29" s="284" t="str">
        <f>IF(E29=" "," ",($I$9*ABS(' Données'!H30)*1.4/('Zone critique'!$M$31*' Données'!$K$6)*10))</f>
        <v xml:space="preserve"> </v>
      </c>
      <c r="O29" s="284" t="str">
        <f>IF(E29=" "," ",0.2%*$I$9*' Données'!$H$6*100)</f>
        <v xml:space="preserve"> </v>
      </c>
      <c r="P29" s="299" t="str">
        <f>Calcul!S137</f>
        <v/>
      </c>
      <c r="Q29" s="457" t="str">
        <f t="shared" si="0"/>
        <v xml:space="preserve"> </v>
      </c>
      <c r="R29" s="458"/>
    </row>
    <row r="30" spans="1:18" ht="17.25" thickTop="1" thickBot="1">
      <c r="D30" s="280" t="str">
        <f>Calcul!E93</f>
        <v xml:space="preserve"> </v>
      </c>
      <c r="E30" s="303" t="str">
        <f>Calcul!F93</f>
        <v xml:space="preserve"> </v>
      </c>
      <c r="F30" s="308" t="str">
        <f>Calcul!G93</f>
        <v xml:space="preserve"> </v>
      </c>
      <c r="G30" s="309" t="str">
        <f>Calcul!H93</f>
        <v xml:space="preserve"> </v>
      </c>
      <c r="H30" s="305" t="str">
        <f>Calcul!I93</f>
        <v xml:space="preserve"> </v>
      </c>
      <c r="I30" s="354"/>
      <c r="J30" s="283" t="str">
        <f>IF(E30=" "," ",Calcul!O93)</f>
        <v xml:space="preserve"> </v>
      </c>
      <c r="K30" s="356"/>
      <c r="L30" s="298" t="str">
        <f>IF(E30=" "," ",0.2%*$F$9*' Données'!$H$6*100)</f>
        <v xml:space="preserve"> </v>
      </c>
      <c r="M30" s="284" t="str">
        <f>Calcul!R138</f>
        <v/>
      </c>
      <c r="N30" s="284" t="str">
        <f>IF(E30=" "," ",($I$9*ABS(' Données'!H31)*1.4/('Zone critique'!$M$31*' Données'!$K$6)*10))</f>
        <v xml:space="preserve"> </v>
      </c>
      <c r="O30" s="284" t="str">
        <f>IF(E30=" "," ",0.2%*$I$9*' Données'!$H$6*100)</f>
        <v xml:space="preserve"> </v>
      </c>
      <c r="P30" s="299" t="str">
        <f>Calcul!S138</f>
        <v/>
      </c>
      <c r="Q30" s="457" t="str">
        <f t="shared" si="0"/>
        <v xml:space="preserve"> </v>
      </c>
      <c r="R30" s="458"/>
    </row>
    <row r="31" spans="1:18" ht="17.25" thickTop="1" thickBot="1">
      <c r="D31" s="280" t="str">
        <f>Calcul!E94</f>
        <v xml:space="preserve"> </v>
      </c>
      <c r="E31" s="303" t="str">
        <f>Calcul!F94</f>
        <v xml:space="preserve"> </v>
      </c>
      <c r="F31" s="308" t="str">
        <f>Calcul!G94</f>
        <v xml:space="preserve"> </v>
      </c>
      <c r="G31" s="309" t="str">
        <f>Calcul!H94</f>
        <v xml:space="preserve"> </v>
      </c>
      <c r="H31" s="305" t="str">
        <f>Calcul!I94</f>
        <v xml:space="preserve"> </v>
      </c>
      <c r="I31" s="354"/>
      <c r="J31" s="283" t="str">
        <f>IF(E31=" "," ",Calcul!O94)</f>
        <v xml:space="preserve"> </v>
      </c>
      <c r="K31" s="356"/>
      <c r="L31" s="298" t="str">
        <f>IF(E31=" "," ",0.2%*$F$9*' Données'!$H$6*100)</f>
        <v xml:space="preserve"> </v>
      </c>
      <c r="M31" s="284" t="str">
        <f>Calcul!R139</f>
        <v/>
      </c>
      <c r="N31" s="284" t="str">
        <f>IF(E31=" "," ",($I$9*ABS(' Données'!H32)*1.4/('Zone critique'!$M$31*' Données'!$K$6)*10))</f>
        <v xml:space="preserve"> </v>
      </c>
      <c r="O31" s="284" t="str">
        <f>IF(E31=" "," ",0.2%*$I$9*' Données'!$H$6*100)</f>
        <v xml:space="preserve"> </v>
      </c>
      <c r="P31" s="299" t="str">
        <f>Calcul!S139</f>
        <v/>
      </c>
      <c r="Q31" s="457" t="str">
        <f t="shared" si="0"/>
        <v xml:space="preserve"> </v>
      </c>
      <c r="R31" s="458"/>
    </row>
    <row r="32" spans="1:18" ht="17.25" thickTop="1" thickBot="1">
      <c r="D32" s="280" t="str">
        <f>Calcul!E95</f>
        <v xml:space="preserve"> </v>
      </c>
      <c r="E32" s="303" t="str">
        <f>Calcul!F95</f>
        <v xml:space="preserve"> </v>
      </c>
      <c r="F32" s="308" t="str">
        <f>Calcul!G95</f>
        <v xml:space="preserve"> </v>
      </c>
      <c r="G32" s="309" t="str">
        <f>Calcul!H95</f>
        <v xml:space="preserve"> </v>
      </c>
      <c r="H32" s="305" t="str">
        <f>Calcul!I95</f>
        <v xml:space="preserve"> </v>
      </c>
      <c r="I32" s="354"/>
      <c r="J32" s="283" t="str">
        <f>IF(E32=" "," ",Calcul!O95)</f>
        <v xml:space="preserve"> </v>
      </c>
      <c r="K32" s="356"/>
      <c r="L32" s="298" t="str">
        <f>IF(E32=" "," ",0.2%*$F$9*' Données'!$H$6*100)</f>
        <v xml:space="preserve"> </v>
      </c>
      <c r="M32" s="284" t="str">
        <f>Calcul!R140</f>
        <v/>
      </c>
      <c r="N32" s="284" t="str">
        <f>IF(E32=" "," ",($I$9*ABS(' Données'!H33)*1.4/('Zone critique'!$M$31*' Données'!$K$6)*10))</f>
        <v xml:space="preserve"> </v>
      </c>
      <c r="O32" s="284" t="str">
        <f>IF(E32=" "," ",0.2%*$I$9*' Données'!$H$6*100)</f>
        <v xml:space="preserve"> </v>
      </c>
      <c r="P32" s="299" t="str">
        <f>Calcul!S140</f>
        <v/>
      </c>
      <c r="Q32" s="457" t="str">
        <f t="shared" si="0"/>
        <v xml:space="preserve"> </v>
      </c>
      <c r="R32" s="458"/>
    </row>
    <row r="33" spans="4:18" ht="17.25" thickTop="1" thickBot="1">
      <c r="D33" s="280" t="str">
        <f>Calcul!E96</f>
        <v xml:space="preserve"> </v>
      </c>
      <c r="E33" s="303" t="str">
        <f>Calcul!F96</f>
        <v xml:space="preserve"> </v>
      </c>
      <c r="F33" s="308" t="str">
        <f>Calcul!G96</f>
        <v xml:space="preserve"> </v>
      </c>
      <c r="G33" s="309" t="str">
        <f>Calcul!H96</f>
        <v xml:space="preserve"> </v>
      </c>
      <c r="H33" s="305" t="str">
        <f>Calcul!I96</f>
        <v xml:space="preserve"> </v>
      </c>
      <c r="I33" s="354"/>
      <c r="J33" s="283" t="str">
        <f>IF(E33=" "," ",Calcul!O96)</f>
        <v xml:space="preserve"> </v>
      </c>
      <c r="K33" s="356"/>
      <c r="L33" s="298" t="str">
        <f>IF(E33=" "," ",0.2%*$F$9*' Données'!$H$6*100)</f>
        <v xml:space="preserve"> </v>
      </c>
      <c r="M33" s="284" t="str">
        <f>Calcul!R141</f>
        <v/>
      </c>
      <c r="N33" s="284" t="str">
        <f>IF(E33=" "," ",($I$9*ABS(' Données'!H34)*1.4/('Zone critique'!$M$31*' Données'!$K$6)*10))</f>
        <v xml:space="preserve"> </v>
      </c>
      <c r="O33" s="284" t="str">
        <f>IF(E33=" "," ",0.2%*$I$9*' Données'!$H$6*100)</f>
        <v xml:space="preserve"> </v>
      </c>
      <c r="P33" s="299" t="str">
        <f>Calcul!S141</f>
        <v/>
      </c>
      <c r="Q33" s="457" t="str">
        <f t="shared" si="0"/>
        <v xml:space="preserve"> </v>
      </c>
      <c r="R33" s="458"/>
    </row>
    <row r="34" spans="4:18" ht="17.25" thickTop="1" thickBot="1">
      <c r="D34" s="280" t="str">
        <f>Calcul!E97</f>
        <v xml:space="preserve"> </v>
      </c>
      <c r="E34" s="303" t="str">
        <f>Calcul!F97</f>
        <v xml:space="preserve"> </v>
      </c>
      <c r="F34" s="308" t="str">
        <f>Calcul!G97</f>
        <v xml:space="preserve"> </v>
      </c>
      <c r="G34" s="309" t="str">
        <f>Calcul!H97</f>
        <v xml:space="preserve"> </v>
      </c>
      <c r="H34" s="305" t="str">
        <f>Calcul!I97</f>
        <v xml:space="preserve"> </v>
      </c>
      <c r="I34" s="354"/>
      <c r="J34" s="283" t="str">
        <f>IF(E34=" "," ",Calcul!O97)</f>
        <v xml:space="preserve"> </v>
      </c>
      <c r="K34" s="356"/>
      <c r="L34" s="298" t="str">
        <f>IF(E34=" "," ",0.2%*$F$9*' Données'!$H$6*100)</f>
        <v xml:space="preserve"> </v>
      </c>
      <c r="M34" s="284" t="str">
        <f>Calcul!R142</f>
        <v/>
      </c>
      <c r="N34" s="284" t="str">
        <f>IF(E34=" "," ",($I$9*ABS(' Données'!H35)*1.4/('Zone critique'!$M$31*' Données'!$K$6)*10))</f>
        <v xml:space="preserve"> </v>
      </c>
      <c r="O34" s="284" t="str">
        <f>IF(E34=" "," ",0.2%*$I$9*' Données'!$H$6*100)</f>
        <v xml:space="preserve"> </v>
      </c>
      <c r="P34" s="299" t="str">
        <f>Calcul!S142</f>
        <v/>
      </c>
      <c r="Q34" s="457" t="str">
        <f t="shared" si="0"/>
        <v xml:space="preserve"> </v>
      </c>
      <c r="R34" s="458"/>
    </row>
    <row r="35" spans="4:18" ht="17.25" thickTop="1" thickBot="1">
      <c r="D35" s="280" t="str">
        <f>Calcul!E98</f>
        <v xml:space="preserve"> </v>
      </c>
      <c r="E35" s="303" t="str">
        <f>Calcul!F98</f>
        <v xml:space="preserve"> </v>
      </c>
      <c r="F35" s="308" t="str">
        <f>Calcul!G98</f>
        <v xml:space="preserve"> </v>
      </c>
      <c r="G35" s="309" t="str">
        <f>Calcul!H98</f>
        <v xml:space="preserve"> </v>
      </c>
      <c r="H35" s="305" t="str">
        <f>Calcul!I98</f>
        <v xml:space="preserve"> </v>
      </c>
      <c r="I35" s="354"/>
      <c r="J35" s="283" t="str">
        <f>IF(E35=" "," ",Calcul!O98)</f>
        <v xml:space="preserve"> </v>
      </c>
      <c r="K35" s="356"/>
      <c r="L35" s="298" t="str">
        <f>IF(E35=" "," ",0.2%*$F$9*' Données'!$H$6*100)</f>
        <v xml:space="preserve"> </v>
      </c>
      <c r="M35" s="284" t="str">
        <f>Calcul!R143</f>
        <v/>
      </c>
      <c r="N35" s="284" t="str">
        <f>IF(E35=" "," ",($I$9*ABS(' Données'!H36)*1.4/('Zone critique'!$M$31*' Données'!$K$6)*10))</f>
        <v xml:space="preserve"> </v>
      </c>
      <c r="O35" s="284" t="str">
        <f>IF(E35=" "," ",0.2%*$I$9*' Données'!$H$6*100)</f>
        <v xml:space="preserve"> </v>
      </c>
      <c r="P35" s="299" t="str">
        <f>Calcul!S143</f>
        <v/>
      </c>
      <c r="Q35" s="457" t="str">
        <f t="shared" si="0"/>
        <v xml:space="preserve"> </v>
      </c>
      <c r="R35" s="458"/>
    </row>
    <row r="36" spans="4:18" ht="17.25" thickTop="1" thickBot="1">
      <c r="D36" s="280" t="str">
        <f>Calcul!E99</f>
        <v xml:space="preserve"> </v>
      </c>
      <c r="E36" s="303" t="str">
        <f>Calcul!F99</f>
        <v xml:space="preserve"> </v>
      </c>
      <c r="F36" s="310" t="str">
        <f>Calcul!G99</f>
        <v xml:space="preserve"> </v>
      </c>
      <c r="G36" s="311" t="str">
        <f>Calcul!H99</f>
        <v xml:space="preserve"> </v>
      </c>
      <c r="H36" s="305" t="str">
        <f>Calcul!I99</f>
        <v xml:space="preserve"> </v>
      </c>
      <c r="I36" s="355"/>
      <c r="J36" s="293" t="str">
        <f>IF(E36=" "," ",Calcul!O99)</f>
        <v xml:space="preserve"> </v>
      </c>
      <c r="K36" s="357"/>
      <c r="L36" s="300" t="str">
        <f>IF(E36=" "," ",0.2%*$F$9*' Données'!$H$6*100)</f>
        <v xml:space="preserve"> </v>
      </c>
      <c r="M36" s="301" t="str">
        <f>Calcul!R144</f>
        <v/>
      </c>
      <c r="N36" s="284" t="str">
        <f>IF(E36=" "," ",($I$9*ABS(' Données'!H37)*1.4/('Zone critique'!$M$31*' Données'!$K$6)*10))</f>
        <v xml:space="preserve"> </v>
      </c>
      <c r="O36" s="284" t="str">
        <f>IF(E36=" "," ",0.2%*$I$9*' Données'!$H$6*100)</f>
        <v xml:space="preserve"> </v>
      </c>
      <c r="P36" s="302" t="str">
        <f>Calcul!S144</f>
        <v/>
      </c>
      <c r="Q36" s="460" t="str">
        <f t="shared" si="0"/>
        <v xml:space="preserve"> </v>
      </c>
      <c r="R36" s="461"/>
    </row>
    <row r="37" spans="4:18" ht="15.75" thickTop="1">
      <c r="E37" s="89"/>
    </row>
  </sheetData>
  <mergeCells count="41">
    <mergeCell ref="Q26:R26"/>
    <mergeCell ref="Q25:R25"/>
    <mergeCell ref="A19:B19"/>
    <mergeCell ref="A17:B18"/>
    <mergeCell ref="E3:F3"/>
    <mergeCell ref="A15:B15"/>
    <mergeCell ref="A16:B16"/>
    <mergeCell ref="D9:E9"/>
    <mergeCell ref="D5:I6"/>
    <mergeCell ref="G9:H9"/>
    <mergeCell ref="D11:E11"/>
    <mergeCell ref="D7:F7"/>
    <mergeCell ref="G7:I7"/>
    <mergeCell ref="D8:E8"/>
    <mergeCell ref="G8:H8"/>
    <mergeCell ref="I14:K14"/>
    <mergeCell ref="Q36:R36"/>
    <mergeCell ref="Q27:R27"/>
    <mergeCell ref="Q28:R28"/>
    <mergeCell ref="Q29:R29"/>
    <mergeCell ref="Q30:R30"/>
    <mergeCell ref="Q31:R31"/>
    <mergeCell ref="Q32:R32"/>
    <mergeCell ref="Q34:R34"/>
    <mergeCell ref="Q35:R35"/>
    <mergeCell ref="Q33:R33"/>
    <mergeCell ref="D2:R2"/>
    <mergeCell ref="L3:R3"/>
    <mergeCell ref="G11:H11"/>
    <mergeCell ref="D10:E10"/>
    <mergeCell ref="G10:H10"/>
    <mergeCell ref="Q15:R15"/>
    <mergeCell ref="Q21:R21"/>
    <mergeCell ref="Q22:R22"/>
    <mergeCell ref="Q23:R23"/>
    <mergeCell ref="Q24:R24"/>
    <mergeCell ref="Q16:R16"/>
    <mergeCell ref="Q17:R17"/>
    <mergeCell ref="Q18:R18"/>
    <mergeCell ref="Q19:R19"/>
    <mergeCell ref="Q20:R20"/>
  </mergeCells>
  <conditionalFormatting sqref="F16:P36">
    <cfRule type="expression" dxfId="9" priority="7">
      <formula>$E16&lt;=$A$16</formula>
    </cfRule>
  </conditionalFormatting>
  <conditionalFormatting sqref="Q16:R36">
    <cfRule type="expression" dxfId="8" priority="1">
      <formula>$E16=$A$19</formula>
    </cfRule>
    <cfRule type="expression" dxfId="7" priority="2">
      <formula>$E16&lt;=$A$16</formula>
    </cfRule>
  </conditionalFormatting>
  <dataValidations disablePrompts="1" count="3">
    <dataValidation type="list" allowBlank="1" showInputMessage="1" showErrorMessage="1" sqref="F8 I8">
      <formula1>Calcul!J125:J130</formula1>
    </dataValidation>
    <dataValidation type="decimal" operator="lessThanOrEqual" allowBlank="1" showInputMessage="1" showErrorMessage="1" errorTitle="Attention :" error="Stchoisi &gt; Stmax" sqref="F9">
      <formula1>$F$11</formula1>
    </dataValidation>
    <dataValidation type="decimal" operator="lessThanOrEqual" allowBlank="1" showInputMessage="1" showErrorMessage="1" errorTitle="Attention :" error="Stchoisi &gt; Stmax" sqref="I9">
      <formula1>$I$11</formula1>
    </dataValidation>
  </dataValidations>
  <pageMargins left="0.7" right="0.7" top="0.75" bottom="0.75" header="0.3" footer="0.3"/>
  <pageSetup paperSize="9" scale="43" orientation="portrait" r:id="rId1"/>
  <colBreaks count="1" manualBreakCount="1">
    <brk id="18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T145"/>
  <sheetViews>
    <sheetView zoomScale="90" zoomScaleNormal="90" workbookViewId="0">
      <selection activeCell="C6" sqref="C6"/>
    </sheetView>
  </sheetViews>
  <sheetFormatPr defaultRowHeight="15"/>
  <cols>
    <col min="1" max="1" width="11" bestFit="1" customWidth="1"/>
    <col min="2" max="2" width="6.140625" bestFit="1" customWidth="1"/>
    <col min="3" max="3" width="8.42578125" customWidth="1"/>
    <col min="4" max="4" width="8" customWidth="1"/>
    <col min="6" max="6" width="15.85546875" bestFit="1" customWidth="1"/>
    <col min="7" max="7" width="10.28515625" customWidth="1"/>
    <col min="8" max="9" width="10.5703125" bestFit="1" customWidth="1"/>
    <col min="10" max="10" width="10" bestFit="1" customWidth="1"/>
    <col min="11" max="13" width="10.5703125" bestFit="1" customWidth="1"/>
    <col min="14" max="14" width="11.28515625" bestFit="1" customWidth="1"/>
    <col min="15" max="15" width="10.5703125" bestFit="1" customWidth="1"/>
    <col min="16" max="16" width="10.5703125" customWidth="1"/>
    <col min="17" max="17" width="11.5703125" bestFit="1" customWidth="1"/>
    <col min="18" max="18" width="14.7109375" bestFit="1" customWidth="1"/>
    <col min="19" max="19" width="13.7109375" bestFit="1" customWidth="1"/>
  </cols>
  <sheetData>
    <row r="1" spans="1:20" ht="15" customHeight="1" thickBot="1"/>
    <row r="2" spans="1:20" ht="15.75" hidden="1" thickBot="1">
      <c r="A2" s="475" t="s">
        <v>23</v>
      </c>
      <c r="B2" s="476"/>
      <c r="C2" s="220" t="s">
        <v>373</v>
      </c>
    </row>
    <row r="3" spans="1:20" ht="21" thickBot="1">
      <c r="A3" s="477" t="s">
        <v>218</v>
      </c>
      <c r="B3" s="478"/>
      <c r="C3" s="478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80"/>
    </row>
    <row r="4" spans="1:20" ht="15.75" thickBot="1"/>
    <row r="5" spans="1:20" ht="82.5" customHeight="1" thickBot="1">
      <c r="E5" s="481"/>
      <c r="F5" s="482"/>
      <c r="G5" s="482"/>
      <c r="H5" s="482"/>
      <c r="I5" s="482"/>
      <c r="J5" s="482"/>
      <c r="K5" s="482"/>
      <c r="L5" s="482"/>
      <c r="M5" s="482"/>
      <c r="N5" s="219" t="s">
        <v>219</v>
      </c>
    </row>
    <row r="6" spans="1:20" ht="84" customHeight="1" thickBot="1">
      <c r="E6" s="481"/>
      <c r="F6" s="482"/>
      <c r="G6" s="482"/>
      <c r="H6" s="482"/>
      <c r="I6" s="482"/>
      <c r="J6" s="482"/>
      <c r="K6" s="482"/>
      <c r="L6" s="482"/>
      <c r="M6" s="482"/>
      <c r="N6" s="219" t="s">
        <v>220</v>
      </c>
    </row>
    <row r="7" spans="1:20" ht="86.25" customHeight="1" thickBot="1">
      <c r="E7" s="481"/>
      <c r="F7" s="482"/>
      <c r="G7" s="482"/>
      <c r="H7" s="482"/>
      <c r="I7" s="482"/>
      <c r="J7" s="482"/>
      <c r="K7" s="482"/>
      <c r="L7" s="482"/>
      <c r="M7" s="482"/>
      <c r="N7" s="219" t="s">
        <v>221</v>
      </c>
    </row>
    <row r="9" spans="1:20" ht="15.75" thickBot="1"/>
    <row r="10" spans="1:20" ht="19.5" customHeight="1" thickBot="1">
      <c r="A10" s="489" t="s">
        <v>10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  <c r="O10" s="479"/>
      <c r="P10" s="479"/>
      <c r="Q10" s="479"/>
      <c r="R10" s="479"/>
      <c r="S10" s="479"/>
      <c r="T10" s="480"/>
    </row>
    <row r="12" spans="1:20">
      <c r="J12" s="490"/>
      <c r="K12" s="490"/>
      <c r="L12" s="490"/>
      <c r="M12" s="490"/>
      <c r="N12" s="490"/>
      <c r="O12" s="490"/>
      <c r="P12" s="490"/>
      <c r="Q12" s="23"/>
    </row>
    <row r="13" spans="1:20">
      <c r="J13" s="490"/>
      <c r="K13" s="490"/>
      <c r="L13" s="490"/>
      <c r="M13" s="490"/>
      <c r="N13" s="490"/>
      <c r="O13" s="490"/>
      <c r="P13" s="490"/>
      <c r="Q13" s="23"/>
    </row>
    <row r="14" spans="1:20">
      <c r="J14" s="490"/>
      <c r="K14" s="490"/>
      <c r="L14" s="490"/>
      <c r="M14" s="490"/>
      <c r="N14" s="490"/>
      <c r="O14" s="490"/>
      <c r="P14" s="490"/>
      <c r="Q14" s="23"/>
    </row>
    <row r="15" spans="1:20">
      <c r="F15" s="494" t="s">
        <v>3</v>
      </c>
      <c r="G15" s="495"/>
      <c r="J15" s="490"/>
      <c r="K15" s="490"/>
      <c r="L15" s="490"/>
      <c r="M15" s="490"/>
      <c r="N15" s="490"/>
      <c r="O15" s="490"/>
      <c r="P15" s="490"/>
      <c r="Q15" s="23"/>
    </row>
    <row r="16" spans="1:20">
      <c r="F16" s="41" t="s">
        <v>0</v>
      </c>
      <c r="G16" s="40" t="s">
        <v>2</v>
      </c>
      <c r="J16" s="490"/>
      <c r="K16" s="490"/>
      <c r="L16" s="490"/>
      <c r="M16" s="490"/>
      <c r="N16" s="490"/>
      <c r="O16" s="490"/>
      <c r="P16" s="490"/>
      <c r="Q16" s="23"/>
    </row>
    <row r="17" spans="4:17">
      <c r="F17" s="1">
        <v>0</v>
      </c>
      <c r="G17" s="1">
        <f>Enveloppe!$J$8</f>
        <v>15.3</v>
      </c>
      <c r="J17" s="490"/>
      <c r="K17" s="490"/>
      <c r="L17" s="490"/>
      <c r="M17" s="490"/>
      <c r="N17" s="490"/>
      <c r="O17" s="490"/>
      <c r="P17" s="490"/>
      <c r="Q17" s="23"/>
    </row>
    <row r="18" spans="4:17">
      <c r="F18" s="1">
        <f>ABS(Enveloppe!$J$10)</f>
        <v>32.21</v>
      </c>
      <c r="G18" s="1">
        <f>Enveloppe!$J$8</f>
        <v>15.3</v>
      </c>
      <c r="J18" s="490"/>
      <c r="K18" s="490"/>
      <c r="L18" s="490"/>
      <c r="M18" s="490"/>
      <c r="N18" s="490"/>
      <c r="O18" s="490"/>
      <c r="P18" s="490"/>
      <c r="Q18" s="23"/>
    </row>
    <row r="19" spans="4:17">
      <c r="F19" s="1">
        <f>ABS(Enveloppe!$J$9)</f>
        <v>144.03</v>
      </c>
      <c r="G19" s="1">
        <v>0</v>
      </c>
      <c r="J19" s="490"/>
      <c r="K19" s="490"/>
      <c r="L19" s="490"/>
      <c r="M19" s="490"/>
      <c r="N19" s="490"/>
      <c r="O19" s="490"/>
      <c r="P19" s="490"/>
      <c r="Q19" s="23"/>
    </row>
    <row r="20" spans="4:17">
      <c r="F20" s="2"/>
      <c r="G20" s="2"/>
      <c r="J20" s="490"/>
      <c r="K20" s="490"/>
      <c r="L20" s="490"/>
      <c r="M20" s="490"/>
      <c r="N20" s="490"/>
      <c r="O20" s="490"/>
      <c r="P20" s="490"/>
      <c r="Q20" s="23"/>
    </row>
    <row r="21" spans="4:17">
      <c r="F21" s="494" t="s">
        <v>60</v>
      </c>
      <c r="G21" s="495"/>
      <c r="J21" s="490"/>
      <c r="K21" s="490"/>
      <c r="L21" s="490"/>
      <c r="M21" s="490"/>
      <c r="N21" s="490"/>
      <c r="O21" s="490"/>
      <c r="P21" s="490"/>
      <c r="Q21" s="23"/>
    </row>
    <row r="22" spans="4:17">
      <c r="F22" s="40" t="s">
        <v>0</v>
      </c>
      <c r="G22" s="40" t="s">
        <v>2</v>
      </c>
      <c r="J22" s="490"/>
      <c r="K22" s="490"/>
      <c r="L22" s="490"/>
      <c r="M22" s="490"/>
      <c r="N22" s="490"/>
      <c r="O22" s="490"/>
      <c r="P22" s="490"/>
      <c r="Q22" s="23"/>
    </row>
    <row r="23" spans="4:17">
      <c r="F23" s="1">
        <f>F18</f>
        <v>32.21</v>
      </c>
      <c r="G23" s="1">
        <f>G18+Enveloppe!$J$12</f>
        <v>17.850000000000001</v>
      </c>
      <c r="J23" s="490"/>
      <c r="K23" s="490"/>
      <c r="L23" s="490"/>
      <c r="M23" s="490"/>
      <c r="N23" s="490"/>
      <c r="O23" s="490"/>
      <c r="P23" s="490"/>
      <c r="Q23" s="23"/>
    </row>
    <row r="24" spans="4:17">
      <c r="F24" s="1">
        <f>F19</f>
        <v>144.03</v>
      </c>
      <c r="G24" s="1">
        <f>G19+Enveloppe!$J$12</f>
        <v>2.5499999999999998</v>
      </c>
      <c r="J24" s="490"/>
      <c r="K24" s="490"/>
      <c r="L24" s="490"/>
      <c r="M24" s="490"/>
      <c r="N24" s="490"/>
      <c r="O24" s="490"/>
      <c r="P24" s="490"/>
      <c r="Q24" s="23"/>
    </row>
    <row r="25" spans="4:17" ht="15.75" thickBot="1">
      <c r="F25" s="494" t="s">
        <v>4</v>
      </c>
      <c r="G25" s="495"/>
      <c r="J25" s="490"/>
      <c r="K25" s="490"/>
      <c r="L25" s="490"/>
      <c r="M25" s="490"/>
      <c r="N25" s="490"/>
      <c r="O25" s="490"/>
      <c r="P25" s="490"/>
      <c r="Q25" s="23"/>
    </row>
    <row r="26" spans="4:17" ht="15.75" thickBot="1">
      <c r="D26" s="22" t="s">
        <v>5</v>
      </c>
      <c r="F26" s="40" t="s">
        <v>0</v>
      </c>
      <c r="G26" s="40" t="s">
        <v>2</v>
      </c>
      <c r="J26" s="490"/>
      <c r="K26" s="490"/>
      <c r="L26" s="490"/>
      <c r="M26" s="490"/>
      <c r="N26" s="490"/>
      <c r="O26" s="490"/>
      <c r="P26" s="490"/>
      <c r="Q26" s="23"/>
    </row>
    <row r="27" spans="4:17">
      <c r="D27" s="20">
        <f>DEGREES(ATAN(G17/(F19-F18)))</f>
        <v>7.7912309617755691</v>
      </c>
      <c r="F27" s="1">
        <v>0</v>
      </c>
      <c r="G27" s="1">
        <f>G17</f>
        <v>15.3</v>
      </c>
      <c r="J27" s="490"/>
      <c r="K27" s="490"/>
      <c r="L27" s="490"/>
      <c r="M27" s="490"/>
      <c r="N27" s="490"/>
      <c r="O27" s="490"/>
      <c r="P27" s="490"/>
      <c r="Q27" s="23"/>
    </row>
    <row r="28" spans="4:17">
      <c r="D28" s="3">
        <f>90-D27</f>
        <v>82.208769038224432</v>
      </c>
      <c r="F28" s="37">
        <f>FORECAST(G17,F23:F24,G23:G24)</f>
        <v>50.846666666666692</v>
      </c>
      <c r="G28" s="1">
        <f>G18+G13</f>
        <v>15.3</v>
      </c>
      <c r="J28" s="490"/>
      <c r="K28" s="490"/>
      <c r="L28" s="490"/>
      <c r="M28" s="490"/>
      <c r="N28" s="490"/>
      <c r="O28" s="490"/>
      <c r="P28" s="490"/>
      <c r="Q28" s="23"/>
    </row>
    <row r="29" spans="4:17">
      <c r="D29" s="3">
        <f>Enveloppe!$J$12*TAN(RADIANS(Calcul!D28))</f>
        <v>18.636666666666663</v>
      </c>
      <c r="F29" s="1">
        <f>F19</f>
        <v>144.03</v>
      </c>
      <c r="G29" s="1">
        <f>Enveloppe!$J$12</f>
        <v>2.5499999999999998</v>
      </c>
      <c r="J29" s="490"/>
      <c r="K29" s="490"/>
      <c r="L29" s="490"/>
      <c r="M29" s="490"/>
      <c r="N29" s="490"/>
      <c r="O29" s="490"/>
      <c r="P29" s="490"/>
      <c r="Q29" s="23"/>
    </row>
    <row r="30" spans="4:17" ht="15.75" thickBot="1">
      <c r="D30" s="24">
        <f>F18+D29</f>
        <v>50.846666666666664</v>
      </c>
      <c r="F30" s="1">
        <f>F19</f>
        <v>144.03</v>
      </c>
      <c r="G30" s="1">
        <f>G19</f>
        <v>0</v>
      </c>
      <c r="J30" s="490"/>
      <c r="K30" s="490"/>
      <c r="L30" s="490"/>
      <c r="M30" s="490"/>
      <c r="N30" s="490"/>
      <c r="O30" s="490"/>
      <c r="P30" s="490"/>
      <c r="Q30" s="23"/>
    </row>
    <row r="31" spans="4:17" ht="15.75" thickBot="1">
      <c r="J31" s="490"/>
      <c r="K31" s="490"/>
      <c r="L31" s="490"/>
      <c r="M31" s="490"/>
      <c r="N31" s="490"/>
      <c r="O31" s="490"/>
      <c r="P31" s="490"/>
      <c r="Q31" s="23"/>
    </row>
    <row r="32" spans="4:17" ht="16.5" thickTop="1" thickBot="1">
      <c r="F32" s="21" t="s">
        <v>9</v>
      </c>
      <c r="G32" s="10">
        <f>Enveloppe!$J$12</f>
        <v>2.5499999999999998</v>
      </c>
      <c r="J32" s="23"/>
      <c r="K32" s="23"/>
      <c r="L32" s="23"/>
      <c r="M32" s="23"/>
      <c r="N32" s="23"/>
      <c r="O32" s="23"/>
      <c r="P32" s="23"/>
      <c r="Q32" s="23"/>
    </row>
    <row r="33" spans="1:20" ht="16.5" thickTop="1" thickBot="1">
      <c r="F33" s="8" t="s">
        <v>1</v>
      </c>
      <c r="G33" s="36">
        <f>Enveloppe!$J$14</f>
        <v>5</v>
      </c>
      <c r="J33" s="23"/>
      <c r="K33" s="23"/>
      <c r="L33" s="23"/>
      <c r="M33" s="23"/>
      <c r="N33" s="23"/>
      <c r="O33" s="23"/>
      <c r="P33" s="23"/>
      <c r="Q33" s="23"/>
    </row>
    <row r="34" spans="1:20" ht="16.5" thickTop="1" thickBot="1">
      <c r="F34" s="21" t="s">
        <v>6</v>
      </c>
      <c r="G34" s="36">
        <f t="array" ref="G34">IF($G$33&lt;=$G$32,$F$24,FORECAST(Enveloppe!$J$14,F23:F24,G23:G24))</f>
        <v>126.12418300653597</v>
      </c>
      <c r="J34" s="23"/>
      <c r="K34" s="23"/>
      <c r="L34" s="23"/>
      <c r="M34" s="23"/>
      <c r="N34" s="23"/>
      <c r="O34" s="23"/>
      <c r="P34" s="23"/>
      <c r="Q34" s="23"/>
    </row>
    <row r="35" spans="1:20" ht="15.75" thickTop="1">
      <c r="J35" s="23"/>
      <c r="K35" s="23"/>
      <c r="L35" s="23"/>
      <c r="M35" s="23"/>
      <c r="N35" s="23"/>
      <c r="O35" s="23"/>
      <c r="P35" s="23"/>
      <c r="Q35" s="23"/>
    </row>
    <row r="36" spans="1:20">
      <c r="J36" s="23"/>
      <c r="K36" s="23"/>
      <c r="L36" s="23"/>
      <c r="M36" s="23"/>
      <c r="N36" s="23"/>
      <c r="O36" s="23"/>
      <c r="P36" s="23"/>
      <c r="Q36" s="23"/>
    </row>
    <row r="37" spans="1:20" ht="15" customHeight="1" thickBot="1">
      <c r="J37" s="73"/>
      <c r="K37" s="73"/>
      <c r="L37" s="73"/>
      <c r="M37" s="73"/>
      <c r="N37" s="73"/>
      <c r="O37" s="73"/>
      <c r="P37" s="73"/>
      <c r="Q37" s="73"/>
    </row>
    <row r="38" spans="1:20" ht="27.75" customHeight="1" thickBot="1">
      <c r="A38" s="489" t="s">
        <v>11</v>
      </c>
      <c r="B38" s="479"/>
      <c r="C38" s="479"/>
      <c r="D38" s="479"/>
      <c r="E38" s="479"/>
      <c r="F38" s="479"/>
      <c r="G38" s="479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T38" s="480"/>
    </row>
    <row r="39" spans="1:20" ht="15.75" thickBot="1"/>
    <row r="40" spans="1:20" ht="16.5" customHeight="1" thickTop="1" thickBot="1">
      <c r="B40" s="483" t="s">
        <v>19</v>
      </c>
      <c r="C40" s="484"/>
      <c r="D40" s="485"/>
      <c r="F40" s="491" t="s">
        <v>20</v>
      </c>
      <c r="G40" s="491"/>
      <c r="I40" s="35" t="s">
        <v>2</v>
      </c>
      <c r="J40" s="35" t="s">
        <v>13</v>
      </c>
      <c r="L40" s="492" t="s">
        <v>18</v>
      </c>
      <c r="M40" s="493"/>
    </row>
    <row r="41" spans="1:20" ht="16.5" thickTop="1" thickBot="1">
      <c r="B41" s="34" t="s">
        <v>14</v>
      </c>
      <c r="C41" s="34" t="s">
        <v>2</v>
      </c>
      <c r="D41" s="34" t="s">
        <v>12</v>
      </c>
      <c r="F41" s="26" t="s">
        <v>2</v>
      </c>
      <c r="G41" s="26" t="s">
        <v>12</v>
      </c>
      <c r="I41" s="25">
        <f>MAX(Enveloppe!I31:I56)</f>
        <v>15.3</v>
      </c>
      <c r="J41" s="25">
        <f>I41/3</f>
        <v>5.1000000000000005</v>
      </c>
      <c r="L41" s="21" t="s">
        <v>2</v>
      </c>
      <c r="M41" s="21" t="s">
        <v>12</v>
      </c>
    </row>
    <row r="42" spans="1:20" ht="16.5" thickTop="1" thickBot="1">
      <c r="B42" s="9">
        <v>0</v>
      </c>
      <c r="C42" s="29">
        <f>IF(Enveloppe!H31&lt;=Enveloppe!$J$26,Enveloppe!I31,NA())</f>
        <v>0</v>
      </c>
      <c r="D42" s="29">
        <f>IF(Enveloppe!H31&lt;=Enveloppe!$J$26,ABS(Enveloppe!J31)*(-1),NA())</f>
        <v>-112.5</v>
      </c>
      <c r="F42" s="29">
        <f>IF(Enveloppe!H31&lt;=Enveloppe!$J$26,Enveloppe!I31,NA())</f>
        <v>0</v>
      </c>
      <c r="G42" s="29">
        <f>IF(Enveloppe!H31&lt;=Enveloppe!$J$26,D42*1.4,NA())</f>
        <v>-157.5</v>
      </c>
      <c r="L42" s="29">
        <f t="array" ref="L42">IF(F42&lt;$J$41,F42,IF(AND(F42&gt;=$J$41,F42&lt;$I$41),$J$41,$I$41))</f>
        <v>0</v>
      </c>
      <c r="M42" s="29">
        <f t="array" ref="M42">IF(L42&gt;=$I$41,$G$42/2,IF(COUNTIF($F$42:$F$67,L42),INDEX($G$42:$G$67,MATCH(L42,$F$42:$F$67,0)),$J$43))</f>
        <v>-157.5</v>
      </c>
      <c r="N42" s="44"/>
    </row>
    <row r="43" spans="1:20" ht="16.5" thickTop="1" thickBot="1">
      <c r="B43" s="9">
        <v>1</v>
      </c>
      <c r="C43" s="29">
        <f>IF(Enveloppe!H32&lt;=Enveloppe!$J$26,Enveloppe!I32,NA())</f>
        <v>3.06</v>
      </c>
      <c r="D43" s="29">
        <f>IF(Enveloppe!H32&lt;=Enveloppe!$J$26,ABS(Enveloppe!J32)*(-1),NA())</f>
        <v>-51.27</v>
      </c>
      <c r="F43" s="29">
        <f>IF(Enveloppe!H32&lt;=Enveloppe!$J$26,Enveloppe!I32,NA())</f>
        <v>3.06</v>
      </c>
      <c r="G43" s="29">
        <f>IF(Enveloppe!H32&lt;=Enveloppe!$J$26,D43*1.4,NA())</f>
        <v>-71.778000000000006</v>
      </c>
      <c r="I43" s="31">
        <f>$J$41</f>
        <v>5.1000000000000005</v>
      </c>
      <c r="J43" s="31">
        <f t="array" ref="J43">FORECAST($J$41,J44:J45,I44:I45)</f>
        <v>-66.523333333333341</v>
      </c>
      <c r="L43" s="29">
        <f t="array" ref="L43">IF(F43&lt;$J$41,F43,IF(AND(F43&gt;=$J$41,F43&lt;$I$41),$J$41,$I$41))</f>
        <v>3.06</v>
      </c>
      <c r="M43" s="29">
        <f t="array" ref="M43">IF(L43&gt;=$I$41,$G$42/2,IF(COUNTIF($F$42:$F$67,L43),INDEX($G$42:$G$67,MATCH(L43,$F$42:$F$67,0)),$J$43))</f>
        <v>-71.778000000000006</v>
      </c>
      <c r="N43" s="44"/>
    </row>
    <row r="44" spans="1:20" ht="16.5" thickTop="1" thickBot="1">
      <c r="B44" s="9">
        <v>2</v>
      </c>
      <c r="C44" s="29">
        <f>IF(Enveloppe!H33&lt;=Enveloppe!$J$26,Enveloppe!I33,NA())</f>
        <v>6.12</v>
      </c>
      <c r="D44" s="29">
        <f>IF(Enveloppe!H33&lt;=Enveloppe!$J$26,ABS(Enveloppe!J33)*(-1),NA())</f>
        <v>-45.64</v>
      </c>
      <c r="F44" s="29">
        <f>IF(Enveloppe!H33&lt;=Enveloppe!$J$26,Enveloppe!I33,NA())</f>
        <v>6.12</v>
      </c>
      <c r="G44" s="29">
        <f>IF(Enveloppe!H33&lt;=Enveloppe!$J$26,D44*1.4,NA())</f>
        <v>-63.895999999999994</v>
      </c>
      <c r="I44" s="32">
        <f t="array" ref="I44">INDEX(F42:F67,MATCH(J41,F42:F67,1))</f>
        <v>3.06</v>
      </c>
      <c r="J44" s="33">
        <f t="array" ref="J44">INDEX(G42:G67,MATCH(J41,F42:F67,1))</f>
        <v>-71.778000000000006</v>
      </c>
      <c r="L44" s="29">
        <f t="array" ref="L44">IF(F44&lt;$J$41,F44,IF(AND(F44&gt;=$J$41,F44&lt;$I$41),$J$41,$I$41))</f>
        <v>5.1000000000000005</v>
      </c>
      <c r="M44" s="29">
        <f t="array" ref="M44">IF(L44&gt;=$I$41,$G$42/2,IF(COUNTIF($F$42:$F$67,L44),INDEX($G$42:$G$67,MATCH(L44,$F$42:$F$67,0)),$J$43))</f>
        <v>-66.523333333333341</v>
      </c>
      <c r="N44" s="44"/>
    </row>
    <row r="45" spans="1:20" ht="16.5" thickTop="1" thickBot="1">
      <c r="B45" s="9">
        <v>3</v>
      </c>
      <c r="C45" s="29">
        <f>IF(Enveloppe!H34&lt;=Enveloppe!$J$26,Enveloppe!I34,NA())</f>
        <v>9.18</v>
      </c>
      <c r="D45" s="29">
        <f>IF(Enveloppe!H34&lt;=Enveloppe!$J$26,ABS(Enveloppe!J34)*(-1),NA())</f>
        <v>-39.33</v>
      </c>
      <c r="F45" s="29">
        <f>IF(Enveloppe!H34&lt;=Enveloppe!$J$26,Enveloppe!I34,NA())</f>
        <v>9.18</v>
      </c>
      <c r="G45" s="29">
        <f>IF(Enveloppe!H34&lt;=Enveloppe!$J$26,D45*1.4,NA())</f>
        <v>-55.061999999999998</v>
      </c>
      <c r="I45" s="32">
        <f t="array" ref="I45">INDEX(F42:F67,MATCH(J41,F42:F67,1)+1)</f>
        <v>6.12</v>
      </c>
      <c r="J45" s="33">
        <f t="array" ref="J45">INDEX(G42:G67,MATCH(J41,F42:F67,1)+1)</f>
        <v>-63.895999999999994</v>
      </c>
      <c r="L45" s="29">
        <f t="array" ref="L45">IF(F45&lt;$J$41,F45,IF(AND(F45&gt;=$J$41,F45&lt;$I$41),$J$41,$I$41))</f>
        <v>5.1000000000000005</v>
      </c>
      <c r="M45" s="29">
        <f t="array" ref="M45">IF(L45&gt;=$I$41,$G$42/2,IF(COUNTIF($F$42:$F$67,L45),INDEX($G$42:$G$67,MATCH(L45,$F$42:$F$67,0)),$J$43))</f>
        <v>-66.523333333333341</v>
      </c>
      <c r="N45" s="44"/>
    </row>
    <row r="46" spans="1:20" ht="16.5" thickTop="1" thickBot="1">
      <c r="B46" s="9">
        <v>4</v>
      </c>
      <c r="C46" s="29">
        <f>IF(Enveloppe!H35&lt;=Enveloppe!$J$26,Enveloppe!I35,NA())</f>
        <v>12.24</v>
      </c>
      <c r="D46" s="29">
        <f>IF(Enveloppe!H35&lt;=Enveloppe!$J$26,ABS(Enveloppe!J35)*(-1),NA())</f>
        <v>-41.69</v>
      </c>
      <c r="F46" s="29">
        <f>IF(Enveloppe!H35&lt;=Enveloppe!$J$26,Enveloppe!I35,NA())</f>
        <v>12.24</v>
      </c>
      <c r="G46" s="29">
        <f>IF(Enveloppe!H35&lt;=Enveloppe!$J$26,D46*1.4,NA())</f>
        <v>-58.365999999999993</v>
      </c>
      <c r="I46" s="30"/>
      <c r="L46" s="29">
        <f t="array" ref="L46">IF(F46&lt;$J$41,F46,IF(AND(F46&gt;=$J$41,F46&lt;$I$41),$J$41,$I$41))</f>
        <v>5.1000000000000005</v>
      </c>
      <c r="M46" s="29">
        <f t="array" ref="M46">IF(L46&gt;=$I$41,$G$42/2,IF(COUNTIF($F$42:$F$67,L46),INDEX($G$42:$G$67,MATCH(L46,$F$42:$F$67,0)),$J$43))</f>
        <v>-66.523333333333341</v>
      </c>
      <c r="N46" s="44"/>
    </row>
    <row r="47" spans="1:20" ht="16.5" thickTop="1" thickBot="1">
      <c r="B47" s="9">
        <v>5</v>
      </c>
      <c r="C47" s="29">
        <f>IF(Enveloppe!H36&lt;=Enveloppe!$J$26,Enveloppe!I36,NA())</f>
        <v>15.3</v>
      </c>
      <c r="D47" s="29">
        <f>IF(Enveloppe!H36&lt;=Enveloppe!$J$26,ABS(Enveloppe!J36)*(-1),NA())</f>
        <v>-42.06</v>
      </c>
      <c r="F47" s="29">
        <f>IF(Enveloppe!H36&lt;=Enveloppe!$J$26,Enveloppe!I36,NA())</f>
        <v>15.3</v>
      </c>
      <c r="G47" s="29">
        <f>IF(Enveloppe!H36&lt;=Enveloppe!$J$26,D47*1.4,NA())</f>
        <v>-58.884</v>
      </c>
      <c r="L47" s="29">
        <f t="array" ref="L47">IF(F47&lt;$J$41,F47,IF(AND(F47&gt;=$J$41,F47&lt;$I$41),$J$41,$I$41))</f>
        <v>15.3</v>
      </c>
      <c r="M47" s="29">
        <f t="array" ref="M47">IF(L47&gt;=$I$41,$G$42/2,IF(COUNTIF($F$42:$F$67,L47),INDEX($G$42:$G$67,MATCH(L47,$F$42:$F$67,0)),$J$43))</f>
        <v>-78.75</v>
      </c>
      <c r="N47" s="44"/>
    </row>
    <row r="48" spans="1:20" ht="16.5" thickTop="1" thickBot="1">
      <c r="B48" s="9">
        <v>6</v>
      </c>
      <c r="C48" s="29" t="e">
        <f>IF(Enveloppe!H37&lt;=Enveloppe!$J$26,Enveloppe!I37,NA())</f>
        <v>#N/A</v>
      </c>
      <c r="D48" s="29" t="e">
        <f>IF(Enveloppe!H37&lt;=Enveloppe!$J$26,ABS(Enveloppe!J37)*(-1),NA())</f>
        <v>#N/A</v>
      </c>
      <c r="F48" s="29" t="e">
        <f>IF(Enveloppe!H37&lt;=Enveloppe!$J$26,Enveloppe!I37,NA())</f>
        <v>#N/A</v>
      </c>
      <c r="G48" s="29" t="e">
        <f>IF(Enveloppe!H37&lt;=Enveloppe!$J$26,D48*1.4,NA())</f>
        <v>#N/A</v>
      </c>
      <c r="I48" s="31">
        <f t="array" ref="I48">Enveloppe!$J$27</f>
        <v>6.12</v>
      </c>
      <c r="J48" s="31">
        <f t="array" ref="J48">IF($I$48&lt;=$J$41,INDEX(M42:M67,MATCH($I$48,L42:L67,1)),FORECAST($I$48,J49:J50,I49:I50))</f>
        <v>-67.746000000000009</v>
      </c>
      <c r="L48" s="29" t="e">
        <f t="array" ref="L48">IF(F48&lt;$J$41,F48,IF(AND(F48&gt;=$J$41,F48&lt;$I$41),$J$41,$I$41))</f>
        <v>#N/A</v>
      </c>
      <c r="M48" s="29" t="e">
        <f t="array" ref="M48">IF(L48&gt;=$I$41,$G$42/2,IF(COUNTIF($F$42:$F$67,L48),INDEX($G$42:$G$67,MATCH(L48,$F$42:$F$67,0)),$J$43))</f>
        <v>#N/A</v>
      </c>
      <c r="N48" s="44"/>
    </row>
    <row r="49" spans="2:14" ht="16.5" thickTop="1" thickBot="1">
      <c r="B49" s="9">
        <v>7</v>
      </c>
      <c r="C49" s="29" t="e">
        <f>IF(Enveloppe!H38&lt;=Enveloppe!$J$26,Enveloppe!I38,NA())</f>
        <v>#N/A</v>
      </c>
      <c r="D49" s="29" t="e">
        <f>IF(Enveloppe!H38&lt;=Enveloppe!$J$26,ABS(Enveloppe!J38)*(-1),NA())</f>
        <v>#N/A</v>
      </c>
      <c r="F49" s="29" t="e">
        <f>IF(Enveloppe!H38&lt;=Enveloppe!$J$26,Enveloppe!I38,NA())</f>
        <v>#N/A</v>
      </c>
      <c r="G49" s="29" t="e">
        <f>IF(Enveloppe!H38&lt;=Enveloppe!$J$26,D49*1.4,NA())</f>
        <v>#N/A</v>
      </c>
      <c r="I49" s="33">
        <f t="array" ref="I49">$J$41</f>
        <v>5.1000000000000005</v>
      </c>
      <c r="J49" s="33">
        <f t="array" ref="J49">INDEX(M42:M67,MATCH(I49,L42:L67,1))</f>
        <v>-66.523333333333341</v>
      </c>
      <c r="L49" s="29" t="e">
        <f t="array" ref="L49">IF(F49&lt;$J$41,F49,IF(AND(F49&gt;=$J$41,F49&lt;$I$41),$J$41,$I$41))</f>
        <v>#N/A</v>
      </c>
      <c r="M49" s="29" t="e">
        <f t="array" ref="M49">IF(L49&gt;=$I$41,$G$42/2,IF(COUNTIF($F$42:$F$67,L49),INDEX($G$42:$G$67,MATCH(L49,$F$42:$F$67,0)),$J$43))</f>
        <v>#N/A</v>
      </c>
      <c r="N49" s="44"/>
    </row>
    <row r="50" spans="2:14" ht="16.5" thickTop="1" thickBot="1">
      <c r="B50" s="9">
        <v>8</v>
      </c>
      <c r="C50" s="29" t="e">
        <f>IF(Enveloppe!H39&lt;=Enveloppe!$J$26,Enveloppe!I39,NA())</f>
        <v>#N/A</v>
      </c>
      <c r="D50" s="29" t="e">
        <f>IF(Enveloppe!H39&lt;=Enveloppe!$J$26,ABS(Enveloppe!J39)*(-1),NA())</f>
        <v>#N/A</v>
      </c>
      <c r="F50" s="29" t="e">
        <f>IF(Enveloppe!H39&lt;=Enveloppe!$J$26,Enveloppe!I39,NA())</f>
        <v>#N/A</v>
      </c>
      <c r="G50" s="29" t="e">
        <f>IF(Enveloppe!H39&lt;=Enveloppe!$J$26,D50*1.4,NA())</f>
        <v>#N/A</v>
      </c>
      <c r="I50" s="33">
        <f>I41</f>
        <v>15.3</v>
      </c>
      <c r="J50" s="33">
        <f t="array" ref="J50">INDEX(M42:M67,MATCH(I50,L42:L67,1))</f>
        <v>-78.75</v>
      </c>
      <c r="L50" s="29" t="e">
        <f t="array" ref="L50">IF(F50&lt;$J$41,F50,IF(AND(F50&gt;=$J$41,F50&lt;$I$41),$J$41,$I$41))</f>
        <v>#N/A</v>
      </c>
      <c r="M50" s="29" t="e">
        <f t="array" ref="M50">IF(L50&gt;=$I$41,$G$42/2,IF(COUNTIF($F$42:$F$67,L50),INDEX($G$42:$G$67,MATCH(L50,$F$42:$F$67,0)),$J$43))</f>
        <v>#N/A</v>
      </c>
      <c r="N50" s="44"/>
    </row>
    <row r="51" spans="2:14" ht="16.5" thickTop="1" thickBot="1">
      <c r="B51" s="9">
        <v>9</v>
      </c>
      <c r="C51" s="29" t="e">
        <f>IF(Enveloppe!H40&lt;=Enveloppe!$J$26,Enveloppe!I40,NA())</f>
        <v>#N/A</v>
      </c>
      <c r="D51" s="29" t="e">
        <f>IF(Enveloppe!H40&lt;=Enveloppe!$J$26,ABS(Enveloppe!J40)*(-1),NA())</f>
        <v>#N/A</v>
      </c>
      <c r="F51" s="29" t="e">
        <f>IF(Enveloppe!H40&lt;=Enveloppe!$J$26,Enveloppe!I40,NA())</f>
        <v>#N/A</v>
      </c>
      <c r="G51" s="29" t="e">
        <f>IF(Enveloppe!H40&lt;=Enveloppe!$J$26,D51*1.4,NA())</f>
        <v>#N/A</v>
      </c>
      <c r="L51" s="29" t="e">
        <f t="array" ref="L51">IF(F51&lt;$J$41,F51,IF(AND(F51&gt;=$J$41,F51&lt;$I$41),$J$41,$I$41))</f>
        <v>#N/A</v>
      </c>
      <c r="M51" s="29" t="e">
        <f t="array" ref="M51">IF(L51&gt;=$I$41,$G$42/2,IF(COUNTIF($F$42:$F$67,L51),INDEX($G$42:$G$67,MATCH(L51,$F$42:$F$67,0)),$J$43))</f>
        <v>#N/A</v>
      </c>
      <c r="N51" s="44"/>
    </row>
    <row r="52" spans="2:14" ht="16.5" thickTop="1" thickBot="1">
      <c r="B52" s="9">
        <v>10</v>
      </c>
      <c r="C52" s="29" t="e">
        <f>IF(Enveloppe!H41&lt;=Enveloppe!$J$26,Enveloppe!I41,NA())</f>
        <v>#N/A</v>
      </c>
      <c r="D52" s="29" t="e">
        <f>IF(Enveloppe!H41&lt;=Enveloppe!$J$26,ABS(Enveloppe!J41)*(-1),NA())</f>
        <v>#N/A</v>
      </c>
      <c r="F52" s="29" t="e">
        <f>IF(Enveloppe!H41&lt;=Enveloppe!$J$26,Enveloppe!I41,NA())</f>
        <v>#N/A</v>
      </c>
      <c r="G52" s="29" t="e">
        <f>IF(Enveloppe!H41&lt;=Enveloppe!$J$26,D52*1.4,NA())</f>
        <v>#N/A</v>
      </c>
      <c r="L52" s="29" t="e">
        <f t="array" ref="L52">IF(F52&lt;$J$41,F52,IF(AND(F52&gt;=$J$41,F52&lt;$I$41),$J$41,$I$41))</f>
        <v>#N/A</v>
      </c>
      <c r="M52" s="29" t="e">
        <f t="array" ref="M52">IF(L52&gt;=$I$41,$G$42/2,IF(COUNTIF($F$42:$F$67,L52),INDEX($G$42:$G$67,MATCH(L52,$F$42:$F$67,0)),$J$43))</f>
        <v>#N/A</v>
      </c>
      <c r="N52" s="44"/>
    </row>
    <row r="53" spans="2:14" ht="16.5" thickTop="1" thickBot="1">
      <c r="B53" s="9">
        <v>11</v>
      </c>
      <c r="C53" s="29" t="e">
        <f>IF(Enveloppe!H42&lt;=Enveloppe!$J$26,Enveloppe!I42,NA())</f>
        <v>#N/A</v>
      </c>
      <c r="D53" s="29" t="e">
        <f>IF(Enveloppe!H42&lt;=Enveloppe!$J$26,ABS(Enveloppe!J42)*(-1),NA())</f>
        <v>#N/A</v>
      </c>
      <c r="F53" s="29" t="e">
        <f>IF(Enveloppe!H42&lt;=Enveloppe!$J$26,Enveloppe!I42,NA())</f>
        <v>#N/A</v>
      </c>
      <c r="G53" s="29" t="e">
        <f>IF(Enveloppe!H42&lt;=Enveloppe!$J$26,D53*1.4,NA())</f>
        <v>#N/A</v>
      </c>
      <c r="L53" s="29" t="e">
        <f t="array" ref="L53">IF(F53&lt;$J$41,F53,IF(AND(F53&gt;=$J$41,F53&lt;$I$41),$J$41,$I$41))</f>
        <v>#N/A</v>
      </c>
      <c r="M53" s="29" t="e">
        <f t="array" ref="M53">IF(L53&gt;=$I$41,$G$42/2,IF(COUNTIF($F$42:$F$67,L53),INDEX($G$42:$G$67,MATCH(L53,$F$42:$F$67,0)),$J$43))</f>
        <v>#N/A</v>
      </c>
      <c r="N53" s="44"/>
    </row>
    <row r="54" spans="2:14" ht="16.5" thickTop="1" thickBot="1">
      <c r="B54" s="9">
        <v>12</v>
      </c>
      <c r="C54" s="29" t="e">
        <f>IF(Enveloppe!H43&lt;=Enveloppe!$J$26,Enveloppe!I43,NA())</f>
        <v>#N/A</v>
      </c>
      <c r="D54" s="29" t="e">
        <f>IF(Enveloppe!H43&lt;=Enveloppe!$J$26,ABS(Enveloppe!J43)*(-1),NA())</f>
        <v>#N/A</v>
      </c>
      <c r="F54" s="29" t="e">
        <f>IF(Enveloppe!H43&lt;=Enveloppe!$J$26,Enveloppe!I43,NA())</f>
        <v>#N/A</v>
      </c>
      <c r="G54" s="29" t="e">
        <f>IF(Enveloppe!H43&lt;=Enveloppe!$J$26,D54*1.4,NA())</f>
        <v>#N/A</v>
      </c>
      <c r="L54" s="29" t="e">
        <f t="array" ref="L54">IF(F54&lt;$J$41,F54,IF(AND(F54&gt;=$J$41,F54&lt;$I$41),$J$41,$I$41))</f>
        <v>#N/A</v>
      </c>
      <c r="M54" s="29" t="e">
        <f t="array" ref="M54">IF(L54&gt;=$I$41,$G$42/2,IF(COUNTIF($F$42:$F$67,L54),INDEX($G$42:$G$67,MATCH(L54,$F$42:$F$67,0)),$J$43))</f>
        <v>#N/A</v>
      </c>
      <c r="N54" s="44"/>
    </row>
    <row r="55" spans="2:14" ht="16.5" thickTop="1" thickBot="1">
      <c r="B55" s="9">
        <v>13</v>
      </c>
      <c r="C55" s="29" t="e">
        <f>IF(Enveloppe!H44&lt;=Enveloppe!$J$26,Enveloppe!I44,NA())</f>
        <v>#N/A</v>
      </c>
      <c r="D55" s="29" t="e">
        <f>IF(Enveloppe!H44&lt;=Enveloppe!$J$26,ABS(Enveloppe!J44)*(-1),NA())</f>
        <v>#N/A</v>
      </c>
      <c r="F55" s="29" t="e">
        <f>IF(Enveloppe!H44&lt;=Enveloppe!$J$26,Enveloppe!I44,NA())</f>
        <v>#N/A</v>
      </c>
      <c r="G55" s="29" t="e">
        <f>IF(Enveloppe!H44&lt;=Enveloppe!$J$26,D55*1.4,NA())</f>
        <v>#N/A</v>
      </c>
      <c r="L55" s="29" t="e">
        <f t="array" ref="L55">IF(F55&lt;$J$41,F55,IF(AND(F55&gt;=$J$41,F55&lt;$I$41),$J$41,$I$41))</f>
        <v>#N/A</v>
      </c>
      <c r="M55" s="29" t="e">
        <f t="array" ref="M55">IF(L55&gt;=$I$41,$G$42/2,IF(COUNTIF($F$42:$F$67,L55),INDEX($G$42:$G$67,MATCH(L55,$F$42:$F$67,0)),$J$43))</f>
        <v>#N/A</v>
      </c>
      <c r="N55" s="44"/>
    </row>
    <row r="56" spans="2:14" ht="16.5" thickTop="1" thickBot="1">
      <c r="B56" s="9">
        <v>14</v>
      </c>
      <c r="C56" s="29" t="e">
        <f>IF(Enveloppe!H45&lt;=Enveloppe!$J$26,Enveloppe!I45,NA())</f>
        <v>#N/A</v>
      </c>
      <c r="D56" s="29" t="e">
        <f>IF(Enveloppe!H45&lt;=Enveloppe!$J$26,ABS(Enveloppe!J45)*(-1),NA())</f>
        <v>#N/A</v>
      </c>
      <c r="F56" s="29" t="e">
        <f>IF(Enveloppe!H45&lt;=Enveloppe!$J$26,Enveloppe!I45,NA())</f>
        <v>#N/A</v>
      </c>
      <c r="G56" s="29" t="e">
        <f>IF(Enveloppe!H45&lt;=Enveloppe!$J$26,D56*1.4,NA())</f>
        <v>#N/A</v>
      </c>
      <c r="L56" s="29" t="e">
        <f t="array" ref="L56">IF(F56&lt;$J$41,F56,IF(AND(F56&gt;=$J$41,F56&lt;$I$41),$J$41,$I$41))</f>
        <v>#N/A</v>
      </c>
      <c r="M56" s="29" t="e">
        <f t="array" ref="M56">IF(L56&gt;=$I$41,$G$42/2,IF(COUNTIF($F$42:$F$67,L56),INDEX($G$42:$G$67,MATCH(L56,$F$42:$F$67,0)),$J$43))</f>
        <v>#N/A</v>
      </c>
      <c r="N56" s="44"/>
    </row>
    <row r="57" spans="2:14" ht="16.5" thickTop="1" thickBot="1">
      <c r="B57" s="9">
        <v>15</v>
      </c>
      <c r="C57" s="29" t="e">
        <f>IF(Enveloppe!H46&lt;=Enveloppe!$J$26,Enveloppe!I46,NA())</f>
        <v>#N/A</v>
      </c>
      <c r="D57" s="29" t="e">
        <f>IF(Enveloppe!H46&lt;=Enveloppe!$J$26,ABS(Enveloppe!J46)*(-1),NA())</f>
        <v>#N/A</v>
      </c>
      <c r="F57" s="29" t="e">
        <f>IF(Enveloppe!H46&lt;=Enveloppe!$J$26,Enveloppe!I46,NA())</f>
        <v>#N/A</v>
      </c>
      <c r="G57" s="29" t="e">
        <f>IF(Enveloppe!H46&lt;=Enveloppe!$J$26,D57*1.4,NA())</f>
        <v>#N/A</v>
      </c>
      <c r="L57" s="29" t="e">
        <f t="array" ref="L57">IF(F57&lt;$J$41,F57,IF(AND(F57&gt;=$J$41,F57&lt;$I$41),$J$41,$I$41))</f>
        <v>#N/A</v>
      </c>
      <c r="M57" s="29" t="e">
        <f t="array" ref="M57">IF(L57&gt;=$I$41,$G$42/2,IF(COUNTIF($F$42:$F$67,L57),INDEX($G$42:$G$67,MATCH(L57,$F$42:$F$67,0)),$J$43))</f>
        <v>#N/A</v>
      </c>
      <c r="N57" s="44"/>
    </row>
    <row r="58" spans="2:14" ht="16.5" thickTop="1" thickBot="1">
      <c r="B58" s="9">
        <v>16</v>
      </c>
      <c r="C58" s="29" t="e">
        <f>IF(Enveloppe!H47&lt;=Enveloppe!$J$26,Enveloppe!I47,NA())</f>
        <v>#N/A</v>
      </c>
      <c r="D58" s="29" t="e">
        <f>IF(Enveloppe!H47&lt;=Enveloppe!$J$26,ABS(Enveloppe!J47)*(-1),NA())</f>
        <v>#N/A</v>
      </c>
      <c r="F58" s="29" t="e">
        <f>IF(Enveloppe!H47&lt;=Enveloppe!$J$26,Enveloppe!I47,NA())</f>
        <v>#N/A</v>
      </c>
      <c r="G58" s="29" t="e">
        <f>IF(Enveloppe!H47&lt;=Enveloppe!$J$26,D58*1.4,NA())</f>
        <v>#N/A</v>
      </c>
      <c r="L58" s="29" t="e">
        <f t="array" ref="L58">IF(F58&lt;$J$41,F58,IF(AND(F58&gt;=$J$41,F58&lt;$I$41),$J$41,$I$41))</f>
        <v>#N/A</v>
      </c>
      <c r="M58" s="29" t="e">
        <f t="array" ref="M58">IF(L58&gt;=$I$41,$G$42/2,IF(COUNTIF($F$42:$F$67,L58),INDEX($G$42:$G$67,MATCH(L58,$F$42:$F$67,0)),$J$43))</f>
        <v>#N/A</v>
      </c>
      <c r="N58" s="44"/>
    </row>
    <row r="59" spans="2:14" ht="16.5" thickTop="1" thickBot="1">
      <c r="B59" s="9">
        <v>17</v>
      </c>
      <c r="C59" s="29" t="e">
        <f>IF(Enveloppe!H48&lt;=Enveloppe!$J$26,Enveloppe!I48,NA())</f>
        <v>#N/A</v>
      </c>
      <c r="D59" s="29" t="e">
        <f>IF(Enveloppe!H48&lt;=Enveloppe!$J$26,ABS(Enveloppe!J48)*(-1),NA())</f>
        <v>#N/A</v>
      </c>
      <c r="F59" s="29" t="e">
        <f>IF(Enveloppe!H48&lt;=Enveloppe!$J$26,Enveloppe!I48,NA())</f>
        <v>#N/A</v>
      </c>
      <c r="G59" s="29" t="e">
        <f>IF(Enveloppe!H48&lt;=Enveloppe!$J$26,D59*1.4,NA())</f>
        <v>#N/A</v>
      </c>
      <c r="L59" s="29" t="e">
        <f t="array" ref="L59">IF(F59&lt;$J$41,F59,IF(AND(F59&gt;=$J$41,F59&lt;$I$41),$J$41,$I$41))</f>
        <v>#N/A</v>
      </c>
      <c r="M59" s="29" t="e">
        <f t="array" ref="M59">IF(L59&gt;=$I$41,$G$42/2,IF(COUNTIF($F$42:$F$67,L59),INDEX($G$42:$G$67,MATCH(L59,$F$42:$F$67,0)),$J$43))</f>
        <v>#N/A</v>
      </c>
      <c r="N59" s="44"/>
    </row>
    <row r="60" spans="2:14" ht="16.5" thickTop="1" thickBot="1">
      <c r="B60" s="9">
        <v>18</v>
      </c>
      <c r="C60" s="29" t="e">
        <f>IF(Enveloppe!H49&lt;=Enveloppe!$J$26,Enveloppe!I49,NA())</f>
        <v>#N/A</v>
      </c>
      <c r="D60" s="29" t="e">
        <f>IF(Enveloppe!H49&lt;=Enveloppe!$J$26,ABS(Enveloppe!J49)*(-1),NA())</f>
        <v>#N/A</v>
      </c>
      <c r="F60" s="29" t="e">
        <f>IF(Enveloppe!H49&lt;=Enveloppe!$J$26,Enveloppe!I49,NA())</f>
        <v>#N/A</v>
      </c>
      <c r="G60" s="29" t="e">
        <f>IF(Enveloppe!H49&lt;=Enveloppe!$J$26,D60*1.4,NA())</f>
        <v>#N/A</v>
      </c>
      <c r="L60" s="29" t="e">
        <f t="array" ref="L60">IF(F60&lt;$J$41,F60,IF(AND(F60&gt;=$J$41,F60&lt;$I$41),$J$41,$I$41))</f>
        <v>#N/A</v>
      </c>
      <c r="M60" s="29" t="e">
        <f t="array" ref="M60">IF(L60&gt;=$I$41,$G$42/2,IF(COUNTIF($F$42:$F$67,L60),INDEX($G$42:$G$67,MATCH(L60,$F$42:$F$67,0)),$J$43))</f>
        <v>#N/A</v>
      </c>
      <c r="N60" s="44"/>
    </row>
    <row r="61" spans="2:14" ht="16.5" thickTop="1" thickBot="1">
      <c r="B61" s="9">
        <v>19</v>
      </c>
      <c r="C61" s="29" t="e">
        <f>IF(Enveloppe!H50&lt;=Enveloppe!$J$26,Enveloppe!I50,NA())</f>
        <v>#N/A</v>
      </c>
      <c r="D61" s="29" t="e">
        <f>IF(Enveloppe!H50&lt;=Enveloppe!$J$26,ABS(Enveloppe!J50)*(-1),NA())</f>
        <v>#N/A</v>
      </c>
      <c r="F61" s="29" t="e">
        <f>IF(Enveloppe!H50&lt;=Enveloppe!$J$26,Enveloppe!I50,NA())</f>
        <v>#N/A</v>
      </c>
      <c r="G61" s="29" t="e">
        <f>IF(Enveloppe!H50&lt;=Enveloppe!$J$26,D61*1.4,NA())</f>
        <v>#N/A</v>
      </c>
      <c r="L61" s="29" t="e">
        <f t="array" ref="L61">IF(F61&lt;$J$41,F61,IF(AND(F61&gt;=$J$41,F61&lt;$I$41),$J$41,$I$41))</f>
        <v>#N/A</v>
      </c>
      <c r="M61" s="29" t="e">
        <f t="array" ref="M61">IF(L61&gt;=$I$41,$G$42/2,IF(COUNTIF($F$42:$F$67,L61),INDEX($G$42:$G$67,MATCH(L61,$F$42:$F$67,0)),$J$43))</f>
        <v>#N/A</v>
      </c>
      <c r="N61" s="44"/>
    </row>
    <row r="62" spans="2:14" ht="16.5" thickTop="1" thickBot="1">
      <c r="B62" s="9">
        <v>20</v>
      </c>
      <c r="C62" s="29" t="e">
        <f>IF(Enveloppe!H51&lt;=Enveloppe!$J$26,Enveloppe!I51,NA())</f>
        <v>#N/A</v>
      </c>
      <c r="D62" s="29" t="e">
        <f>IF(Enveloppe!H51&lt;=Enveloppe!$J$26,ABS(Enveloppe!J51)*(-1),NA())</f>
        <v>#N/A</v>
      </c>
      <c r="F62" s="29" t="e">
        <f>IF(Enveloppe!H51&lt;=Enveloppe!$J$26,Enveloppe!I51,NA())</f>
        <v>#N/A</v>
      </c>
      <c r="G62" s="29" t="e">
        <f>IF(Enveloppe!H51&lt;=Enveloppe!$J$26,D62*1.4,NA())</f>
        <v>#N/A</v>
      </c>
      <c r="L62" s="29" t="e">
        <f t="array" ref="L62">IF(F62&lt;$J$41,F62,IF(AND(F62&gt;=$J$41,F62&lt;$I$41),$J$41,$I$41))</f>
        <v>#N/A</v>
      </c>
      <c r="M62" s="29" t="e">
        <f t="array" ref="M62">IF(L62&gt;=$I$41,$G$42/2,IF(COUNTIF($F$42:$F$67,L62),INDEX($G$42:$G$67,MATCH(L62,$F$42:$F$67,0)),$J$43))</f>
        <v>#N/A</v>
      </c>
      <c r="N62" s="44"/>
    </row>
    <row r="63" spans="2:14" ht="16.5" thickTop="1" thickBot="1">
      <c r="B63" s="9">
        <v>21</v>
      </c>
      <c r="C63" s="29" t="e">
        <f>IF(Enveloppe!H52&lt;=Enveloppe!$J$26,Enveloppe!I52,NA())</f>
        <v>#N/A</v>
      </c>
      <c r="D63" s="29" t="e">
        <f>IF(Enveloppe!H52&lt;=Enveloppe!$J$26,ABS(Enveloppe!J52)*(-1),NA())</f>
        <v>#N/A</v>
      </c>
      <c r="F63" s="29" t="e">
        <f>IF(Enveloppe!H52&lt;=Enveloppe!$J$26,Enveloppe!I52,NA())</f>
        <v>#N/A</v>
      </c>
      <c r="G63" s="29" t="e">
        <f>IF(Enveloppe!H52&lt;=Enveloppe!$J$26,D63*1.4,NA())</f>
        <v>#N/A</v>
      </c>
      <c r="L63" s="29" t="e">
        <f t="array" ref="L63">IF(F63&lt;$J$41,F63,IF(AND(F63&gt;=$J$41,F63&lt;$I$41),$J$41,$I$41))</f>
        <v>#N/A</v>
      </c>
      <c r="M63" s="29" t="e">
        <f t="array" ref="M63">IF(L63&gt;=$I$41,$G$42/2,IF(COUNTIF($F$42:$F$67,L63),INDEX($G$42:$G$67,MATCH(L63,$F$42:$F$67,0)),$J$43))</f>
        <v>#N/A</v>
      </c>
      <c r="N63" s="44"/>
    </row>
    <row r="64" spans="2:14" ht="16.5" thickTop="1" thickBot="1">
      <c r="B64" s="9">
        <v>22</v>
      </c>
      <c r="C64" s="29" t="e">
        <f>IF(Enveloppe!H53&lt;=Enveloppe!$J$26,Enveloppe!I53,NA())</f>
        <v>#N/A</v>
      </c>
      <c r="D64" s="29" t="e">
        <f>IF(Enveloppe!H53&lt;=Enveloppe!$J$26,ABS(Enveloppe!J53)*(-1),NA())</f>
        <v>#N/A</v>
      </c>
      <c r="F64" s="29" t="e">
        <f>IF(Enveloppe!H53&lt;=Enveloppe!$J$26,Enveloppe!I53,NA())</f>
        <v>#N/A</v>
      </c>
      <c r="G64" s="29" t="e">
        <f>IF(Enveloppe!H53&lt;=Enveloppe!$J$26,D64*1.4,NA())</f>
        <v>#N/A</v>
      </c>
      <c r="L64" s="29" t="e">
        <f t="array" ref="L64">IF(F64&lt;$J$41,F64,IF(AND(F64&gt;=$J$41,F64&lt;$I$41),$J$41,$I$41))</f>
        <v>#N/A</v>
      </c>
      <c r="M64" s="29" t="e">
        <f t="array" ref="M64">IF(L64&gt;=$I$41,$G$42/2,IF(COUNTIF($F$42:$F$67,L64),INDEX($G$42:$G$67,MATCH(L64,$F$42:$F$67,0)),$J$43))</f>
        <v>#N/A</v>
      </c>
      <c r="N64" s="44"/>
    </row>
    <row r="65" spans="1:20" ht="16.5" thickTop="1" thickBot="1">
      <c r="B65" s="9">
        <v>23</v>
      </c>
      <c r="C65" s="29" t="e">
        <f>IF(Enveloppe!H54&lt;=Enveloppe!$J$26,Enveloppe!I54,NA())</f>
        <v>#N/A</v>
      </c>
      <c r="D65" s="29" t="e">
        <f>IF(Enveloppe!H54&lt;=Enveloppe!$J$26,ABS(Enveloppe!J54)*(-1),NA())</f>
        <v>#N/A</v>
      </c>
      <c r="F65" s="29" t="e">
        <f>IF(Enveloppe!H54&lt;=Enveloppe!$J$26,Enveloppe!I54,NA())</f>
        <v>#N/A</v>
      </c>
      <c r="G65" s="29" t="e">
        <f>IF(Enveloppe!H54&lt;=Enveloppe!$J$26,D65*1.4,NA())</f>
        <v>#N/A</v>
      </c>
      <c r="L65" s="29" t="e">
        <f t="array" ref="L65">IF(F65&lt;$J$41,F65,IF(AND(F65&gt;=$J$41,F65&lt;$I$41),$J$41,$I$41))</f>
        <v>#N/A</v>
      </c>
      <c r="M65" s="29" t="e">
        <f t="array" ref="M65">IF(L65&gt;=$I$41,$G$42/2,IF(COUNTIF($F$42:$F$67,L65),INDEX($G$42:$G$67,MATCH(L65,$F$42:$F$67,0)),$J$43))</f>
        <v>#N/A</v>
      </c>
      <c r="N65" s="44"/>
    </row>
    <row r="66" spans="1:20" ht="16.5" thickTop="1" thickBot="1">
      <c r="B66" s="9">
        <v>24</v>
      </c>
      <c r="C66" s="29" t="e">
        <f>IF(Enveloppe!H55&lt;=Enveloppe!$J$26,Enveloppe!I55,NA())</f>
        <v>#N/A</v>
      </c>
      <c r="D66" s="29" t="e">
        <f>IF(Enveloppe!H55&lt;=Enveloppe!$J$26,ABS(Enveloppe!J55)*(-1),NA())</f>
        <v>#N/A</v>
      </c>
      <c r="F66" s="29" t="e">
        <f>IF(Enveloppe!H55&lt;=Enveloppe!$J$26,Enveloppe!I55,NA())</f>
        <v>#N/A</v>
      </c>
      <c r="G66" s="29" t="e">
        <f>IF(Enveloppe!H55&lt;=Enveloppe!$J$26,D66*1.4,NA())</f>
        <v>#N/A</v>
      </c>
      <c r="L66" s="29" t="e">
        <f t="array" ref="L66">IF(F66&lt;$J$41,F66,IF(AND(F66&gt;=$J$41,F66&lt;$I$41),$J$41,$I$41))</f>
        <v>#N/A</v>
      </c>
      <c r="M66" s="29" t="e">
        <f t="array" ref="M66">IF(L66&gt;=$I$41,$G$42/2,IF(COUNTIF($F$42:$F$67,L66),INDEX($G$42:$G$67,MATCH(L66,$F$42:$F$67,0)),$J$43))</f>
        <v>#N/A</v>
      </c>
      <c r="N66" s="44"/>
    </row>
    <row r="67" spans="1:20" ht="16.5" thickTop="1" thickBot="1">
      <c r="B67" s="9">
        <v>25</v>
      </c>
      <c r="C67" s="29" t="e">
        <f>IF(Enveloppe!H56&lt;=Enveloppe!$J$26,Enveloppe!I56,NA())</f>
        <v>#N/A</v>
      </c>
      <c r="D67" s="29" t="e">
        <f>IF(Enveloppe!H56&lt;=Enveloppe!$J$26,ABS(Enveloppe!J56)*(-1),NA())</f>
        <v>#N/A</v>
      </c>
      <c r="F67" s="29" t="e">
        <f>IF(Enveloppe!H56&lt;=Enveloppe!$J$26,Enveloppe!I56,NA())</f>
        <v>#N/A</v>
      </c>
      <c r="G67" s="29" t="e">
        <f>IF(Enveloppe!H56&lt;=Enveloppe!$J$26,D67*1.4,NA())</f>
        <v>#N/A</v>
      </c>
      <c r="L67" s="29" t="e">
        <f t="array" ref="L67">IF(F67&lt;$J$41,F67,IF(AND(F67&gt;=$J$41,F67&lt;$I$41),$J$41,$I$41))</f>
        <v>#N/A</v>
      </c>
      <c r="M67" s="29" t="e">
        <f t="array" ref="M67">IF(L67&gt;=$I$41,$G$42/2,IF(COUNTIF($F$42:$F$67,L67),INDEX($G$42:$G$67,MATCH(L67,$F$42:$F$67,0)),$J$43))</f>
        <v>#N/A</v>
      </c>
      <c r="N67" s="44"/>
    </row>
    <row r="68" spans="1:20" ht="15.75" thickTop="1"/>
    <row r="69" spans="1:20" ht="15.75" thickBot="1"/>
    <row r="70" spans="1:20" ht="23.25" customHeight="1" thickBot="1">
      <c r="A70" s="489" t="s">
        <v>63</v>
      </c>
      <c r="B70" s="479"/>
      <c r="C70" s="479"/>
      <c r="D70" s="479"/>
      <c r="E70" s="479"/>
      <c r="F70" s="479"/>
      <c r="G70" s="479"/>
      <c r="H70" s="479"/>
      <c r="I70" s="479"/>
      <c r="J70" s="479"/>
      <c r="K70" s="479"/>
      <c r="L70" s="479"/>
      <c r="M70" s="479"/>
      <c r="N70" s="479"/>
      <c r="O70" s="479"/>
      <c r="P70" s="479"/>
      <c r="Q70" s="479"/>
      <c r="R70" s="479"/>
      <c r="S70" s="479"/>
      <c r="T70" s="480"/>
    </row>
    <row r="71" spans="1:20" ht="15.75" thickBot="1"/>
    <row r="72" spans="1:20" ht="18" thickTop="1" thickBot="1">
      <c r="E72" s="42" t="s">
        <v>25</v>
      </c>
      <c r="F72" s="42" t="s">
        <v>30</v>
      </c>
      <c r="G72" s="212" t="s">
        <v>214</v>
      </c>
      <c r="H72" s="66" t="s">
        <v>57</v>
      </c>
      <c r="I72" s="66" t="s">
        <v>32</v>
      </c>
      <c r="J72" s="81" t="s">
        <v>37</v>
      </c>
      <c r="K72" s="66" t="s">
        <v>48</v>
      </c>
      <c r="L72" s="66" t="s">
        <v>31</v>
      </c>
      <c r="M72" s="66" t="s">
        <v>52</v>
      </c>
      <c r="N72" s="66" t="s">
        <v>49</v>
      </c>
      <c r="O72" s="66" t="s">
        <v>50</v>
      </c>
      <c r="P72" s="66" t="s">
        <v>51</v>
      </c>
      <c r="Q72" s="496" t="s">
        <v>83</v>
      </c>
      <c r="R72" s="497"/>
      <c r="S72" s="496" t="s">
        <v>228</v>
      </c>
      <c r="T72" s="497"/>
    </row>
    <row r="73" spans="1:20" ht="17.25" thickTop="1" thickBot="1">
      <c r="E73" s="51">
        <f>' Données'!G6</f>
        <v>1.6</v>
      </c>
      <c r="F73" s="51">
        <f>' Données'!H6</f>
        <v>0.2</v>
      </c>
      <c r="G73" s="51">
        <f>'Zone critique'!$C$13/100</f>
        <v>0.2</v>
      </c>
      <c r="H73" s="51">
        <f>'Zone critique'!C12</f>
        <v>35</v>
      </c>
      <c r="I73" s="51">
        <f>'Zone critique'!E7</f>
        <v>2.5</v>
      </c>
      <c r="J73" s="51">
        <f>'Zone critique'!$M$31</f>
        <v>120</v>
      </c>
      <c r="K73" s="74">
        <f>'Zone critique'!F7</f>
        <v>25</v>
      </c>
      <c r="L73" s="74">
        <f>'Zone critique'!G7</f>
        <v>400</v>
      </c>
      <c r="M73" s="68">
        <f>ROUND(0.85*K73/1.15,2)</f>
        <v>18.48</v>
      </c>
      <c r="N73" s="69">
        <f>F73*E73</f>
        <v>0.32000000000000006</v>
      </c>
      <c r="O73" s="68">
        <f>ROUND(F73*E73^3/12,4)</f>
        <v>6.83E-2</v>
      </c>
      <c r="P73" s="69">
        <f>ROUND(E73/2,4)</f>
        <v>0.8</v>
      </c>
      <c r="Q73" s="498">
        <f>INDEX(F79:F99,MATCH($G$32,F79:F99,1)+1)</f>
        <v>3.06</v>
      </c>
      <c r="R73" s="499"/>
      <c r="S73" s="498">
        <f>INDEX(F79:F99,MATCH($G$32,F79:F99,1)+2)</f>
        <v>6.12</v>
      </c>
      <c r="T73" s="499"/>
    </row>
    <row r="74" spans="1:20" ht="17.25" thickTop="1" thickBot="1">
      <c r="D74" s="78"/>
      <c r="E74" s="386" t="s">
        <v>11</v>
      </c>
      <c r="F74" s="387"/>
      <c r="G74" s="387"/>
      <c r="H74" s="387"/>
      <c r="I74" s="388"/>
      <c r="J74" s="386" t="s">
        <v>10</v>
      </c>
      <c r="K74" s="387"/>
      <c r="L74" s="387"/>
      <c r="M74" s="387"/>
      <c r="N74" s="387"/>
      <c r="O74" s="388"/>
      <c r="P74" s="215" t="s">
        <v>216</v>
      </c>
      <c r="Q74" s="215" t="s">
        <v>217</v>
      </c>
    </row>
    <row r="75" spans="1:20" ht="17.25" thickTop="1" thickBot="1">
      <c r="E75" s="501" t="str">
        <f>IF(AND($J$75="OUI",OR(' Données'!$D$8=B105,' Données'!$D$8=B106,' Données'!$D$8=B107)),"OUI","NON")</f>
        <v>OUI</v>
      </c>
      <c r="F75" s="502"/>
      <c r="G75" s="502"/>
      <c r="H75" s="502"/>
      <c r="I75" s="503"/>
      <c r="J75" s="501" t="str">
        <f>IF(' Données'!$I$10="VOILES ELANCES","OUI","NON")</f>
        <v>OUI</v>
      </c>
      <c r="K75" s="502"/>
      <c r="L75" s="502"/>
      <c r="M75" s="502"/>
      <c r="N75" s="502"/>
      <c r="O75" s="503"/>
      <c r="P75" s="51">
        <f>ROUND(1.4*ABS(' Données'!$H$17)*10^-3/(Calcul!$F$73*0.9*Calcul!$E$73),2)</f>
        <v>0.55000000000000004</v>
      </c>
      <c r="Q75" s="51">
        <f>0.2*$K$73</f>
        <v>5</v>
      </c>
    </row>
    <row r="76" spans="1:20" ht="16.5" thickTop="1" thickBot="1"/>
    <row r="77" spans="1:20" ht="15.75" thickBot="1">
      <c r="N77" s="486" t="s">
        <v>75</v>
      </c>
      <c r="O77" s="487"/>
      <c r="P77" s="488"/>
      <c r="Q77" s="486" t="s">
        <v>76</v>
      </c>
      <c r="R77" s="487"/>
      <c r="S77" s="488"/>
    </row>
    <row r="78" spans="1:20" ht="20.25" thickTop="1" thickBot="1">
      <c r="E78" s="76" t="s">
        <v>16</v>
      </c>
      <c r="F78" s="76" t="s">
        <v>66</v>
      </c>
      <c r="G78" s="77" t="s">
        <v>69</v>
      </c>
      <c r="H78" s="77" t="s">
        <v>68</v>
      </c>
      <c r="I78" s="76" t="s">
        <v>65</v>
      </c>
      <c r="J78" s="67" t="s">
        <v>54</v>
      </c>
      <c r="K78" s="66" t="s">
        <v>53</v>
      </c>
      <c r="L78" s="66" t="s">
        <v>55</v>
      </c>
      <c r="M78" s="66" t="s">
        <v>56</v>
      </c>
      <c r="N78" s="214" t="s">
        <v>78</v>
      </c>
      <c r="O78" s="214" t="s">
        <v>79</v>
      </c>
      <c r="P78" s="214" t="s">
        <v>215</v>
      </c>
      <c r="Q78" s="214" t="s">
        <v>77</v>
      </c>
      <c r="R78" s="214" t="s">
        <v>81</v>
      </c>
      <c r="S78" s="214" t="s">
        <v>82</v>
      </c>
    </row>
    <row r="79" spans="1:20" ht="17.25" thickTop="1" thickBot="1">
      <c r="E79" s="43">
        <f>' Données'!D17</f>
        <v>0</v>
      </c>
      <c r="F79" s="51">
        <f>IF(E79=" "," ",' Données'!E17)</f>
        <v>0</v>
      </c>
      <c r="G79" s="83">
        <f>IF(E79=" "," ",' Données'!F17)</f>
        <v>-600.51</v>
      </c>
      <c r="H79" s="83">
        <f t="array" ref="H79">IF(E79=" "," ",IF($J$75="OUI",IF(F79&lt;=$G$32,$F$24,FORECAST(F79,$F$23:$F$24,$G$23:$G$24)),ABS(' Données'!G17)))</f>
        <v>144.03</v>
      </c>
      <c r="I79" s="83">
        <f t="array" ref="I79">IF(E79=" "," ",IF($E$75="OUI",IF(F79&lt;=$J$41,INDEX($M$42:$M$67,MATCH(F79,$L$42:$L$67,1)),FORECAST(F79,$J$49:$J$50,$I$49:$I$50)),ABS(' Données'!H17)))</f>
        <v>-157.5</v>
      </c>
      <c r="J79" s="84">
        <f t="shared" ref="J79:J99" si="0">IF(E79=" "," ",ROUND(((G79/$N$73)-((H79*$P$73)/$O$73))/1000,2))</f>
        <v>-3.56</v>
      </c>
      <c r="K79" s="84">
        <f t="shared" ref="K79:K99" si="1">IF(E79=" "," ",ROUND(((G79/$N$73)+((H79*$P$73)/$O$73))/1000,2))</f>
        <v>-0.19</v>
      </c>
      <c r="L79" s="84">
        <f t="shared" ref="L79:L99" si="2">IF(E79=" "," ",ROUND($E$73-ABS(K79)/(ABS(J79)+ABS(K79))*$E$73,3))</f>
        <v>1.5189999999999999</v>
      </c>
      <c r="M79" s="85">
        <f t="shared" ref="M79:M99" si="3">IF(E79=" "," ",ROUND(ABS(J79)*10^3*$F$73*L79/2,2))</f>
        <v>540.76</v>
      </c>
      <c r="N79" s="85">
        <f>IF(E79=" "," ",ROUND(M79*10/$L$73,2))</f>
        <v>13.52</v>
      </c>
      <c r="O79" s="84">
        <f>IF(E79=" "," ",0.5%*($H$73)*$G$73*10^2)</f>
        <v>3.5000000000000004</v>
      </c>
      <c r="P79" s="85">
        <f>IF(E79=" "," ",MAX(N79,O79))</f>
        <v>13.52</v>
      </c>
      <c r="Q79" s="83">
        <f>IF(F79=" "," ",0.2%*'Zone supèrieure'!$F$9*' Données'!$H$6*100)</f>
        <v>0.8</v>
      </c>
      <c r="R79" s="83">
        <f>IF(F79=" "," ",'Zone supèrieure'!$F$9*ABS(I79)/(Calcul!$J$73*Calcul!$L$73)*10)</f>
        <v>0.65625</v>
      </c>
      <c r="S79" s="83">
        <f>IF(F79=" "," ",0.2%*'Zone supèrieure'!$I$9*' Données'!$H$6*100)</f>
        <v>1.0000000000000002</v>
      </c>
    </row>
    <row r="80" spans="1:20" ht="17.25" thickTop="1" thickBot="1">
      <c r="E80" s="43">
        <f>' Données'!D18</f>
        <v>1</v>
      </c>
      <c r="F80" s="51">
        <f>IF(E80=" "," ",' Données'!E18)</f>
        <v>3.06</v>
      </c>
      <c r="G80" s="83">
        <f>IF(E80=" "," ",' Données'!F18)</f>
        <v>-365.4</v>
      </c>
      <c r="H80" s="83">
        <f t="array" ref="H80">IF(E80=" "," ",IF($J$75="OUI",IF(F80&lt;=$G$32,$F$24,FORECAST(F80,$F$23:$F$24,$G$23:$G$24)),ABS(' Données'!G18)))</f>
        <v>140.30266666666668</v>
      </c>
      <c r="I80" s="83">
        <f t="array" ref="I80">IF(E80=" "," ",IF($E$75="OUI",IF(F80&lt;=$J$41,INDEX($M$42:$M$67,MATCH(F80,$L$42:$L$67,1)),FORECAST(F80,$J$49:$J$50,$I$49:$I$50)),ABS(' Données'!H18)))</f>
        <v>-71.778000000000006</v>
      </c>
      <c r="J80" s="84">
        <f t="shared" si="0"/>
        <v>-2.79</v>
      </c>
      <c r="K80" s="84">
        <f t="shared" si="1"/>
        <v>0.5</v>
      </c>
      <c r="L80" s="84">
        <f t="shared" si="2"/>
        <v>1.357</v>
      </c>
      <c r="M80" s="85">
        <f t="shared" si="3"/>
        <v>378.6</v>
      </c>
      <c r="N80" s="85">
        <f t="shared" ref="N80:N99" si="4">IF(E80=" "," ",ROUND(M80*10/$L$73,2))</f>
        <v>9.4700000000000006</v>
      </c>
      <c r="O80" s="84">
        <f t="shared" ref="O80:O99" si="5">IF(E80=" "," ",0.5%*($H$73)*$G$73*10^2)</f>
        <v>3.5000000000000004</v>
      </c>
      <c r="P80" s="85">
        <f t="shared" ref="P80:P99" si="6">IF(E80=" "," ",MAX(N80,O80))</f>
        <v>9.4700000000000006</v>
      </c>
      <c r="Q80" s="83">
        <f>IF(F80=" "," ",0.2%*'Zone supèrieure'!$F$9*' Données'!$H$6*100)</f>
        <v>0.8</v>
      </c>
      <c r="R80" s="83">
        <f>IF(F80=" "," ",'Zone supèrieure'!$F$9*ABS(I80)/(Calcul!$J$73*Calcul!$L$73)*10)</f>
        <v>0.29907500000000004</v>
      </c>
      <c r="S80" s="83">
        <f>IF(F80=" "," ",0.2%*'Zone supèrieure'!$I$9*' Données'!$H$6*100)</f>
        <v>1.0000000000000002</v>
      </c>
    </row>
    <row r="81" spans="5:19" ht="17.25" thickTop="1" thickBot="1">
      <c r="E81" s="43">
        <f>' Données'!D19</f>
        <v>2</v>
      </c>
      <c r="F81" s="51">
        <f>IF(E81=" "," ",' Données'!E19)</f>
        <v>6.12</v>
      </c>
      <c r="G81" s="83">
        <f>IF(E81=" "," ",' Données'!F19)</f>
        <v>-250.31</v>
      </c>
      <c r="H81" s="83">
        <f t="array" ref="H81">IF(E81=" "," ",IF($J$75="OUI",IF(F81&lt;=$G$32,$F$24,FORECAST(F81,$F$23:$F$24,$G$23:$G$24)),ABS(' Données'!G19)))</f>
        <v>117.93866666666669</v>
      </c>
      <c r="I81" s="83">
        <f t="array" ref="I81">IF(E81=" "," ",IF($E$75="OUI",IF(F81&lt;=$J$41,INDEX($M$42:$M$67,MATCH(F81,$L$42:$L$67,1)),FORECAST(F81,$J$49:$J$50,$I$49:$I$50)),ABS(' Données'!H19)))</f>
        <v>-67.746000000000009</v>
      </c>
      <c r="J81" s="84">
        <f t="shared" si="0"/>
        <v>-2.16</v>
      </c>
      <c r="K81" s="84">
        <f t="shared" si="1"/>
        <v>0.6</v>
      </c>
      <c r="L81" s="84">
        <f t="shared" si="2"/>
        <v>1.252</v>
      </c>
      <c r="M81" s="85">
        <f t="shared" si="3"/>
        <v>270.43</v>
      </c>
      <c r="N81" s="85">
        <f t="shared" si="4"/>
        <v>6.76</v>
      </c>
      <c r="O81" s="84">
        <f t="shared" si="5"/>
        <v>3.5000000000000004</v>
      </c>
      <c r="P81" s="85">
        <f t="shared" si="6"/>
        <v>6.76</v>
      </c>
      <c r="Q81" s="83">
        <f>IF(F81=" "," ",0.2%*'Zone supèrieure'!$F$9*' Données'!$H$6*100)</f>
        <v>0.8</v>
      </c>
      <c r="R81" s="83">
        <f>IF(F81=" "," ",'Zone supèrieure'!$F$9*ABS(I81)/(Calcul!$J$73*Calcul!$L$73)*10)</f>
        <v>0.28227500000000005</v>
      </c>
      <c r="S81" s="83">
        <f>IF(F81=" "," ",0.2%*'Zone supèrieure'!$I$9*' Données'!$H$6*100)</f>
        <v>1.0000000000000002</v>
      </c>
    </row>
    <row r="82" spans="5:19" ht="17.25" thickTop="1" thickBot="1">
      <c r="E82" s="43">
        <f>' Données'!D20</f>
        <v>3</v>
      </c>
      <c r="F82" s="51">
        <f>IF(E82=" "," ",' Données'!E20)</f>
        <v>9.18</v>
      </c>
      <c r="G82" s="83">
        <f>IF(E82=" "," ",' Données'!F20)</f>
        <v>-91.82</v>
      </c>
      <c r="H82" s="83">
        <f t="array" ref="H82">IF(E82=" "," ",IF($J$75="OUI",IF(F82&lt;=$G$32,$F$24,FORECAST(F82,$F$23:$F$24,$G$23:$G$24)),ABS(' Données'!G20)))</f>
        <v>95.574666666666701</v>
      </c>
      <c r="I82" s="83">
        <f t="array" ref="I82">IF(E82=" "," ",IF($E$75="OUI",IF(F82&lt;=$J$41,INDEX($M$42:$M$67,MATCH(F82,$L$42:$L$67,1)),FORECAST(F82,$J$49:$J$50,$I$49:$I$50)),ABS(' Données'!H20)))</f>
        <v>-71.414000000000001</v>
      </c>
      <c r="J82" s="84">
        <f t="shared" si="0"/>
        <v>-1.41</v>
      </c>
      <c r="K82" s="84">
        <f t="shared" si="1"/>
        <v>0.83</v>
      </c>
      <c r="L82" s="84">
        <f t="shared" si="2"/>
        <v>1.0069999999999999</v>
      </c>
      <c r="M82" s="85">
        <f t="shared" si="3"/>
        <v>141.99</v>
      </c>
      <c r="N82" s="85">
        <f t="shared" si="4"/>
        <v>3.55</v>
      </c>
      <c r="O82" s="84">
        <f t="shared" si="5"/>
        <v>3.5000000000000004</v>
      </c>
      <c r="P82" s="85">
        <f t="shared" si="6"/>
        <v>3.55</v>
      </c>
      <c r="Q82" s="83">
        <f>IF(F82=" "," ",0.2%*'Zone supèrieure'!$F$9*' Données'!$H$6*100)</f>
        <v>0.8</v>
      </c>
      <c r="R82" s="83">
        <f>IF(F82=" "," ",'Zone supèrieure'!$F$9*ABS(I82)/(Calcul!$J$73*Calcul!$L$73)*10)</f>
        <v>0.29755833333333331</v>
      </c>
      <c r="S82" s="83">
        <f>IF(F82=" "," ",0.2%*'Zone supèrieure'!$I$9*' Données'!$H$6*100)</f>
        <v>1.0000000000000002</v>
      </c>
    </row>
    <row r="83" spans="5:19" ht="17.25" thickTop="1" thickBot="1">
      <c r="E83" s="43">
        <f>' Données'!D21</f>
        <v>4</v>
      </c>
      <c r="F83" s="51">
        <f>IF(E83=" "," ",' Données'!E21)</f>
        <v>12.24</v>
      </c>
      <c r="G83" s="83">
        <f>IF(E83=" "," ",' Données'!F21)</f>
        <v>-16.329999999999998</v>
      </c>
      <c r="H83" s="83">
        <f t="array" ref="H83">IF(E83=" "," ",IF($J$75="OUI",IF(F83&lt;=$G$32,$F$24,FORECAST(F83,$F$23:$F$24,$G$23:$G$24)),ABS(' Données'!G21)))</f>
        <v>73.210666666666697</v>
      </c>
      <c r="I83" s="83">
        <f t="array" ref="I83">IF(E83=" "," ",IF($E$75="OUI",IF(F83&lt;=$J$41,INDEX($M$42:$M$67,MATCH(F83,$L$42:$L$67,1)),FORECAST(F83,$J$49:$J$50,$I$49:$I$50)),ABS(' Données'!H21)))</f>
        <v>-75.082000000000008</v>
      </c>
      <c r="J83" s="84">
        <f t="shared" si="0"/>
        <v>-0.91</v>
      </c>
      <c r="K83" s="84">
        <f t="shared" si="1"/>
        <v>0.81</v>
      </c>
      <c r="L83" s="84">
        <f t="shared" si="2"/>
        <v>0.84699999999999998</v>
      </c>
      <c r="M83" s="85">
        <f t="shared" si="3"/>
        <v>77.08</v>
      </c>
      <c r="N83" s="85">
        <f t="shared" si="4"/>
        <v>1.93</v>
      </c>
      <c r="O83" s="84">
        <f t="shared" si="5"/>
        <v>3.5000000000000004</v>
      </c>
      <c r="P83" s="85">
        <f t="shared" si="6"/>
        <v>3.5000000000000004</v>
      </c>
      <c r="Q83" s="83">
        <f>IF(F83=" "," ",0.2%*'Zone supèrieure'!$F$9*' Données'!$H$6*100)</f>
        <v>0.8</v>
      </c>
      <c r="R83" s="83">
        <f>IF(F83=" "," ",'Zone supèrieure'!$F$9*ABS(I83)/(Calcul!$J$73*Calcul!$L$73)*10)</f>
        <v>0.31284166666666668</v>
      </c>
      <c r="S83" s="83">
        <f>IF(F83=" "," ",0.2%*'Zone supèrieure'!$I$9*' Données'!$H$6*100)</f>
        <v>1.0000000000000002</v>
      </c>
    </row>
    <row r="84" spans="5:19" ht="17.25" thickTop="1" thickBot="1">
      <c r="E84" s="43">
        <f>' Données'!D22</f>
        <v>5</v>
      </c>
      <c r="F84" s="51">
        <f>IF(E84=" "," ",' Données'!E22)</f>
        <v>15.3</v>
      </c>
      <c r="G84" s="83">
        <f>IF(E84=" "," ",' Données'!F22)</f>
        <v>-49.18</v>
      </c>
      <c r="H84" s="83">
        <f t="array" ref="H84">IF(E84=" "," ",IF($J$75="OUI",IF(F84&lt;=$G$32,$F$24,FORECAST(F84,$F$23:$F$24,$G$23:$G$24)),ABS(' Données'!G22)))</f>
        <v>50.846666666666692</v>
      </c>
      <c r="I84" s="83">
        <f t="array" ref="I84">IF(E84=" "," ",IF($E$75="OUI",IF(F84&lt;=$J$41,INDEX($M$42:$M$67,MATCH(F84,$L$42:$L$67,1)),FORECAST(F84,$J$49:$J$50,$I$49:$I$50)),ABS(' Données'!H22)))</f>
        <v>-78.75</v>
      </c>
      <c r="J84" s="84">
        <f t="shared" si="0"/>
        <v>-0.75</v>
      </c>
      <c r="K84" s="84">
        <f t="shared" si="1"/>
        <v>0.44</v>
      </c>
      <c r="L84" s="84">
        <f t="shared" si="2"/>
        <v>1.008</v>
      </c>
      <c r="M84" s="85">
        <f t="shared" si="3"/>
        <v>75.599999999999994</v>
      </c>
      <c r="N84" s="85">
        <f t="shared" si="4"/>
        <v>1.89</v>
      </c>
      <c r="O84" s="84">
        <f t="shared" si="5"/>
        <v>3.5000000000000004</v>
      </c>
      <c r="P84" s="85">
        <f t="shared" si="6"/>
        <v>3.5000000000000004</v>
      </c>
      <c r="Q84" s="83">
        <f>IF(F84=" "," ",0.2%*'Zone supèrieure'!$F$9*' Données'!$H$6*100)</f>
        <v>0.8</v>
      </c>
      <c r="R84" s="83">
        <f>IF(F84=" "," ",'Zone supèrieure'!$F$9*ABS(I84)/(Calcul!$J$73*Calcul!$L$73)*10)</f>
        <v>0.328125</v>
      </c>
      <c r="S84" s="83">
        <f>IF(F84=" "," ",0.2%*'Zone supèrieure'!$I$9*' Données'!$H$6*100)</f>
        <v>1.0000000000000002</v>
      </c>
    </row>
    <row r="85" spans="5:19" ht="17.25" thickTop="1" thickBot="1">
      <c r="E85" s="43" t="str">
        <f>' Données'!D23</f>
        <v xml:space="preserve"> </v>
      </c>
      <c r="F85" s="51" t="str">
        <f>IF(E85=" "," ",' Données'!E23)</f>
        <v xml:space="preserve"> </v>
      </c>
      <c r="G85" s="83" t="str">
        <f>IF(E85=" "," ",' Données'!F23)</f>
        <v xml:space="preserve"> </v>
      </c>
      <c r="H85" s="83" t="str">
        <f t="array" ref="H85">IF(E85=" "," ",IF($J$75="OUI",IF(F85&lt;=$G$32,$F$24,FORECAST(F85,$F$23:$F$24,$G$23:$G$24)),ABS(' Données'!G23)))</f>
        <v xml:space="preserve"> </v>
      </c>
      <c r="I85" s="83" t="str">
        <f t="array" ref="I85">IF(E85=" "," ",IF($E$75="OUI",IF(F85&lt;=$J$41,INDEX($M$42:$M$67,MATCH(F85,$L$42:$L$67,1)),FORECAST(F85,$J$49:$J$50,$I$49:$I$50)),ABS(' Données'!H23)))</f>
        <v xml:space="preserve"> </v>
      </c>
      <c r="J85" s="84" t="str">
        <f t="shared" si="0"/>
        <v xml:space="preserve"> </v>
      </c>
      <c r="K85" s="84" t="str">
        <f t="shared" si="1"/>
        <v xml:space="preserve"> </v>
      </c>
      <c r="L85" s="84" t="str">
        <f t="shared" si="2"/>
        <v xml:space="preserve"> </v>
      </c>
      <c r="M85" s="85" t="str">
        <f t="shared" si="3"/>
        <v xml:space="preserve"> </v>
      </c>
      <c r="N85" s="85" t="str">
        <f t="shared" si="4"/>
        <v xml:space="preserve"> </v>
      </c>
      <c r="O85" s="84" t="str">
        <f t="shared" si="5"/>
        <v xml:space="preserve"> </v>
      </c>
      <c r="P85" s="85" t="str">
        <f t="shared" si="6"/>
        <v xml:space="preserve"> </v>
      </c>
      <c r="Q85" s="83" t="str">
        <f>IF(F85=" "," ",0.2%*'Zone supèrieure'!$F$9*' Données'!$H$6*100)</f>
        <v xml:space="preserve"> </v>
      </c>
      <c r="R85" s="83" t="str">
        <f>IF(F85=" "," ",'Zone supèrieure'!$F$9*ABS(I85)/(Calcul!$J$73*Calcul!$L$73)*10)</f>
        <v xml:space="preserve"> </v>
      </c>
      <c r="S85" s="83" t="str">
        <f>IF(F85=" "," ",0.2%*'Zone supèrieure'!$I$9*' Données'!$H$6*100)</f>
        <v xml:space="preserve"> </v>
      </c>
    </row>
    <row r="86" spans="5:19" ht="17.25" thickTop="1" thickBot="1">
      <c r="E86" s="43" t="str">
        <f>' Données'!D24</f>
        <v xml:space="preserve"> </v>
      </c>
      <c r="F86" s="51" t="str">
        <f>IF(E86=" "," ",' Données'!E24)</f>
        <v xml:space="preserve"> </v>
      </c>
      <c r="G86" s="83" t="str">
        <f>IF(E86=" "," ",' Données'!F24)</f>
        <v xml:space="preserve"> </v>
      </c>
      <c r="H86" s="83" t="str">
        <f t="array" ref="H86">IF(E86=" "," ",IF($J$75="OUI",IF(F86&lt;=$G$32,$F$24,FORECAST(F86,$F$23:$F$24,$G$23:$G$24)),ABS(' Données'!G24)))</f>
        <v xml:space="preserve"> </v>
      </c>
      <c r="I86" s="83" t="str">
        <f t="array" ref="I86">IF(E86=" "," ",IF($E$75="OUI",IF(F86&lt;=$J$41,INDEX($M$42:$M$67,MATCH(F86,$L$42:$L$67,1)),FORECAST(F86,$J$49:$J$50,$I$49:$I$50)),ABS(' Données'!H24)))</f>
        <v xml:space="preserve"> </v>
      </c>
      <c r="J86" s="84" t="str">
        <f t="shared" si="0"/>
        <v xml:space="preserve"> </v>
      </c>
      <c r="K86" s="84" t="str">
        <f t="shared" si="1"/>
        <v xml:space="preserve"> </v>
      </c>
      <c r="L86" s="84" t="str">
        <f t="shared" si="2"/>
        <v xml:space="preserve"> </v>
      </c>
      <c r="M86" s="85" t="str">
        <f t="shared" si="3"/>
        <v xml:space="preserve"> </v>
      </c>
      <c r="N86" s="85" t="str">
        <f t="shared" si="4"/>
        <v xml:space="preserve"> </v>
      </c>
      <c r="O86" s="84" t="str">
        <f t="shared" si="5"/>
        <v xml:space="preserve"> </v>
      </c>
      <c r="P86" s="85" t="str">
        <f t="shared" si="6"/>
        <v xml:space="preserve"> </v>
      </c>
      <c r="Q86" s="83" t="str">
        <f>IF(F86=" "," ",0.2%*'Zone supèrieure'!$F$9*' Données'!$H$6*100)</f>
        <v xml:space="preserve"> </v>
      </c>
      <c r="R86" s="83" t="str">
        <f>IF(F86=" "," ",'Zone supèrieure'!$F$9*ABS(I86)/(Calcul!$J$73*Calcul!$L$73)*10)</f>
        <v xml:space="preserve"> </v>
      </c>
      <c r="S86" s="83" t="str">
        <f>IF(F86=" "," ",0.2%*'Zone supèrieure'!$I$9*' Données'!$H$6*100)</f>
        <v xml:space="preserve"> </v>
      </c>
    </row>
    <row r="87" spans="5:19" ht="17.25" thickTop="1" thickBot="1">
      <c r="E87" s="43" t="str">
        <f>' Données'!D25</f>
        <v xml:space="preserve"> </v>
      </c>
      <c r="F87" s="51" t="str">
        <f>IF(E87=" "," ",' Données'!E25)</f>
        <v xml:space="preserve"> </v>
      </c>
      <c r="G87" s="83" t="str">
        <f>IF(E87=" "," ",' Données'!F25)</f>
        <v xml:space="preserve"> </v>
      </c>
      <c r="H87" s="83" t="str">
        <f t="array" ref="H87">IF(E87=" "," ",IF($J$75="OUI",IF(F87&lt;=$G$32,$F$24,FORECAST(F87,$F$23:$F$24,$G$23:$G$24)),ABS(' Données'!G25)))</f>
        <v xml:space="preserve"> </v>
      </c>
      <c r="I87" s="83" t="str">
        <f t="array" ref="I87">IF(E87=" "," ",IF($E$75="OUI",IF(F87&lt;=$J$41,INDEX($M$42:$M$67,MATCH(F87,$L$42:$L$67,1)),FORECAST(F87,$J$49:$J$50,$I$49:$I$50)),ABS(' Données'!H25)))</f>
        <v xml:space="preserve"> </v>
      </c>
      <c r="J87" s="84" t="str">
        <f t="shared" si="0"/>
        <v xml:space="preserve"> </v>
      </c>
      <c r="K87" s="84" t="str">
        <f t="shared" si="1"/>
        <v xml:space="preserve"> </v>
      </c>
      <c r="L87" s="84" t="str">
        <f t="shared" si="2"/>
        <v xml:space="preserve"> </v>
      </c>
      <c r="M87" s="85" t="str">
        <f t="shared" si="3"/>
        <v xml:space="preserve"> </v>
      </c>
      <c r="N87" s="85" t="str">
        <f t="shared" si="4"/>
        <v xml:space="preserve"> </v>
      </c>
      <c r="O87" s="84" t="str">
        <f t="shared" si="5"/>
        <v xml:space="preserve"> </v>
      </c>
      <c r="P87" s="85" t="str">
        <f t="shared" si="6"/>
        <v xml:space="preserve"> </v>
      </c>
      <c r="Q87" s="83" t="str">
        <f>IF(F87=" "," ",0.2%*'Zone supèrieure'!$F$9*' Données'!$H$6*100)</f>
        <v xml:space="preserve"> </v>
      </c>
      <c r="R87" s="83" t="str">
        <f>IF(F87=" "," ",'Zone supèrieure'!$F$9*ABS(I87)/(Calcul!$J$73*Calcul!$L$73)*10)</f>
        <v xml:space="preserve"> </v>
      </c>
      <c r="S87" s="83" t="str">
        <f>IF(F87=" "," ",0.2%*'Zone supèrieure'!$I$9*' Données'!$H$6*100)</f>
        <v xml:space="preserve"> </v>
      </c>
    </row>
    <row r="88" spans="5:19" ht="17.25" thickTop="1" thickBot="1">
      <c r="E88" s="43" t="str">
        <f>' Données'!D26</f>
        <v xml:space="preserve"> </v>
      </c>
      <c r="F88" s="51" t="str">
        <f>IF(E88=" "," ",' Données'!E26)</f>
        <v xml:space="preserve"> </v>
      </c>
      <c r="G88" s="83" t="str">
        <f>IF(E88=" "," ",' Données'!F26)</f>
        <v xml:space="preserve"> </v>
      </c>
      <c r="H88" s="83" t="str">
        <f t="array" ref="H88">IF(E88=" "," ",IF($J$75="OUI",IF(F88&lt;=$G$32,$F$24,FORECAST(F88,$F$23:$F$24,$G$23:$G$24)),ABS(' Données'!G26)))</f>
        <v xml:space="preserve"> </v>
      </c>
      <c r="I88" s="83" t="str">
        <f t="array" ref="I88">IF(E88=" "," ",IF($E$75="OUI",IF(F88&lt;=$J$41,INDEX($M$42:$M$67,MATCH(F88,$L$42:$L$67,1)),FORECAST(F88,$J$49:$J$50,$I$49:$I$50)),ABS(' Données'!H26)))</f>
        <v xml:space="preserve"> </v>
      </c>
      <c r="J88" s="84" t="str">
        <f t="shared" si="0"/>
        <v xml:space="preserve"> </v>
      </c>
      <c r="K88" s="84" t="str">
        <f t="shared" si="1"/>
        <v xml:space="preserve"> </v>
      </c>
      <c r="L88" s="84" t="str">
        <f t="shared" si="2"/>
        <v xml:space="preserve"> </v>
      </c>
      <c r="M88" s="85" t="str">
        <f t="shared" si="3"/>
        <v xml:space="preserve"> </v>
      </c>
      <c r="N88" s="85" t="str">
        <f t="shared" si="4"/>
        <v xml:space="preserve"> </v>
      </c>
      <c r="O88" s="84" t="str">
        <f t="shared" si="5"/>
        <v xml:space="preserve"> </v>
      </c>
      <c r="P88" s="85" t="str">
        <f t="shared" si="6"/>
        <v xml:space="preserve"> </v>
      </c>
      <c r="Q88" s="83" t="str">
        <f>IF(F88=" "," ",0.2%*'Zone supèrieure'!$F$9*' Données'!$H$6*100)</f>
        <v xml:space="preserve"> </v>
      </c>
      <c r="R88" s="83" t="str">
        <f>IF(F88=" "," ",'Zone supèrieure'!$F$9*ABS(I88)/(Calcul!$J$73*Calcul!$L$73)*10)</f>
        <v xml:space="preserve"> </v>
      </c>
      <c r="S88" s="83" t="str">
        <f>IF(F88=" "," ",0.2%*'Zone supèrieure'!$I$9*' Données'!$H$6*100)</f>
        <v xml:space="preserve"> </v>
      </c>
    </row>
    <row r="89" spans="5:19" ht="17.25" thickTop="1" thickBot="1">
      <c r="E89" s="43" t="str">
        <f>' Données'!D27</f>
        <v xml:space="preserve"> </v>
      </c>
      <c r="F89" s="51" t="str">
        <f>IF(E89=" "," ",' Données'!E27)</f>
        <v xml:space="preserve"> </v>
      </c>
      <c r="G89" s="83" t="str">
        <f>IF(E89=" "," ",' Données'!F27)</f>
        <v xml:space="preserve"> </v>
      </c>
      <c r="H89" s="83" t="str">
        <f t="array" ref="H89">IF(E89=" "," ",IF($J$75="OUI",IF(F89&lt;=$G$32,$F$24,FORECAST(F89,$F$23:$F$24,$G$23:$G$24)),ABS(' Données'!G27)))</f>
        <v xml:space="preserve"> </v>
      </c>
      <c r="I89" s="83" t="str">
        <f t="array" ref="I89">IF(E89=" "," ",IF($E$75="OUI",IF(F89&lt;=$J$41,INDEX($M$42:$M$67,MATCH(F89,$L$42:$L$67,1)),FORECAST(F89,$J$49:$J$50,$I$49:$I$50)),ABS(' Données'!H27)))</f>
        <v xml:space="preserve"> </v>
      </c>
      <c r="J89" s="84" t="str">
        <f t="shared" si="0"/>
        <v xml:space="preserve"> </v>
      </c>
      <c r="K89" s="84" t="str">
        <f t="shared" si="1"/>
        <v xml:space="preserve"> </v>
      </c>
      <c r="L89" s="84" t="str">
        <f t="shared" si="2"/>
        <v xml:space="preserve"> </v>
      </c>
      <c r="M89" s="85" t="str">
        <f t="shared" si="3"/>
        <v xml:space="preserve"> </v>
      </c>
      <c r="N89" s="85" t="str">
        <f t="shared" si="4"/>
        <v xml:space="preserve"> </v>
      </c>
      <c r="O89" s="84" t="str">
        <f t="shared" si="5"/>
        <v xml:space="preserve"> </v>
      </c>
      <c r="P89" s="85" t="str">
        <f t="shared" si="6"/>
        <v xml:space="preserve"> </v>
      </c>
      <c r="Q89" s="83" t="str">
        <f>IF(F89=" "," ",0.2%*'Zone supèrieure'!$F$9*' Données'!$H$6*100)</f>
        <v xml:space="preserve"> </v>
      </c>
      <c r="R89" s="83" t="str">
        <f>IF(F89=" "," ",'Zone supèrieure'!$F$9*ABS(I89)/(Calcul!$J$73*Calcul!$L$73)*10)</f>
        <v xml:space="preserve"> </v>
      </c>
      <c r="S89" s="83" t="str">
        <f>IF(F89=" "," ",0.2%*'Zone supèrieure'!$I$9*' Données'!$H$6*100)</f>
        <v xml:space="preserve"> </v>
      </c>
    </row>
    <row r="90" spans="5:19" ht="17.25" thickTop="1" thickBot="1">
      <c r="E90" s="43" t="str">
        <f>' Données'!D28</f>
        <v xml:space="preserve"> </v>
      </c>
      <c r="F90" s="51" t="str">
        <f>IF(E90=" "," ",' Données'!E28)</f>
        <v xml:space="preserve"> </v>
      </c>
      <c r="G90" s="83" t="str">
        <f>IF(E90=" "," ",' Données'!F28)</f>
        <v xml:space="preserve"> </v>
      </c>
      <c r="H90" s="83" t="str">
        <f t="array" ref="H90">IF(E90=" "," ",IF($J$75="OUI",IF(F90&lt;=$G$32,$F$24,FORECAST(F90,$F$23:$F$24,$G$23:$G$24)),ABS(' Données'!G28)))</f>
        <v xml:space="preserve"> </v>
      </c>
      <c r="I90" s="83" t="str">
        <f t="array" ref="I90">IF(E90=" "," ",IF($E$75="OUI",IF(F90&lt;=$J$41,INDEX($M$42:$M$67,MATCH(F90,$L$42:$L$67,1)),FORECAST(F90,$J$49:$J$50,$I$49:$I$50)),ABS(' Données'!H28)))</f>
        <v xml:space="preserve"> </v>
      </c>
      <c r="J90" s="84" t="str">
        <f t="shared" si="0"/>
        <v xml:space="preserve"> </v>
      </c>
      <c r="K90" s="84" t="str">
        <f t="shared" si="1"/>
        <v xml:space="preserve"> </v>
      </c>
      <c r="L90" s="84" t="str">
        <f t="shared" si="2"/>
        <v xml:space="preserve"> </v>
      </c>
      <c r="M90" s="85" t="str">
        <f t="shared" si="3"/>
        <v xml:space="preserve"> </v>
      </c>
      <c r="N90" s="85" t="str">
        <f t="shared" si="4"/>
        <v xml:space="preserve"> </v>
      </c>
      <c r="O90" s="84" t="str">
        <f t="shared" si="5"/>
        <v xml:space="preserve"> </v>
      </c>
      <c r="P90" s="85" t="str">
        <f t="shared" si="6"/>
        <v xml:space="preserve"> </v>
      </c>
      <c r="Q90" s="83" t="str">
        <f>IF(F90=" "," ",0.2%*'Zone supèrieure'!$F$9*' Données'!$H$6*100)</f>
        <v xml:space="preserve"> </v>
      </c>
      <c r="R90" s="83" t="str">
        <f>IF(F90=" "," ",'Zone supèrieure'!$F$9*ABS(I90)/(Calcul!$J$73*Calcul!$L$73)*10)</f>
        <v xml:space="preserve"> </v>
      </c>
      <c r="S90" s="83" t="str">
        <f>IF(F90=" "," ",0.2%*'Zone supèrieure'!$I$9*' Données'!$H$6*100)</f>
        <v xml:space="preserve"> </v>
      </c>
    </row>
    <row r="91" spans="5:19" ht="17.25" thickTop="1" thickBot="1">
      <c r="E91" s="43" t="str">
        <f>' Données'!D29</f>
        <v xml:space="preserve"> </v>
      </c>
      <c r="F91" s="51" t="str">
        <f>IF(E91=" "," ",' Données'!E29)</f>
        <v xml:space="preserve"> </v>
      </c>
      <c r="G91" s="83" t="str">
        <f>IF(E91=" "," ",' Données'!F29)</f>
        <v xml:space="preserve"> </v>
      </c>
      <c r="H91" s="83" t="str">
        <f t="array" ref="H91">IF(E91=" "," ",IF($J$75="OUI",IF(F91&lt;=$G$32,$F$24,FORECAST(F91,$F$23:$F$24,$G$23:$G$24)),ABS(' Données'!G29)))</f>
        <v xml:space="preserve"> </v>
      </c>
      <c r="I91" s="83" t="str">
        <f t="array" ref="I91">IF(E91=" "," ",IF($E$75="OUI",IF(F91&lt;=$J$41,INDEX($M$42:$M$67,MATCH(F91,$L$42:$L$67,1)),FORECAST(F91,$J$49:$J$50,$I$49:$I$50)),ABS(' Données'!H29)))</f>
        <v xml:space="preserve"> </v>
      </c>
      <c r="J91" s="84" t="str">
        <f t="shared" si="0"/>
        <v xml:space="preserve"> </v>
      </c>
      <c r="K91" s="84" t="str">
        <f t="shared" si="1"/>
        <v xml:space="preserve"> </v>
      </c>
      <c r="L91" s="84" t="str">
        <f t="shared" si="2"/>
        <v xml:space="preserve"> </v>
      </c>
      <c r="M91" s="85" t="str">
        <f t="shared" si="3"/>
        <v xml:space="preserve"> </v>
      </c>
      <c r="N91" s="85" t="str">
        <f t="shared" si="4"/>
        <v xml:space="preserve"> </v>
      </c>
      <c r="O91" s="84" t="str">
        <f t="shared" si="5"/>
        <v xml:space="preserve"> </v>
      </c>
      <c r="P91" s="85" t="str">
        <f t="shared" si="6"/>
        <v xml:space="preserve"> </v>
      </c>
      <c r="Q91" s="83" t="str">
        <f>IF(F91=" "," ",0.2%*'Zone supèrieure'!$F$9*' Données'!$H$6*100)</f>
        <v xml:space="preserve"> </v>
      </c>
      <c r="R91" s="83" t="str">
        <f>IF(F91=" "," ",'Zone supèrieure'!$F$9*ABS(I91)/(Calcul!$J$73*Calcul!$L$73)*10)</f>
        <v xml:space="preserve"> </v>
      </c>
      <c r="S91" s="83" t="str">
        <f>IF(F91=" "," ",0.2%*'Zone supèrieure'!$I$9*' Données'!$H$6*100)</f>
        <v xml:space="preserve"> </v>
      </c>
    </row>
    <row r="92" spans="5:19" ht="17.25" thickTop="1" thickBot="1">
      <c r="E92" s="43" t="str">
        <f>' Données'!D30</f>
        <v xml:space="preserve"> </v>
      </c>
      <c r="F92" s="51" t="str">
        <f>IF(E92=" "," ",' Données'!E30)</f>
        <v xml:space="preserve"> </v>
      </c>
      <c r="G92" s="83" t="str">
        <f>IF(E92=" "," ",' Données'!F30)</f>
        <v xml:space="preserve"> </v>
      </c>
      <c r="H92" s="83" t="str">
        <f t="array" ref="H92">IF(E92=" "," ",IF($J$75="OUI",IF(F92&lt;=$G$32,$F$24,FORECAST(F92,$F$23:$F$24,$G$23:$G$24)),ABS(' Données'!G30)))</f>
        <v xml:space="preserve"> </v>
      </c>
      <c r="I92" s="83" t="str">
        <f t="array" ref="I92">IF(E92=" "," ",IF($E$75="OUI",IF(F92&lt;=$J$41,INDEX($M$42:$M$67,MATCH(F92,$L$42:$L$67,1)),FORECAST(F92,$J$49:$J$50,$I$49:$I$50)),ABS(' Données'!H30)))</f>
        <v xml:space="preserve"> </v>
      </c>
      <c r="J92" s="84" t="str">
        <f t="shared" si="0"/>
        <v xml:space="preserve"> </v>
      </c>
      <c r="K92" s="84" t="str">
        <f t="shared" si="1"/>
        <v xml:space="preserve"> </v>
      </c>
      <c r="L92" s="84" t="str">
        <f t="shared" si="2"/>
        <v xml:space="preserve"> </v>
      </c>
      <c r="M92" s="85" t="str">
        <f t="shared" si="3"/>
        <v xml:space="preserve"> </v>
      </c>
      <c r="N92" s="85" t="str">
        <f t="shared" si="4"/>
        <v xml:space="preserve"> </v>
      </c>
      <c r="O92" s="84" t="str">
        <f t="shared" si="5"/>
        <v xml:space="preserve"> </v>
      </c>
      <c r="P92" s="85" t="str">
        <f t="shared" si="6"/>
        <v xml:space="preserve"> </v>
      </c>
      <c r="Q92" s="83" t="str">
        <f>IF(F92=" "," ",0.2%*'Zone supèrieure'!$F$9*' Données'!$H$6*100)</f>
        <v xml:space="preserve"> </v>
      </c>
      <c r="R92" s="83" t="str">
        <f>IF(F92=" "," ",'Zone supèrieure'!$F$9*ABS(I92)/(Calcul!$J$73*Calcul!$L$73)*10)</f>
        <v xml:space="preserve"> </v>
      </c>
      <c r="S92" s="83" t="str">
        <f>IF(F92=" "," ",0.2%*'Zone supèrieure'!$I$9*' Données'!$H$6*100)</f>
        <v xml:space="preserve"> </v>
      </c>
    </row>
    <row r="93" spans="5:19" ht="17.25" thickTop="1" thickBot="1">
      <c r="E93" s="43" t="str">
        <f>' Données'!D31</f>
        <v xml:space="preserve"> </v>
      </c>
      <c r="F93" s="51" t="str">
        <f>IF(E93=" "," ",' Données'!E31)</f>
        <v xml:space="preserve"> </v>
      </c>
      <c r="G93" s="83" t="str">
        <f>IF(E93=" "," ",' Données'!F31)</f>
        <v xml:space="preserve"> </v>
      </c>
      <c r="H93" s="83" t="str">
        <f t="array" ref="H93">IF(E93=" "," ",IF($J$75="OUI",IF(F93&lt;=$G$32,$F$24,FORECAST(F93,$F$23:$F$24,$G$23:$G$24)),ABS(' Données'!G31)))</f>
        <v xml:space="preserve"> </v>
      </c>
      <c r="I93" s="83" t="str">
        <f t="array" ref="I93">IF(E93=" "," ",IF($E$75="OUI",IF(F93&lt;=$J$41,INDEX($M$42:$M$67,MATCH(F93,$L$42:$L$67,1)),FORECAST(F93,$J$49:$J$50,$I$49:$I$50)),ABS(' Données'!H31)))</f>
        <v xml:space="preserve"> </v>
      </c>
      <c r="J93" s="84" t="str">
        <f t="shared" si="0"/>
        <v xml:space="preserve"> </v>
      </c>
      <c r="K93" s="84" t="str">
        <f t="shared" si="1"/>
        <v xml:space="preserve"> </v>
      </c>
      <c r="L93" s="84" t="str">
        <f t="shared" si="2"/>
        <v xml:space="preserve"> </v>
      </c>
      <c r="M93" s="85" t="str">
        <f t="shared" si="3"/>
        <v xml:space="preserve"> </v>
      </c>
      <c r="N93" s="85" t="str">
        <f t="shared" si="4"/>
        <v xml:space="preserve"> </v>
      </c>
      <c r="O93" s="84" t="str">
        <f t="shared" si="5"/>
        <v xml:space="preserve"> </v>
      </c>
      <c r="P93" s="85" t="str">
        <f t="shared" si="6"/>
        <v xml:space="preserve"> </v>
      </c>
      <c r="Q93" s="83" t="str">
        <f>IF(F93=" "," ",0.2%*'Zone supèrieure'!$F$9*' Données'!$H$6*100)</f>
        <v xml:space="preserve"> </v>
      </c>
      <c r="R93" s="83" t="str">
        <f>IF(F93=" "," ",'Zone supèrieure'!$F$9*ABS(I93)/(Calcul!$J$73*Calcul!$L$73)*10)</f>
        <v xml:space="preserve"> </v>
      </c>
      <c r="S93" s="83" t="str">
        <f>IF(F93=" "," ",0.2%*'Zone supèrieure'!$I$9*' Données'!$H$6*100)</f>
        <v xml:space="preserve"> </v>
      </c>
    </row>
    <row r="94" spans="5:19" ht="17.25" thickTop="1" thickBot="1">
      <c r="E94" s="43" t="str">
        <f>' Données'!D32</f>
        <v xml:space="preserve"> </v>
      </c>
      <c r="F94" s="51" t="str">
        <f>IF(E94=" "," ",' Données'!E32)</f>
        <v xml:space="preserve"> </v>
      </c>
      <c r="G94" s="83" t="str">
        <f>IF(E94=" "," ",' Données'!F32)</f>
        <v xml:space="preserve"> </v>
      </c>
      <c r="H94" s="83" t="str">
        <f t="array" ref="H94">IF(E94=" "," ",IF($J$75="OUI",IF(F94&lt;=$G$32,$F$24,FORECAST(F94,$F$23:$F$24,$G$23:$G$24)),ABS(' Données'!G32)))</f>
        <v xml:space="preserve"> </v>
      </c>
      <c r="I94" s="83" t="str">
        <f t="array" ref="I94">IF(E94=" "," ",IF($E$75="OUI",IF(F94&lt;=$J$41,INDEX($M$42:$M$67,MATCH(F94,$L$42:$L$67,1)),FORECAST(F94,$J$49:$J$50,$I$49:$I$50)),ABS(' Données'!H32)))</f>
        <v xml:space="preserve"> </v>
      </c>
      <c r="J94" s="84" t="str">
        <f t="shared" si="0"/>
        <v xml:space="preserve"> </v>
      </c>
      <c r="K94" s="84" t="str">
        <f t="shared" si="1"/>
        <v xml:space="preserve"> </v>
      </c>
      <c r="L94" s="84" t="str">
        <f t="shared" si="2"/>
        <v xml:space="preserve"> </v>
      </c>
      <c r="M94" s="85" t="str">
        <f t="shared" si="3"/>
        <v xml:space="preserve"> </v>
      </c>
      <c r="N94" s="85" t="str">
        <f t="shared" si="4"/>
        <v xml:space="preserve"> </v>
      </c>
      <c r="O94" s="84" t="str">
        <f t="shared" si="5"/>
        <v xml:space="preserve"> </v>
      </c>
      <c r="P94" s="85" t="str">
        <f t="shared" si="6"/>
        <v xml:space="preserve"> </v>
      </c>
      <c r="Q94" s="83" t="str">
        <f>IF(F94=" "," ",0.2%*'Zone supèrieure'!$F$9*' Données'!$H$6*100)</f>
        <v xml:space="preserve"> </v>
      </c>
      <c r="R94" s="83" t="str">
        <f>IF(F94=" "," ",'Zone supèrieure'!$F$9*ABS(I94)/(Calcul!$J$73*Calcul!$L$73)*10)</f>
        <v xml:space="preserve"> </v>
      </c>
      <c r="S94" s="83" t="str">
        <f>IF(F94=" "," ",0.2%*'Zone supèrieure'!$I$9*' Données'!$H$6*100)</f>
        <v xml:space="preserve"> </v>
      </c>
    </row>
    <row r="95" spans="5:19" ht="17.25" thickTop="1" thickBot="1">
      <c r="E95" s="43" t="str">
        <f>' Données'!D33</f>
        <v xml:space="preserve"> </v>
      </c>
      <c r="F95" s="51" t="str">
        <f>IF(E95=" "," ",' Données'!E33)</f>
        <v xml:space="preserve"> </v>
      </c>
      <c r="G95" s="83" t="str">
        <f>IF(E95=" "," ",' Données'!F33)</f>
        <v xml:space="preserve"> </v>
      </c>
      <c r="H95" s="83" t="str">
        <f t="array" ref="H95">IF(E95=" "," ",IF($J$75="OUI",IF(F95&lt;=$G$32,$F$24,FORECAST(F95,$F$23:$F$24,$G$23:$G$24)),ABS(' Données'!G33)))</f>
        <v xml:space="preserve"> </v>
      </c>
      <c r="I95" s="83" t="str">
        <f t="array" ref="I95">IF(E95=" "," ",IF($E$75="OUI",IF(F95&lt;=$J$41,INDEX($M$42:$M$67,MATCH(F95,$L$42:$L$67,1)),FORECAST(F95,$J$49:$J$50,$I$49:$I$50)),ABS(' Données'!H33)))</f>
        <v xml:space="preserve"> </v>
      </c>
      <c r="J95" s="84" t="str">
        <f t="shared" si="0"/>
        <v xml:space="preserve"> </v>
      </c>
      <c r="K95" s="84" t="str">
        <f t="shared" si="1"/>
        <v xml:space="preserve"> </v>
      </c>
      <c r="L95" s="84" t="str">
        <f t="shared" si="2"/>
        <v xml:space="preserve"> </v>
      </c>
      <c r="M95" s="85" t="str">
        <f t="shared" si="3"/>
        <v xml:space="preserve"> </v>
      </c>
      <c r="N95" s="85" t="str">
        <f t="shared" si="4"/>
        <v xml:space="preserve"> </v>
      </c>
      <c r="O95" s="84" t="str">
        <f t="shared" si="5"/>
        <v xml:space="preserve"> </v>
      </c>
      <c r="P95" s="85" t="str">
        <f t="shared" si="6"/>
        <v xml:space="preserve"> </v>
      </c>
      <c r="Q95" s="83" t="str">
        <f>IF(F95=" "," ",0.2%*'Zone supèrieure'!$F$9*' Données'!$H$6*100)</f>
        <v xml:space="preserve"> </v>
      </c>
      <c r="R95" s="83" t="str">
        <f>IF(F95=" "," ",'Zone supèrieure'!$F$9*ABS(I95)/(Calcul!$J$73*Calcul!$L$73)*10)</f>
        <v xml:space="preserve"> </v>
      </c>
      <c r="S95" s="83" t="str">
        <f>IF(F95=" "," ",0.2%*'Zone supèrieure'!$I$9*' Données'!$H$6*100)</f>
        <v xml:space="preserve"> </v>
      </c>
    </row>
    <row r="96" spans="5:19" ht="17.25" thickTop="1" thickBot="1">
      <c r="E96" s="43" t="str">
        <f>' Données'!D34</f>
        <v xml:space="preserve"> </v>
      </c>
      <c r="F96" s="51" t="str">
        <f>IF(E96=" "," ",' Données'!E34)</f>
        <v xml:space="preserve"> </v>
      </c>
      <c r="G96" s="83" t="str">
        <f>IF(E96=" "," ",' Données'!F34)</f>
        <v xml:space="preserve"> </v>
      </c>
      <c r="H96" s="83" t="str">
        <f t="array" ref="H96">IF(E96=" "," ",IF($J$75="OUI",IF(F96&lt;=$G$32,$F$24,FORECAST(F96,$F$23:$F$24,$G$23:$G$24)),ABS(' Données'!G34)))</f>
        <v xml:space="preserve"> </v>
      </c>
      <c r="I96" s="83" t="str">
        <f t="array" ref="I96">IF(E96=" "," ",IF($E$75="OUI",IF(F96&lt;=$J$41,INDEX($M$42:$M$67,MATCH(F96,$L$42:$L$67,1)),FORECAST(F96,$J$49:$J$50,$I$49:$I$50)),ABS(' Données'!H34)))</f>
        <v xml:space="preserve"> </v>
      </c>
      <c r="J96" s="84" t="str">
        <f t="shared" si="0"/>
        <v xml:space="preserve"> </v>
      </c>
      <c r="K96" s="84" t="str">
        <f t="shared" si="1"/>
        <v xml:space="preserve"> </v>
      </c>
      <c r="L96" s="84" t="str">
        <f t="shared" si="2"/>
        <v xml:space="preserve"> </v>
      </c>
      <c r="M96" s="85" t="str">
        <f t="shared" si="3"/>
        <v xml:space="preserve"> </v>
      </c>
      <c r="N96" s="85" t="str">
        <f t="shared" si="4"/>
        <v xml:space="preserve"> </v>
      </c>
      <c r="O96" s="84" t="str">
        <f t="shared" si="5"/>
        <v xml:space="preserve"> </v>
      </c>
      <c r="P96" s="85" t="str">
        <f t="shared" si="6"/>
        <v xml:space="preserve"> </v>
      </c>
      <c r="Q96" s="83" t="str">
        <f>IF(F96=" "," ",0.2%*'Zone supèrieure'!$F$9*' Données'!$H$6*100)</f>
        <v xml:space="preserve"> </v>
      </c>
      <c r="R96" s="83" t="str">
        <f>IF(F96=" "," ",'Zone supèrieure'!$F$9*ABS(I96)/(Calcul!$J$73*Calcul!$L$73)*10)</f>
        <v xml:space="preserve"> </v>
      </c>
      <c r="S96" s="83" t="str">
        <f>IF(F96=" "," ",0.2%*'Zone supèrieure'!$I$9*' Données'!$H$6*100)</f>
        <v xml:space="preserve"> </v>
      </c>
    </row>
    <row r="97" spans="1:20" ht="17.25" thickTop="1" thickBot="1">
      <c r="E97" s="43" t="str">
        <f>' Données'!D35</f>
        <v xml:space="preserve"> </v>
      </c>
      <c r="F97" s="51" t="str">
        <f>IF(E97=" "," ",' Données'!E35)</f>
        <v xml:space="preserve"> </v>
      </c>
      <c r="G97" s="83" t="str">
        <f>IF(E97=" "," ",' Données'!F35)</f>
        <v xml:space="preserve"> </v>
      </c>
      <c r="H97" s="83" t="str">
        <f t="array" ref="H97">IF(E97=" "," ",IF($J$75="OUI",IF(F97&lt;=$G$32,$F$24,FORECAST(F97,$F$23:$F$24,$G$23:$G$24)),ABS(' Données'!G35)))</f>
        <v xml:space="preserve"> </v>
      </c>
      <c r="I97" s="83" t="str">
        <f t="array" ref="I97">IF(E97=" "," ",IF($E$75="OUI",IF(F97&lt;=$J$41,INDEX($M$42:$M$67,MATCH(F97,$L$42:$L$67,1)),FORECAST(F97,$J$49:$J$50,$I$49:$I$50)),ABS(' Données'!H35)))</f>
        <v xml:space="preserve"> </v>
      </c>
      <c r="J97" s="84" t="str">
        <f t="shared" si="0"/>
        <v xml:space="preserve"> </v>
      </c>
      <c r="K97" s="84" t="str">
        <f t="shared" si="1"/>
        <v xml:space="preserve"> </v>
      </c>
      <c r="L97" s="84" t="str">
        <f t="shared" si="2"/>
        <v xml:space="preserve"> </v>
      </c>
      <c r="M97" s="85" t="str">
        <f t="shared" si="3"/>
        <v xml:space="preserve"> </v>
      </c>
      <c r="N97" s="85" t="str">
        <f t="shared" si="4"/>
        <v xml:space="preserve"> </v>
      </c>
      <c r="O97" s="84" t="str">
        <f t="shared" si="5"/>
        <v xml:space="preserve"> </v>
      </c>
      <c r="P97" s="85" t="str">
        <f t="shared" si="6"/>
        <v xml:space="preserve"> </v>
      </c>
      <c r="Q97" s="83" t="str">
        <f>IF(F97=" "," ",0.2%*'Zone supèrieure'!$F$9*' Données'!$H$6*100)</f>
        <v xml:space="preserve"> </v>
      </c>
      <c r="R97" s="83" t="str">
        <f>IF(F97=" "," ",'Zone supèrieure'!$F$9*ABS(I97)/(Calcul!$J$73*Calcul!$L$73)*10)</f>
        <v xml:space="preserve"> </v>
      </c>
      <c r="S97" s="83" t="str">
        <f>IF(F97=" "," ",0.2%*'Zone supèrieure'!$I$9*' Données'!$H$6*100)</f>
        <v xml:space="preserve"> </v>
      </c>
    </row>
    <row r="98" spans="1:20" ht="17.25" thickTop="1" thickBot="1">
      <c r="E98" s="43" t="str">
        <f>' Données'!D36</f>
        <v xml:space="preserve"> </v>
      </c>
      <c r="F98" s="51" t="str">
        <f>IF(E98=" "," ",' Données'!E36)</f>
        <v xml:space="preserve"> </v>
      </c>
      <c r="G98" s="83" t="str">
        <f>IF(E98=" "," ",' Données'!F36)</f>
        <v xml:space="preserve"> </v>
      </c>
      <c r="H98" s="83" t="str">
        <f t="array" ref="H98">IF(E98=" "," ",IF($J$75="OUI",IF(F98&lt;=$G$32,$F$24,FORECAST(F98,$F$23:$F$24,$G$23:$G$24)),ABS(' Données'!G36)))</f>
        <v xml:space="preserve"> </v>
      </c>
      <c r="I98" s="83" t="str">
        <f t="array" ref="I98">IF(E98=" "," ",IF($E$75="OUI",IF(F98&lt;=$J$41,INDEX($M$42:$M$67,MATCH(F98,$L$42:$L$67,1)),FORECAST(F98,$J$49:$J$50,$I$49:$I$50)),ABS(' Données'!H36)))</f>
        <v xml:space="preserve"> </v>
      </c>
      <c r="J98" s="84" t="str">
        <f t="shared" si="0"/>
        <v xml:space="preserve"> </v>
      </c>
      <c r="K98" s="84" t="str">
        <f t="shared" si="1"/>
        <v xml:space="preserve"> </v>
      </c>
      <c r="L98" s="84" t="str">
        <f t="shared" si="2"/>
        <v xml:space="preserve"> </v>
      </c>
      <c r="M98" s="85" t="str">
        <f t="shared" si="3"/>
        <v xml:space="preserve"> </v>
      </c>
      <c r="N98" s="85" t="str">
        <f t="shared" si="4"/>
        <v xml:space="preserve"> </v>
      </c>
      <c r="O98" s="84" t="str">
        <f t="shared" si="5"/>
        <v xml:space="preserve"> </v>
      </c>
      <c r="P98" s="85" t="str">
        <f t="shared" si="6"/>
        <v xml:space="preserve"> </v>
      </c>
      <c r="Q98" s="83" t="str">
        <f>IF(F98=" "," ",0.2%*'Zone supèrieure'!$F$9*' Données'!$H$6*100)</f>
        <v xml:space="preserve"> </v>
      </c>
      <c r="R98" s="83" t="str">
        <f>IF(F98=" "," ",'Zone supèrieure'!$F$9*ABS(I98)/(Calcul!$J$73*Calcul!$L$73)*10)</f>
        <v xml:space="preserve"> </v>
      </c>
      <c r="S98" s="83" t="str">
        <f>IF(F98=" "," ",0.2%*'Zone supèrieure'!$I$9*' Données'!$H$6*100)</f>
        <v xml:space="preserve"> </v>
      </c>
    </row>
    <row r="99" spans="1:20" ht="17.25" thickTop="1" thickBot="1">
      <c r="E99" s="43" t="str">
        <f>' Données'!D37</f>
        <v xml:space="preserve"> </v>
      </c>
      <c r="F99" s="51" t="str">
        <f>IF(E99=" "," ",' Données'!E37)</f>
        <v xml:space="preserve"> </v>
      </c>
      <c r="G99" s="83" t="str">
        <f>IF(E99=" "," ",' Données'!F37)</f>
        <v xml:space="preserve"> </v>
      </c>
      <c r="H99" s="83" t="str">
        <f t="array" ref="H99">IF(E99=" "," ",IF($J$75="OUI",IF(F99&lt;=$G$32,$F$24,FORECAST(F99,$F$23:$F$24,$G$23:$G$24)),ABS(' Données'!G37)))</f>
        <v xml:space="preserve"> </v>
      </c>
      <c r="I99" s="83" t="str">
        <f t="array" ref="I99">IF(E99=" "," ",IF($E$75="OUI",IF(F99&lt;=$J$41,INDEX($M$42:$M$67,MATCH(F99,$L$42:$L$67,1)),FORECAST(F99,$J$49:$J$50,$I$49:$I$50)),ABS(' Données'!H37)))</f>
        <v xml:space="preserve"> </v>
      </c>
      <c r="J99" s="84" t="str">
        <f t="shared" si="0"/>
        <v xml:space="preserve"> </v>
      </c>
      <c r="K99" s="84" t="str">
        <f t="shared" si="1"/>
        <v xml:space="preserve"> </v>
      </c>
      <c r="L99" s="84" t="str">
        <f t="shared" si="2"/>
        <v xml:space="preserve"> </v>
      </c>
      <c r="M99" s="85" t="str">
        <f t="shared" si="3"/>
        <v xml:space="preserve"> </v>
      </c>
      <c r="N99" s="85" t="str">
        <f t="shared" si="4"/>
        <v xml:space="preserve"> </v>
      </c>
      <c r="O99" s="84" t="str">
        <f t="shared" si="5"/>
        <v xml:space="preserve"> </v>
      </c>
      <c r="P99" s="85" t="str">
        <f t="shared" si="6"/>
        <v xml:space="preserve"> </v>
      </c>
      <c r="Q99" s="83" t="str">
        <f>IF(F99=" "," ",0.2%*'Zone supèrieure'!$F$9*' Données'!$H$6*100)</f>
        <v xml:space="preserve"> </v>
      </c>
      <c r="R99" s="83" t="str">
        <f>IF(F99=" "," ",'Zone supèrieure'!$F$9*ABS(I99)/(Calcul!$J$73*Calcul!$L$73)*10)</f>
        <v xml:space="preserve"> </v>
      </c>
      <c r="S99" s="83" t="str">
        <f>IF(F99=" "," ",0.2%*'Zone supèrieure'!$I$9*' Données'!$H$6*100)</f>
        <v xml:space="preserve"> </v>
      </c>
    </row>
    <row r="100" spans="1:20" ht="15.75" thickTop="1"/>
    <row r="101" spans="1:20" ht="15.75" thickBot="1"/>
    <row r="102" spans="1:20" ht="21" thickBot="1">
      <c r="A102" s="489" t="s">
        <v>74</v>
      </c>
      <c r="B102" s="479"/>
      <c r="C102" s="479"/>
      <c r="D102" s="479"/>
      <c r="E102" s="479"/>
      <c r="F102" s="479"/>
      <c r="G102" s="479"/>
      <c r="H102" s="479"/>
      <c r="I102" s="479"/>
      <c r="J102" s="479"/>
      <c r="K102" s="479"/>
      <c r="L102" s="479"/>
      <c r="M102" s="479"/>
      <c r="N102" s="479"/>
      <c r="O102" s="479"/>
      <c r="P102" s="479"/>
      <c r="Q102" s="479"/>
      <c r="R102" s="479"/>
      <c r="S102" s="479"/>
      <c r="T102" s="480"/>
    </row>
    <row r="103" spans="1:20" ht="15.75" thickBot="1"/>
    <row r="104" spans="1:20" ht="16.5" thickTop="1" thickBot="1">
      <c r="K104" s="86" t="s">
        <v>45</v>
      </c>
    </row>
    <row r="105" spans="1:20" ht="17.25" thickTop="1" thickBot="1">
      <c r="B105" s="500" t="s">
        <v>70</v>
      </c>
      <c r="C105" s="500"/>
      <c r="D105" s="500"/>
      <c r="E105" s="500"/>
      <c r="F105" s="500"/>
      <c r="G105" s="500"/>
      <c r="H105" s="500"/>
      <c r="I105" s="500"/>
      <c r="J105" s="500"/>
      <c r="K105" s="74">
        <v>5.5</v>
      </c>
      <c r="M105" s="88" t="s">
        <v>45</v>
      </c>
      <c r="O105" s="31" t="s">
        <v>58</v>
      </c>
      <c r="P105" s="33">
        <f>0</f>
        <v>0</v>
      </c>
      <c r="Q105" s="33">
        <f>$E$73</f>
        <v>1.6</v>
      </c>
    </row>
    <row r="106" spans="1:20" ht="17.25" thickTop="1" thickBot="1">
      <c r="B106" s="500" t="s">
        <v>71</v>
      </c>
      <c r="C106" s="500"/>
      <c r="D106" s="500"/>
      <c r="E106" s="500"/>
      <c r="F106" s="500"/>
      <c r="G106" s="500"/>
      <c r="H106" s="500"/>
      <c r="I106" s="500"/>
      <c r="J106" s="500"/>
      <c r="K106" s="74">
        <v>3.5</v>
      </c>
      <c r="M106" s="87">
        <f>IF(' Données'!$D$8=Calcul!B105,Calcul!K105,IF(' Données'!$D$8=Calcul!B106,Calcul!K106,IF(' Données'!$D$8=Calcul!B109,K109,Calcul!K107)))</f>
        <v>4.5</v>
      </c>
      <c r="O106" s="70" t="s">
        <v>59</v>
      </c>
      <c r="P106" s="33">
        <f>$J$79</f>
        <v>-3.56</v>
      </c>
      <c r="Q106" s="33">
        <f>K79</f>
        <v>-0.19</v>
      </c>
    </row>
    <row r="107" spans="1:20" ht="17.25" thickTop="1" thickBot="1">
      <c r="B107" s="500" t="s">
        <v>72</v>
      </c>
      <c r="C107" s="500"/>
      <c r="D107" s="500"/>
      <c r="E107" s="500"/>
      <c r="F107" s="500"/>
      <c r="G107" s="500"/>
      <c r="H107" s="500"/>
      <c r="I107" s="500"/>
      <c r="J107" s="500"/>
      <c r="K107" s="74">
        <v>4.5</v>
      </c>
    </row>
    <row r="108" spans="1:20" ht="17.25" thickTop="1" thickBot="1">
      <c r="B108" s="500" t="s">
        <v>73</v>
      </c>
      <c r="C108" s="500"/>
      <c r="D108" s="500"/>
      <c r="E108" s="500"/>
      <c r="F108" s="500"/>
      <c r="G108" s="500"/>
      <c r="H108" s="500"/>
      <c r="I108" s="500"/>
      <c r="J108" s="500"/>
      <c r="K108" s="74">
        <v>4.5</v>
      </c>
    </row>
    <row r="109" spans="1:20" ht="17.25" thickTop="1" thickBot="1">
      <c r="B109" s="500" t="s">
        <v>224</v>
      </c>
      <c r="C109" s="500"/>
      <c r="D109" s="500"/>
      <c r="E109" s="500"/>
      <c r="F109" s="500"/>
      <c r="G109" s="500"/>
      <c r="H109" s="500"/>
      <c r="I109" s="500"/>
      <c r="J109" s="500"/>
      <c r="K109" s="74">
        <v>3</v>
      </c>
    </row>
    <row r="110" spans="1:20" ht="15.75" thickTop="1"/>
    <row r="120" spans="1:20" ht="15.75" thickBot="1"/>
    <row r="121" spans="1:20" ht="21" thickBot="1">
      <c r="A121" s="489" t="s">
        <v>61</v>
      </c>
      <c r="B121" s="479"/>
      <c r="C121" s="479"/>
      <c r="D121" s="479"/>
      <c r="E121" s="479"/>
      <c r="F121" s="479"/>
      <c r="G121" s="479"/>
      <c r="H121" s="479"/>
      <c r="I121" s="479"/>
      <c r="J121" s="479"/>
      <c r="K121" s="479"/>
      <c r="L121" s="479"/>
      <c r="M121" s="479"/>
      <c r="N121" s="479"/>
      <c r="O121" s="479"/>
      <c r="P121" s="479"/>
      <c r="Q121" s="479"/>
      <c r="R121" s="479"/>
      <c r="S121" s="479"/>
      <c r="T121" s="480"/>
    </row>
    <row r="122" spans="1:20" ht="15.75" thickBot="1"/>
    <row r="123" spans="1:20" ht="17.25" thickTop="1" thickBot="1">
      <c r="J123" s="72" t="s">
        <v>62</v>
      </c>
      <c r="N123" s="226" t="s">
        <v>230</v>
      </c>
      <c r="O123" s="226" t="s">
        <v>231</v>
      </c>
      <c r="P123" s="226" t="s">
        <v>232</v>
      </c>
      <c r="Q123" s="226" t="s">
        <v>233</v>
      </c>
      <c r="R123" s="226" t="s">
        <v>234</v>
      </c>
      <c r="S123" s="226" t="s">
        <v>234</v>
      </c>
    </row>
    <row r="124" spans="1:20" ht="17.25" thickTop="1" thickBot="1">
      <c r="J124" s="218">
        <v>0.6</v>
      </c>
      <c r="N124" s="225" t="str">
        <f>IF('Zone supèrieure'!L16=" ","",INDEX($A$134:$A$143,MATCH(TRUE,INDEX(INDEX($D$134:$L$143,0,MATCH('Zone supèrieure'!$F$8*10,$D$133:$L$133,0))&gt;='Zone supèrieure'!L16,0),0))&amp;"HA"&amp;'Zone supèrieure'!$F$8*10)</f>
        <v>2HA10</v>
      </c>
      <c r="O124" s="225" t="str">
        <f t="array" ref="O124">IF('Zone supèrieure'!N16=" ","",INDEX($A$134:$A$143,MATCH(TRUE,INDEX(INDEX($D$134:$L$143,0,MATCH('Zone supèrieure'!$I$8*10,$D$133:$L$133,0))&gt;=MAX('Zone supèrieure'!N16,'Zone supèrieure'!O16),0),0))&amp;"HA"&amp;'Zone supèrieure'!$I$8*10)</f>
        <v>2HA10</v>
      </c>
      <c r="P124" s="224">
        <f>IF(N124="","",ROUND(INDEX($D$134:$L$143,MATCH(TRUE,INDEX(INDEX($D$134:$L$143,0,MATCH('Zone supèrieure'!$F$8*10,$D$133:$L$133,0))&gt;='Zone supèrieure'!L16,0),0),MATCH('Zone supèrieure'!$F$8*10,$D$133:$L$133,0)),2))</f>
        <v>1.57</v>
      </c>
      <c r="Q124" s="224">
        <f t="array" ref="Q124">IF(O124="","",ROUND(INDEX($D$134:$L$143,MATCH(TRUE,INDEX(INDEX($D$134:$L$143,0,MATCH('Zone supèrieure'!$I$8*10,$D$133:$L$133,0))&gt;=MAX('Zone supèrieure'!N16,'Zone supèrieure'!O16),0),0),MATCH('Zone supèrieure'!$I$8*10,$D$133:$L$133,0)),2))</f>
        <v>1.57</v>
      </c>
      <c r="R124" s="225" t="str">
        <f>IF(O124="","",N124&amp;"="&amp;P124&amp;"cm²")</f>
        <v>2HA10=1.57cm²</v>
      </c>
      <c r="S124" s="225" t="str">
        <f>IF(O124="","",O124&amp;"="&amp;Q124&amp;"cm²")</f>
        <v>2HA10=1.57cm²</v>
      </c>
    </row>
    <row r="125" spans="1:20" ht="17.25" thickTop="1" thickBot="1">
      <c r="J125" s="218">
        <v>0.8</v>
      </c>
      <c r="N125" s="225" t="str">
        <f>IF('Zone supèrieure'!L17=" ","",INDEX($A$134:$A$143,MATCH(TRUE,INDEX(INDEX($D$134:$L$143,0,MATCH('Zone supèrieure'!$F$8*10,$D$133:$L$133,0))&gt;='Zone supèrieure'!L17,0),0))&amp;"HA"&amp;'Zone supèrieure'!$F$8*10)</f>
        <v>2HA10</v>
      </c>
      <c r="O125" s="225" t="str">
        <f t="array" ref="O125">IF('Zone supèrieure'!N17=" ","",INDEX($A$134:$A$143,MATCH(TRUE,INDEX(INDEX($D$134:$L$143,0,MATCH('Zone supèrieure'!$I$8*10,$D$133:$L$133,0))&gt;=MAX('Zone supèrieure'!N17,'Zone supèrieure'!O17),0),0))&amp;"HA"&amp;'Zone supèrieure'!$I$8*10)</f>
        <v>2HA10</v>
      </c>
      <c r="P125" s="224">
        <f>IF(N125="","",ROUND(INDEX($D$134:$L$143,MATCH(TRUE,INDEX(INDEX($D$134:$L$143,0,MATCH('Zone supèrieure'!$F$8*10,$D$133:$L$133,0))&gt;='Zone supèrieure'!L17,0),0),MATCH('Zone supèrieure'!$F$8*10,$D$133:$L$133,0)),2))</f>
        <v>1.57</v>
      </c>
      <c r="Q125" s="224">
        <f t="array" ref="Q125">IF(O125="","",ROUND(INDEX($D$134:$L$143,MATCH(TRUE,INDEX(INDEX($D$134:$L$143,0,MATCH('Zone supèrieure'!$I$8*10,$D$133:$L$133,0))&gt;=MAX('Zone supèrieure'!N17,'Zone supèrieure'!O17),0),0),MATCH('Zone supèrieure'!$I$8*10,$D$133:$L$133,0)),2))</f>
        <v>1.57</v>
      </c>
      <c r="R125" s="225" t="str">
        <f t="shared" ref="R125:R144" si="7">IF(O125="","",N125&amp;"="&amp;P125&amp;"cm²")</f>
        <v>2HA10=1.57cm²</v>
      </c>
      <c r="S125" s="225" t="str">
        <f t="shared" ref="S125:S144" si="8">IF(O125="","",O125&amp;"="&amp;Q125&amp;"cm²")</f>
        <v>2HA10=1.57cm²</v>
      </c>
    </row>
    <row r="126" spans="1:20" ht="17.25" thickTop="1" thickBot="1">
      <c r="J126" s="218">
        <v>1</v>
      </c>
      <c r="N126" s="225" t="str">
        <f>IF('Zone supèrieure'!L18=" ","",INDEX($A$134:$A$143,MATCH(TRUE,INDEX(INDEX($D$134:$L$143,0,MATCH('Zone supèrieure'!$F$8*10,$D$133:$L$133,0))&gt;='Zone supèrieure'!L18,0),0))&amp;"HA"&amp;'Zone supèrieure'!$F$8*10)</f>
        <v>2HA10</v>
      </c>
      <c r="O126" s="225" t="str">
        <f t="array" ref="O126">IF('Zone supèrieure'!N18=" ","",INDEX($A$134:$A$143,MATCH(TRUE,INDEX(INDEX($D$134:$L$143,0,MATCH('Zone supèrieure'!$I$8*10,$D$133:$L$133,0))&gt;=MAX('Zone supèrieure'!N18,'Zone supèrieure'!O18),0),0))&amp;"HA"&amp;'Zone supèrieure'!$I$8*10)</f>
        <v>2HA10</v>
      </c>
      <c r="P126" s="224">
        <f>IF(N126="","",ROUND(INDEX($D$134:$L$143,MATCH(TRUE,INDEX(INDEX($D$134:$L$143,0,MATCH('Zone supèrieure'!$F$8*10,$D$133:$L$133,0))&gt;='Zone supèrieure'!L18,0),0),MATCH('Zone supèrieure'!$F$8*10,$D$133:$L$133,0)),2))</f>
        <v>1.57</v>
      </c>
      <c r="Q126" s="224">
        <f t="array" ref="Q126">IF(O126="","",ROUND(INDEX($D$134:$L$143,MATCH(TRUE,INDEX(INDEX($D$134:$L$143,0,MATCH('Zone supèrieure'!$I$8*10,$D$133:$L$133,0))&gt;=MAX('Zone supèrieure'!N18,'Zone supèrieure'!O18),0),0),MATCH('Zone supèrieure'!$I$8*10,$D$133:$L$133,0)),2))</f>
        <v>1.57</v>
      </c>
      <c r="R126" s="225" t="str">
        <f t="shared" si="7"/>
        <v>2HA10=1.57cm²</v>
      </c>
      <c r="S126" s="225" t="str">
        <f t="shared" si="8"/>
        <v>2HA10=1.57cm²</v>
      </c>
    </row>
    <row r="127" spans="1:20" ht="17.25" thickTop="1" thickBot="1">
      <c r="J127" s="218">
        <v>1.2</v>
      </c>
      <c r="N127" s="225" t="str">
        <f>IF('Zone supèrieure'!L19=" ","",INDEX($A$134:$A$143,MATCH(TRUE,INDEX(INDEX($D$134:$L$143,0,MATCH('Zone supèrieure'!$F$8*10,$D$133:$L$133,0))&gt;='Zone supèrieure'!L19,0),0))&amp;"HA"&amp;'Zone supèrieure'!$F$8*10)</f>
        <v>2HA10</v>
      </c>
      <c r="O127" s="225" t="str">
        <f t="array" ref="O127">IF('Zone supèrieure'!N19=" ","",INDEX($A$134:$A$143,MATCH(TRUE,INDEX(INDEX($D$134:$L$143,0,MATCH('Zone supèrieure'!$I$8*10,$D$133:$L$133,0))&gt;=MAX('Zone supèrieure'!N19,'Zone supèrieure'!O19),0),0))&amp;"HA"&amp;'Zone supèrieure'!$I$8*10)</f>
        <v>2HA10</v>
      </c>
      <c r="P127" s="224">
        <f>IF(N127="","",ROUND(INDEX($D$134:$L$143,MATCH(TRUE,INDEX(INDEX($D$134:$L$143,0,MATCH('Zone supèrieure'!$F$8*10,$D$133:$L$133,0))&gt;='Zone supèrieure'!L19,0),0),MATCH('Zone supèrieure'!$F$8*10,$D$133:$L$133,0)),2))</f>
        <v>1.57</v>
      </c>
      <c r="Q127" s="224">
        <f t="array" ref="Q127">IF(O127="","",ROUND(INDEX($D$134:$L$143,MATCH(TRUE,INDEX(INDEX($D$134:$L$143,0,MATCH('Zone supèrieure'!$I$8*10,$D$133:$L$133,0))&gt;=MAX('Zone supèrieure'!N19,'Zone supèrieure'!O19),0),0),MATCH('Zone supèrieure'!$I$8*10,$D$133:$L$133,0)),2))</f>
        <v>1.57</v>
      </c>
      <c r="R127" s="225" t="str">
        <f t="shared" si="7"/>
        <v>2HA10=1.57cm²</v>
      </c>
      <c r="S127" s="225" t="str">
        <f t="shared" si="8"/>
        <v>2HA10=1.57cm²</v>
      </c>
    </row>
    <row r="128" spans="1:20" ht="17.25" thickTop="1" thickBot="1">
      <c r="J128" s="218">
        <v>1.4</v>
      </c>
      <c r="N128" s="225" t="str">
        <f>IF('Zone supèrieure'!L20=" ","",INDEX($A$134:$A$143,MATCH(TRUE,INDEX(INDEX($D$134:$L$143,0,MATCH('Zone supèrieure'!$F$8*10,$D$133:$L$133,0))&gt;='Zone supèrieure'!L20,0),0))&amp;"HA"&amp;'Zone supèrieure'!$F$8*10)</f>
        <v>2HA10</v>
      </c>
      <c r="O128" s="225" t="str">
        <f t="array" ref="O128">IF('Zone supèrieure'!N20=" ","",INDEX($A$134:$A$143,MATCH(TRUE,INDEX(INDEX($D$134:$L$143,0,MATCH('Zone supèrieure'!$I$8*10,$D$133:$L$133,0))&gt;=MAX('Zone supèrieure'!N20,'Zone supèrieure'!O20),0),0))&amp;"HA"&amp;'Zone supèrieure'!$I$8*10)</f>
        <v>2HA10</v>
      </c>
      <c r="P128" s="224">
        <f>IF(N128="","",ROUND(INDEX($D$134:$L$143,MATCH(TRUE,INDEX(INDEX($D$134:$L$143,0,MATCH('Zone supèrieure'!$F$8*10,$D$133:$L$133,0))&gt;='Zone supèrieure'!L20,0),0),MATCH('Zone supèrieure'!$F$8*10,$D$133:$L$133,0)),2))</f>
        <v>1.57</v>
      </c>
      <c r="Q128" s="224">
        <f t="array" ref="Q128">IF(O128="","",ROUND(INDEX($D$134:$L$143,MATCH(TRUE,INDEX(INDEX($D$134:$L$143,0,MATCH('Zone supèrieure'!$I$8*10,$D$133:$L$133,0))&gt;=MAX('Zone supèrieure'!N20,'Zone supèrieure'!O20),0),0),MATCH('Zone supèrieure'!$I$8*10,$D$133:$L$133,0)),2))</f>
        <v>1.57</v>
      </c>
      <c r="R128" s="225" t="str">
        <f t="shared" si="7"/>
        <v>2HA10=1.57cm²</v>
      </c>
      <c r="S128" s="225" t="str">
        <f t="shared" si="8"/>
        <v>2HA10=1.57cm²</v>
      </c>
    </row>
    <row r="129" spans="1:19" ht="17.25" thickTop="1" thickBot="1">
      <c r="J129" s="218">
        <v>1.6</v>
      </c>
      <c r="N129" s="225" t="str">
        <f>IF('Zone supèrieure'!L21=" ","",INDEX($A$134:$A$143,MATCH(TRUE,INDEX(INDEX($D$134:$L$143,0,MATCH('Zone supèrieure'!$F$8*10,$D$133:$L$133,0))&gt;='Zone supèrieure'!L21,0),0))&amp;"HA"&amp;'Zone supèrieure'!$F$8*10)</f>
        <v>2HA10</v>
      </c>
      <c r="O129" s="225" t="str">
        <f t="array" ref="O129">IF('Zone supèrieure'!N21=" ","",INDEX($A$134:$A$143,MATCH(TRUE,INDEX(INDEX($D$134:$L$143,0,MATCH('Zone supèrieure'!$I$8*10,$D$133:$L$133,0))&gt;=MAX('Zone supèrieure'!N21,'Zone supèrieure'!O21),0),0))&amp;"HA"&amp;'Zone supèrieure'!$I$8*10)</f>
        <v>2HA10</v>
      </c>
      <c r="P129" s="224">
        <f>IF(N129="","",ROUND(INDEX($D$134:$L$143,MATCH(TRUE,INDEX(INDEX($D$134:$L$143,0,MATCH('Zone supèrieure'!$F$8*10,$D$133:$L$133,0))&gt;='Zone supèrieure'!L21,0),0),MATCH('Zone supèrieure'!$F$8*10,$D$133:$L$133,0)),2))</f>
        <v>1.57</v>
      </c>
      <c r="Q129" s="224">
        <f t="array" ref="Q129">IF(O129="","",ROUND(INDEX($D$134:$L$143,MATCH(TRUE,INDEX(INDEX($D$134:$L$143,0,MATCH('Zone supèrieure'!$I$8*10,$D$133:$L$133,0))&gt;=MAX('Zone supèrieure'!N21,'Zone supèrieure'!O21),0),0),MATCH('Zone supèrieure'!$I$8*10,$D$133:$L$133,0)),2))</f>
        <v>1.57</v>
      </c>
      <c r="R129" s="225" t="str">
        <f t="shared" si="7"/>
        <v>2HA10=1.57cm²</v>
      </c>
      <c r="S129" s="225" t="str">
        <f t="shared" si="8"/>
        <v>2HA10=1.57cm²</v>
      </c>
    </row>
    <row r="130" spans="1:19" ht="17.25" thickTop="1" thickBot="1">
      <c r="J130" s="218">
        <v>2</v>
      </c>
      <c r="N130" s="225" t="str">
        <f>IF('Zone supèrieure'!L22=" ","",INDEX($A$134:$A$143,MATCH(TRUE,INDEX(INDEX($D$134:$L$143,0,MATCH('Zone supèrieure'!$F$8*10,$D$133:$L$133,0))&gt;='Zone supèrieure'!L22,0),0))&amp;"HA"&amp;'Zone supèrieure'!$F$8*10)</f>
        <v/>
      </c>
      <c r="O130" s="225" t="str">
        <f t="array" ref="O130">IF('Zone supèrieure'!N22=" ","",INDEX($A$134:$A$143,MATCH(TRUE,INDEX(INDEX($D$134:$L$143,0,MATCH('Zone supèrieure'!$I$8*10,$D$133:$L$133,0))&gt;=MAX('Zone supèrieure'!N22,'Zone supèrieure'!O22),0),0))&amp;"HA"&amp;'Zone supèrieure'!$I$8*10)</f>
        <v/>
      </c>
      <c r="P130" s="224" t="str">
        <f>IF(N130="","",ROUND(INDEX($D$134:$L$143,MATCH(TRUE,INDEX(INDEX($D$134:$L$143,0,MATCH('Zone supèrieure'!$F$8*10,$D$133:$L$133,0))&gt;='Zone supèrieure'!L22,0),0),MATCH('Zone supèrieure'!$F$8*10,$D$133:$L$133,0)),2))</f>
        <v/>
      </c>
      <c r="Q130" s="224" t="str">
        <f t="array" ref="Q130">IF(O130="","",ROUND(INDEX($D$134:$L$143,MATCH(TRUE,INDEX(INDEX($D$134:$L$143,0,MATCH('Zone supèrieure'!$I$8*10,$D$133:$L$133,0))&gt;=MAX('Zone supèrieure'!N22,'Zone supèrieure'!O22),0),0),MATCH('Zone supèrieure'!$I$8*10,$D$133:$L$133,0)),2))</f>
        <v/>
      </c>
      <c r="R130" s="225" t="str">
        <f t="shared" si="7"/>
        <v/>
      </c>
      <c r="S130" s="225" t="str">
        <f t="shared" si="8"/>
        <v/>
      </c>
    </row>
    <row r="131" spans="1:19" ht="17.25" thickTop="1" thickBot="1">
      <c r="N131" s="225" t="str">
        <f>IF('Zone supèrieure'!L23=" ","",INDEX($A$134:$A$143,MATCH(TRUE,INDEX(INDEX($D$134:$L$143,0,MATCH('Zone supèrieure'!$F$8*10,$D$133:$L$133,0))&gt;='Zone supèrieure'!L23,0),0))&amp;"HA"&amp;'Zone supèrieure'!$F$8*10)</f>
        <v/>
      </c>
      <c r="O131" s="225" t="str">
        <f t="array" ref="O131">IF('Zone supèrieure'!N23=" ","",INDEX($A$134:$A$143,MATCH(TRUE,INDEX(INDEX($D$134:$L$143,0,MATCH('Zone supèrieure'!$I$8*10,$D$133:$L$133,0))&gt;=MAX('Zone supèrieure'!N23,'Zone supèrieure'!O23),0),0))&amp;"HA"&amp;'Zone supèrieure'!$I$8*10)</f>
        <v/>
      </c>
      <c r="P131" s="224" t="str">
        <f>IF(N131="","",ROUND(INDEX($D$134:$L$143,MATCH(TRUE,INDEX(INDEX($D$134:$L$143,0,MATCH('Zone supèrieure'!$F$8*10,$D$133:$L$133,0))&gt;='Zone supèrieure'!L23,0),0),MATCH('Zone supèrieure'!$F$8*10,$D$133:$L$133,0)),2))</f>
        <v/>
      </c>
      <c r="Q131" s="224" t="str">
        <f t="array" ref="Q131">IF(O131="","",ROUND(INDEX($D$134:$L$143,MATCH(TRUE,INDEX(INDEX($D$134:$L$143,0,MATCH('Zone supèrieure'!$I$8*10,$D$133:$L$133,0))&gt;=MAX('Zone supèrieure'!N23,'Zone supèrieure'!O23),0),0),MATCH('Zone supèrieure'!$I$8*10,$D$133:$L$133,0)),2))</f>
        <v/>
      </c>
      <c r="R131" s="225" t="str">
        <f t="shared" si="7"/>
        <v/>
      </c>
      <c r="S131" s="225" t="str">
        <f t="shared" si="8"/>
        <v/>
      </c>
    </row>
    <row r="132" spans="1:19" ht="17.25" thickTop="1" thickBot="1">
      <c r="N132" s="225" t="str">
        <f>IF('Zone supèrieure'!L24=" ","",INDEX($A$134:$A$143,MATCH(TRUE,INDEX(INDEX($D$134:$L$143,0,MATCH('Zone supèrieure'!$F$8*10,$D$133:$L$133,0))&gt;='Zone supèrieure'!L24,0),0))&amp;"HA"&amp;'Zone supèrieure'!$F$8*10)</f>
        <v/>
      </c>
      <c r="O132" s="225" t="str">
        <f t="array" ref="O132">IF('Zone supèrieure'!N24=" ","",INDEX($A$134:$A$143,MATCH(TRUE,INDEX(INDEX($D$134:$L$143,0,MATCH('Zone supèrieure'!$I$8*10,$D$133:$L$133,0))&gt;=MAX('Zone supèrieure'!N24,'Zone supèrieure'!O24),0),0))&amp;"HA"&amp;'Zone supèrieure'!$I$8*10)</f>
        <v/>
      </c>
      <c r="P132" s="224" t="str">
        <f>IF(N132="","",ROUND(INDEX($D$134:$L$143,MATCH(TRUE,INDEX(INDEX($D$134:$L$143,0,MATCH('Zone supèrieure'!$F$8*10,$D$133:$L$133,0))&gt;='Zone supèrieure'!L24,0),0),MATCH('Zone supèrieure'!$F$8*10,$D$133:$L$133,0)),2))</f>
        <v/>
      </c>
      <c r="Q132" s="224" t="str">
        <f t="array" ref="Q132">IF(O132="","",ROUND(INDEX($D$134:$L$143,MATCH(TRUE,INDEX(INDEX($D$134:$L$143,0,MATCH('Zone supèrieure'!$I$8*10,$D$133:$L$133,0))&gt;=MAX('Zone supèrieure'!N24,'Zone supèrieure'!O24),0),0),MATCH('Zone supèrieure'!$I$8*10,$D$133:$L$133,0)),2))</f>
        <v/>
      </c>
      <c r="R132" s="225" t="str">
        <f t="shared" si="7"/>
        <v/>
      </c>
      <c r="S132" s="225" t="str">
        <f t="shared" si="8"/>
        <v/>
      </c>
    </row>
    <row r="133" spans="1:19" ht="17.25" thickTop="1" thickBot="1">
      <c r="A133" s="221" t="s">
        <v>229</v>
      </c>
      <c r="B133" s="222">
        <v>5</v>
      </c>
      <c r="C133" s="222">
        <f>B133+1</f>
        <v>6</v>
      </c>
      <c r="D133" s="222">
        <v>8</v>
      </c>
      <c r="E133" s="222">
        <v>10</v>
      </c>
      <c r="F133" s="222">
        <v>12</v>
      </c>
      <c r="G133" s="222">
        <v>14</v>
      </c>
      <c r="H133" s="222">
        <v>16</v>
      </c>
      <c r="I133" s="222">
        <v>20</v>
      </c>
      <c r="J133" s="222">
        <v>25</v>
      </c>
      <c r="K133" s="222">
        <v>32</v>
      </c>
      <c r="L133" s="222">
        <v>40</v>
      </c>
      <c r="N133" s="225" t="str">
        <f>IF('Zone supèrieure'!L25=" ","",INDEX($A$134:$A$143,MATCH(TRUE,INDEX(INDEX($D$134:$L$143,0,MATCH('Zone supèrieure'!$F$8*10,$D$133:$L$133,0))&gt;='Zone supèrieure'!L25,0),0))&amp;"HA"&amp;'Zone supèrieure'!$F$8*10)</f>
        <v/>
      </c>
      <c r="O133" s="225" t="str">
        <f t="array" ref="O133">IF('Zone supèrieure'!N25=" ","",INDEX($A$134:$A$143,MATCH(TRUE,INDEX(INDEX($D$134:$L$143,0,MATCH('Zone supèrieure'!$I$8*10,$D$133:$L$133,0))&gt;=MAX('Zone supèrieure'!N25,'Zone supèrieure'!O25),0),0))&amp;"HA"&amp;'Zone supèrieure'!$I$8*10)</f>
        <v/>
      </c>
      <c r="P133" s="224" t="str">
        <f>IF(N133="","",ROUND(INDEX($D$134:$L$143,MATCH(TRUE,INDEX(INDEX($D$134:$L$143,0,MATCH('Zone supèrieure'!$F$8*10,$D$133:$L$133,0))&gt;='Zone supèrieure'!L25,0),0),MATCH('Zone supèrieure'!$F$8*10,$D$133:$L$133,0)),2))</f>
        <v/>
      </c>
      <c r="Q133" s="224" t="str">
        <f t="array" ref="Q133">IF(O133="","",ROUND(INDEX($D$134:$L$143,MATCH(TRUE,INDEX(INDEX($D$134:$L$143,0,MATCH('Zone supèrieure'!$I$8*10,$D$133:$L$133,0))&gt;=MAX('Zone supèrieure'!N25,'Zone supèrieure'!O25),0),0),MATCH('Zone supèrieure'!$I$8*10,$D$133:$L$133,0)),2))</f>
        <v/>
      </c>
      <c r="R133" s="225" t="str">
        <f t="shared" si="7"/>
        <v/>
      </c>
      <c r="S133" s="225" t="str">
        <f t="shared" si="8"/>
        <v/>
      </c>
    </row>
    <row r="134" spans="1:19" ht="17.25" thickTop="1" thickBot="1">
      <c r="A134" s="222">
        <v>2</v>
      </c>
      <c r="B134" s="223">
        <f t="shared" ref="B134:L143" si="9">PI()*POWER(B$133*0.1,2)/4*$A134</f>
        <v>0.39269908169872414</v>
      </c>
      <c r="C134" s="223">
        <f t="shared" ref="C134:L141" si="10">PI()*POWER(C$133*0.1,2)/4*$A134</f>
        <v>0.56548667764616289</v>
      </c>
      <c r="D134" s="223">
        <f t="shared" si="10"/>
        <v>1.0053096491487339</v>
      </c>
      <c r="E134" s="223">
        <f t="shared" si="10"/>
        <v>1.5707963267948966</v>
      </c>
      <c r="F134" s="223">
        <f t="shared" si="10"/>
        <v>2.2619467105846516</v>
      </c>
      <c r="G134" s="223">
        <f t="shared" si="10"/>
        <v>3.0787608005179981</v>
      </c>
      <c r="H134" s="223">
        <f t="shared" si="10"/>
        <v>4.0212385965949355</v>
      </c>
      <c r="I134" s="223">
        <f t="shared" si="10"/>
        <v>6.2831853071795862</v>
      </c>
      <c r="J134" s="223">
        <f t="shared" si="10"/>
        <v>9.8174770424681039</v>
      </c>
      <c r="K134" s="223">
        <f t="shared" si="10"/>
        <v>16.084954386379742</v>
      </c>
      <c r="L134" s="223">
        <f t="shared" si="10"/>
        <v>25.132741228718345</v>
      </c>
      <c r="N134" s="225" t="str">
        <f>IF('Zone supèrieure'!L26=" ","",INDEX($A$134:$A$143,MATCH(TRUE,INDEX(INDEX($D$134:$L$143,0,MATCH('Zone supèrieure'!$F$8*10,$D$133:$L$133,0))&gt;='Zone supèrieure'!L26,0),0))&amp;"HA"&amp;'Zone supèrieure'!$F$8*10)</f>
        <v/>
      </c>
      <c r="O134" s="225" t="str">
        <f t="array" ref="O134">IF('Zone supèrieure'!N26=" ","",INDEX($A$134:$A$143,MATCH(TRUE,INDEX(INDEX($D$134:$L$143,0,MATCH('Zone supèrieure'!$I$8*10,$D$133:$L$133,0))&gt;=MAX('Zone supèrieure'!N26,'Zone supèrieure'!O26),0),0))&amp;"HA"&amp;'Zone supèrieure'!$I$8*10)</f>
        <v/>
      </c>
      <c r="P134" s="224" t="str">
        <f>IF(N134="","",ROUND(INDEX($D$134:$L$143,MATCH(TRUE,INDEX(INDEX($D$134:$L$143,0,MATCH('Zone supèrieure'!$F$8*10,$D$133:$L$133,0))&gt;='Zone supèrieure'!L26,0),0),MATCH('Zone supèrieure'!$F$8*10,$D$133:$L$133,0)),2))</f>
        <v/>
      </c>
      <c r="Q134" s="224" t="str">
        <f t="array" ref="Q134">IF(O134="","",ROUND(INDEX($D$134:$L$143,MATCH(TRUE,INDEX(INDEX($D$134:$L$143,0,MATCH('Zone supèrieure'!$I$8*10,$D$133:$L$133,0))&gt;=MAX('Zone supèrieure'!N26,'Zone supèrieure'!O26),0),0),MATCH('Zone supèrieure'!$I$8*10,$D$133:$L$133,0)),2))</f>
        <v/>
      </c>
      <c r="R134" s="225" t="str">
        <f t="shared" si="7"/>
        <v/>
      </c>
      <c r="S134" s="225" t="str">
        <f t="shared" si="8"/>
        <v/>
      </c>
    </row>
    <row r="135" spans="1:19" ht="17.25" thickTop="1" thickBot="1">
      <c r="A135" s="222">
        <v>4</v>
      </c>
      <c r="B135" s="223">
        <f t="shared" si="9"/>
        <v>0.78539816339744828</v>
      </c>
      <c r="C135" s="223">
        <f t="shared" si="10"/>
        <v>1.1309733552923258</v>
      </c>
      <c r="D135" s="223">
        <f t="shared" si="10"/>
        <v>2.0106192982974678</v>
      </c>
      <c r="E135" s="223">
        <f t="shared" si="10"/>
        <v>3.1415926535897931</v>
      </c>
      <c r="F135" s="223">
        <f t="shared" si="10"/>
        <v>4.5238934211693032</v>
      </c>
      <c r="G135" s="223">
        <f t="shared" si="10"/>
        <v>6.1575216010359961</v>
      </c>
      <c r="H135" s="223">
        <f t="shared" si="10"/>
        <v>8.0424771931898711</v>
      </c>
      <c r="I135" s="223">
        <f t="shared" si="10"/>
        <v>12.566370614359172</v>
      </c>
      <c r="J135" s="223">
        <f t="shared" si="10"/>
        <v>19.634954084936208</v>
      </c>
      <c r="K135" s="223">
        <f t="shared" si="10"/>
        <v>32.169908772759484</v>
      </c>
      <c r="L135" s="223">
        <f t="shared" si="10"/>
        <v>50.26548245743669</v>
      </c>
      <c r="N135" s="225" t="str">
        <f>IF('Zone supèrieure'!L27=" ","",INDEX($A$134:$A$143,MATCH(TRUE,INDEX(INDEX($D$134:$L$143,0,MATCH('Zone supèrieure'!$F$8*10,$D$133:$L$133,0))&gt;='Zone supèrieure'!L27,0),0))&amp;"HA"&amp;'Zone supèrieure'!$F$8*10)</f>
        <v/>
      </c>
      <c r="O135" s="225" t="str">
        <f t="array" ref="O135">IF('Zone supèrieure'!N27=" ","",INDEX($A$134:$A$143,MATCH(TRUE,INDEX(INDEX($D$134:$L$143,0,MATCH('Zone supèrieure'!$I$8*10,$D$133:$L$133,0))&gt;=MAX('Zone supèrieure'!N27,'Zone supèrieure'!O27),0),0))&amp;"HA"&amp;'Zone supèrieure'!$I$8*10)</f>
        <v/>
      </c>
      <c r="P135" s="224" t="str">
        <f>IF(N135="","",ROUND(INDEX($D$134:$L$143,MATCH(TRUE,INDEX(INDEX($D$134:$L$143,0,MATCH('Zone supèrieure'!$F$8*10,$D$133:$L$133,0))&gt;='Zone supèrieure'!L27,0),0),MATCH('Zone supèrieure'!$F$8*10,$D$133:$L$133,0)),2))</f>
        <v/>
      </c>
      <c r="Q135" s="224" t="str">
        <f t="array" ref="Q135">IF(O135="","",ROUND(INDEX($D$134:$L$143,MATCH(TRUE,INDEX(INDEX($D$134:$L$143,0,MATCH('Zone supèrieure'!$I$8*10,$D$133:$L$133,0))&gt;=MAX('Zone supèrieure'!N27,'Zone supèrieure'!O27),0),0),MATCH('Zone supèrieure'!$I$8*10,$D$133:$L$133,0)),2))</f>
        <v/>
      </c>
      <c r="R135" s="225" t="str">
        <f t="shared" si="7"/>
        <v/>
      </c>
      <c r="S135" s="225" t="str">
        <f t="shared" si="8"/>
        <v/>
      </c>
    </row>
    <row r="136" spans="1:19" ht="17.25" thickTop="1" thickBot="1">
      <c r="A136" s="222">
        <v>6</v>
      </c>
      <c r="B136" s="223">
        <f t="shared" si="9"/>
        <v>1.1780972450961724</v>
      </c>
      <c r="C136" s="223">
        <f t="shared" si="10"/>
        <v>1.6964600329384887</v>
      </c>
      <c r="D136" s="223">
        <f t="shared" si="10"/>
        <v>3.0159289474462017</v>
      </c>
      <c r="E136" s="223">
        <f t="shared" si="10"/>
        <v>4.7123889803846897</v>
      </c>
      <c r="F136" s="223">
        <f t="shared" si="10"/>
        <v>6.7858401317539547</v>
      </c>
      <c r="G136" s="223">
        <f t="shared" si="10"/>
        <v>9.2362824015539946</v>
      </c>
      <c r="H136" s="223">
        <f t="shared" si="10"/>
        <v>12.063715789784807</v>
      </c>
      <c r="I136" s="223">
        <f t="shared" si="10"/>
        <v>18.849555921538759</v>
      </c>
      <c r="J136" s="223">
        <f t="shared" si="10"/>
        <v>29.45243112740431</v>
      </c>
      <c r="K136" s="223">
        <f t="shared" si="10"/>
        <v>48.254863159139227</v>
      </c>
      <c r="L136" s="223">
        <f t="shared" si="10"/>
        <v>75.398223686155035</v>
      </c>
      <c r="N136" s="225" t="str">
        <f>IF('Zone supèrieure'!L28=" ","",INDEX($A$134:$A$143,MATCH(TRUE,INDEX(INDEX($D$134:$L$143,0,MATCH('Zone supèrieure'!$F$8*10,$D$133:$L$133,0))&gt;='Zone supèrieure'!L28,0),0))&amp;"HA"&amp;'Zone supèrieure'!$F$8*10)</f>
        <v/>
      </c>
      <c r="O136" s="225" t="str">
        <f t="array" ref="O136">IF('Zone supèrieure'!N28=" ","",INDEX($A$134:$A$143,MATCH(TRUE,INDEX(INDEX($D$134:$L$143,0,MATCH('Zone supèrieure'!$I$8*10,$D$133:$L$133,0))&gt;=MAX('Zone supèrieure'!N28,'Zone supèrieure'!O28),0),0))&amp;"HA"&amp;'Zone supèrieure'!$I$8*10)</f>
        <v/>
      </c>
      <c r="P136" s="224" t="str">
        <f>IF(N136="","",ROUND(INDEX($D$134:$L$143,MATCH(TRUE,INDEX(INDEX($D$134:$L$143,0,MATCH('Zone supèrieure'!$F$8*10,$D$133:$L$133,0))&gt;='Zone supèrieure'!L28,0),0),MATCH('Zone supèrieure'!$F$8*10,$D$133:$L$133,0)),2))</f>
        <v/>
      </c>
      <c r="Q136" s="224" t="str">
        <f t="array" ref="Q136">IF(O136="","",ROUND(INDEX($D$134:$L$143,MATCH(TRUE,INDEX(INDEX($D$134:$L$143,0,MATCH('Zone supèrieure'!$I$8*10,$D$133:$L$133,0))&gt;=MAX('Zone supèrieure'!N28,'Zone supèrieure'!O28),0),0),MATCH('Zone supèrieure'!$I$8*10,$D$133:$L$133,0)),2))</f>
        <v/>
      </c>
      <c r="R136" s="225" t="str">
        <f t="shared" si="7"/>
        <v/>
      </c>
      <c r="S136" s="225" t="str">
        <f t="shared" si="8"/>
        <v/>
      </c>
    </row>
    <row r="137" spans="1:19" ht="17.25" thickTop="1" thickBot="1">
      <c r="A137" s="222">
        <v>8</v>
      </c>
      <c r="B137" s="223">
        <f t="shared" si="9"/>
        <v>1.5707963267948966</v>
      </c>
      <c r="C137" s="223">
        <f t="shared" si="10"/>
        <v>2.2619467105846516</v>
      </c>
      <c r="D137" s="223">
        <f t="shared" si="10"/>
        <v>4.0212385965949355</v>
      </c>
      <c r="E137" s="223">
        <f t="shared" si="10"/>
        <v>6.2831853071795862</v>
      </c>
      <c r="F137" s="223">
        <f t="shared" si="10"/>
        <v>9.0477868423386063</v>
      </c>
      <c r="G137" s="223">
        <f t="shared" si="10"/>
        <v>12.315043202071992</v>
      </c>
      <c r="H137" s="223">
        <f t="shared" si="10"/>
        <v>16.084954386379742</v>
      </c>
      <c r="I137" s="223">
        <f t="shared" si="10"/>
        <v>25.132741228718345</v>
      </c>
      <c r="J137" s="223">
        <f t="shared" si="10"/>
        <v>39.269908169872416</v>
      </c>
      <c r="K137" s="223">
        <f t="shared" si="10"/>
        <v>64.339817545518969</v>
      </c>
      <c r="L137" s="223">
        <f t="shared" si="10"/>
        <v>100.53096491487338</v>
      </c>
      <c r="N137" s="225" t="str">
        <f>IF('Zone supèrieure'!L29=" ","",INDEX($A$134:$A$143,MATCH(TRUE,INDEX(INDEX($D$134:$L$143,0,MATCH('Zone supèrieure'!$F$8*10,$D$133:$L$133,0))&gt;='Zone supèrieure'!L29,0),0))&amp;"HA"&amp;'Zone supèrieure'!$F$8*10)</f>
        <v/>
      </c>
      <c r="O137" s="225" t="str">
        <f t="array" ref="O137">IF('Zone supèrieure'!N29=" ","",INDEX($A$134:$A$143,MATCH(TRUE,INDEX(INDEX($D$134:$L$143,0,MATCH('Zone supèrieure'!$I$8*10,$D$133:$L$133,0))&gt;=MAX('Zone supèrieure'!N29,'Zone supèrieure'!O29),0),0))&amp;"HA"&amp;'Zone supèrieure'!$I$8*10)</f>
        <v/>
      </c>
      <c r="P137" s="224" t="str">
        <f>IF(N137="","",ROUND(INDEX($D$134:$L$143,MATCH(TRUE,INDEX(INDEX($D$134:$L$143,0,MATCH('Zone supèrieure'!$F$8*10,$D$133:$L$133,0))&gt;='Zone supèrieure'!L29,0),0),MATCH('Zone supèrieure'!$F$8*10,$D$133:$L$133,0)),2))</f>
        <v/>
      </c>
      <c r="Q137" s="224" t="str">
        <f t="array" ref="Q137">IF(O137="","",ROUND(INDEX($D$134:$L$143,MATCH(TRUE,INDEX(INDEX($D$134:$L$143,0,MATCH('Zone supèrieure'!$I$8*10,$D$133:$L$133,0))&gt;=MAX('Zone supèrieure'!N29,'Zone supèrieure'!O29),0),0),MATCH('Zone supèrieure'!$I$8*10,$D$133:$L$133,0)),2))</f>
        <v/>
      </c>
      <c r="R137" s="225" t="str">
        <f t="shared" si="7"/>
        <v/>
      </c>
      <c r="S137" s="225" t="str">
        <f t="shared" si="8"/>
        <v/>
      </c>
    </row>
    <row r="138" spans="1:19" ht="17.25" thickTop="1" thickBot="1">
      <c r="A138" s="222">
        <v>10</v>
      </c>
      <c r="B138" s="223">
        <f t="shared" si="9"/>
        <v>1.9634954084936207</v>
      </c>
      <c r="C138" s="223">
        <f t="shared" si="10"/>
        <v>2.8274333882308147</v>
      </c>
      <c r="D138" s="223">
        <f t="shared" si="10"/>
        <v>5.026548245743669</v>
      </c>
      <c r="E138" s="223">
        <f t="shared" si="10"/>
        <v>7.8539816339744828</v>
      </c>
      <c r="F138" s="223">
        <f t="shared" si="10"/>
        <v>11.309733552923259</v>
      </c>
      <c r="G138" s="223">
        <f t="shared" si="10"/>
        <v>15.39380400258999</v>
      </c>
      <c r="H138" s="223">
        <f t="shared" si="10"/>
        <v>20.106192982974676</v>
      </c>
      <c r="I138" s="223">
        <f t="shared" si="10"/>
        <v>31.415926535897931</v>
      </c>
      <c r="J138" s="223">
        <f t="shared" si="10"/>
        <v>49.087385212340521</v>
      </c>
      <c r="K138" s="223">
        <f t="shared" si="10"/>
        <v>80.424771931898704</v>
      </c>
      <c r="L138" s="223">
        <f t="shared" si="10"/>
        <v>125.66370614359172</v>
      </c>
      <c r="N138" s="225" t="str">
        <f>IF('Zone supèrieure'!L30=" ","",INDEX($A$134:$A$143,MATCH(TRUE,INDEX(INDEX($D$134:$L$143,0,MATCH('Zone supèrieure'!$F$8*10,$D$133:$L$133,0))&gt;='Zone supèrieure'!L30,0),0))&amp;"HA"&amp;'Zone supèrieure'!$F$8*10)</f>
        <v/>
      </c>
      <c r="O138" s="225" t="str">
        <f t="array" ref="O138">IF('Zone supèrieure'!N30=" ","",INDEX($A$134:$A$143,MATCH(TRUE,INDEX(INDEX($D$134:$L$143,0,MATCH('Zone supèrieure'!$I$8*10,$D$133:$L$133,0))&gt;=MAX('Zone supèrieure'!N30,'Zone supèrieure'!O30),0),0))&amp;"HA"&amp;'Zone supèrieure'!$I$8*10)</f>
        <v/>
      </c>
      <c r="P138" s="224" t="str">
        <f>IF(N138="","",ROUND(INDEX($D$134:$L$143,MATCH(TRUE,INDEX(INDEX($D$134:$L$143,0,MATCH('Zone supèrieure'!$F$8*10,$D$133:$L$133,0))&gt;='Zone supèrieure'!L30,0),0),MATCH('Zone supèrieure'!$F$8*10,$D$133:$L$133,0)),2))</f>
        <v/>
      </c>
      <c r="Q138" s="224" t="str">
        <f t="array" ref="Q138">IF(O138="","",ROUND(INDEX($D$134:$L$143,MATCH(TRUE,INDEX(INDEX($D$134:$L$143,0,MATCH('Zone supèrieure'!$I$8*10,$D$133:$L$133,0))&gt;=MAX('Zone supèrieure'!N30,'Zone supèrieure'!O30),0),0),MATCH('Zone supèrieure'!$I$8*10,$D$133:$L$133,0)),2))</f>
        <v/>
      </c>
      <c r="R138" s="225" t="str">
        <f t="shared" si="7"/>
        <v/>
      </c>
      <c r="S138" s="225" t="str">
        <f t="shared" si="8"/>
        <v/>
      </c>
    </row>
    <row r="139" spans="1:19" ht="17.25" thickTop="1" thickBot="1">
      <c r="A139" s="222">
        <v>12</v>
      </c>
      <c r="B139" s="223">
        <f t="shared" si="9"/>
        <v>2.3561944901923448</v>
      </c>
      <c r="C139" s="223">
        <f t="shared" si="10"/>
        <v>3.3929200658769774</v>
      </c>
      <c r="D139" s="223">
        <f t="shared" si="10"/>
        <v>6.0318578948924033</v>
      </c>
      <c r="E139" s="223">
        <f t="shared" si="10"/>
        <v>9.4247779607693793</v>
      </c>
      <c r="F139" s="223">
        <f t="shared" si="10"/>
        <v>13.571680263507909</v>
      </c>
      <c r="G139" s="223">
        <f t="shared" si="10"/>
        <v>18.472564803107989</v>
      </c>
      <c r="H139" s="223">
        <f t="shared" si="10"/>
        <v>24.127431579569613</v>
      </c>
      <c r="I139" s="223">
        <f t="shared" si="10"/>
        <v>37.699111843077517</v>
      </c>
      <c r="J139" s="223">
        <f t="shared" si="10"/>
        <v>58.90486225480862</v>
      </c>
      <c r="K139" s="223">
        <f t="shared" si="10"/>
        <v>96.509726318278453</v>
      </c>
      <c r="L139" s="223">
        <f t="shared" si="10"/>
        <v>150.79644737231007</v>
      </c>
      <c r="N139" s="225" t="str">
        <f>IF('Zone supèrieure'!L31=" ","",INDEX($A$134:$A$143,MATCH(TRUE,INDEX(INDEX($D$134:$L$143,0,MATCH('Zone supèrieure'!$F$8*10,$D$133:$L$133,0))&gt;='Zone supèrieure'!L31,0),0))&amp;"HA"&amp;'Zone supèrieure'!$F$8*10)</f>
        <v/>
      </c>
      <c r="O139" s="225" t="str">
        <f t="array" ref="O139">IF('Zone supèrieure'!N31=" ","",INDEX($A$134:$A$143,MATCH(TRUE,INDEX(INDEX($D$134:$L$143,0,MATCH('Zone supèrieure'!$I$8*10,$D$133:$L$133,0))&gt;=MAX('Zone supèrieure'!N31,'Zone supèrieure'!O31),0),0))&amp;"HA"&amp;'Zone supèrieure'!$I$8*10)</f>
        <v/>
      </c>
      <c r="P139" s="224" t="str">
        <f>IF(N139="","",ROUND(INDEX($D$134:$L$143,MATCH(TRUE,INDEX(INDEX($D$134:$L$143,0,MATCH('Zone supèrieure'!$F$8*10,$D$133:$L$133,0))&gt;='Zone supèrieure'!L31,0),0),MATCH('Zone supèrieure'!$F$8*10,$D$133:$L$133,0)),2))</f>
        <v/>
      </c>
      <c r="Q139" s="224" t="str">
        <f t="array" ref="Q139">IF(O139="","",ROUND(INDEX($D$134:$L$143,MATCH(TRUE,INDEX(INDEX($D$134:$L$143,0,MATCH('Zone supèrieure'!$I$8*10,$D$133:$L$133,0))&gt;=MAX('Zone supèrieure'!N31,'Zone supèrieure'!O31),0),0),MATCH('Zone supèrieure'!$I$8*10,$D$133:$L$133,0)),2))</f>
        <v/>
      </c>
      <c r="R139" s="225" t="str">
        <f t="shared" si="7"/>
        <v/>
      </c>
      <c r="S139" s="225" t="str">
        <f t="shared" si="8"/>
        <v/>
      </c>
    </row>
    <row r="140" spans="1:19" ht="17.25" thickTop="1" thickBot="1">
      <c r="A140" s="222">
        <v>14</v>
      </c>
      <c r="B140" s="223">
        <f t="shared" si="9"/>
        <v>2.748893571891069</v>
      </c>
      <c r="C140" s="223">
        <f t="shared" si="10"/>
        <v>3.95840674352314</v>
      </c>
      <c r="D140" s="223">
        <f t="shared" si="10"/>
        <v>7.0371675440411376</v>
      </c>
      <c r="E140" s="223">
        <f t="shared" si="10"/>
        <v>10.995574287564276</v>
      </c>
      <c r="F140" s="223">
        <f t="shared" si="10"/>
        <v>15.83362697409256</v>
      </c>
      <c r="G140" s="223">
        <f t="shared" si="10"/>
        <v>21.551325603625987</v>
      </c>
      <c r="H140" s="223">
        <f t="shared" si="10"/>
        <v>28.148670176164551</v>
      </c>
      <c r="I140" s="223">
        <f t="shared" si="10"/>
        <v>43.982297150257104</v>
      </c>
      <c r="J140" s="223">
        <f t="shared" si="10"/>
        <v>68.722339297276733</v>
      </c>
      <c r="K140" s="223">
        <f t="shared" si="10"/>
        <v>112.5946807046582</v>
      </c>
      <c r="L140" s="223">
        <f t="shared" si="10"/>
        <v>175.92918860102841</v>
      </c>
      <c r="N140" s="225" t="str">
        <f>IF('Zone supèrieure'!L32=" ","",INDEX($A$134:$A$143,MATCH(TRUE,INDEX(INDEX($D$134:$L$143,0,MATCH('Zone supèrieure'!$F$8*10,$D$133:$L$133,0))&gt;='Zone supèrieure'!L32,0),0))&amp;"HA"&amp;'Zone supèrieure'!$F$8*10)</f>
        <v/>
      </c>
      <c r="O140" s="225" t="str">
        <f t="array" ref="O140">IF('Zone supèrieure'!N32=" ","",INDEX($A$134:$A$143,MATCH(TRUE,INDEX(INDEX($D$134:$L$143,0,MATCH('Zone supèrieure'!$I$8*10,$D$133:$L$133,0))&gt;=MAX('Zone supèrieure'!N32,'Zone supèrieure'!O32),0),0))&amp;"HA"&amp;'Zone supèrieure'!$I$8*10)</f>
        <v/>
      </c>
      <c r="P140" s="224" t="str">
        <f>IF(N140="","",ROUND(INDEX($D$134:$L$143,MATCH(TRUE,INDEX(INDEX($D$134:$L$143,0,MATCH('Zone supèrieure'!$F$8*10,$D$133:$L$133,0))&gt;='Zone supèrieure'!L32,0),0),MATCH('Zone supèrieure'!$F$8*10,$D$133:$L$133,0)),2))</f>
        <v/>
      </c>
      <c r="Q140" s="224" t="str">
        <f t="array" ref="Q140">IF(O140="","",ROUND(INDEX($D$134:$L$143,MATCH(TRUE,INDEX(INDEX($D$134:$L$143,0,MATCH('Zone supèrieure'!$I$8*10,$D$133:$L$133,0))&gt;=MAX('Zone supèrieure'!N32,'Zone supèrieure'!O32),0),0),MATCH('Zone supèrieure'!$I$8*10,$D$133:$L$133,0)),2))</f>
        <v/>
      </c>
      <c r="R140" s="225" t="str">
        <f t="shared" si="7"/>
        <v/>
      </c>
      <c r="S140" s="225" t="str">
        <f t="shared" si="8"/>
        <v/>
      </c>
    </row>
    <row r="141" spans="1:19" ht="17.25" thickTop="1" thickBot="1">
      <c r="A141" s="222">
        <v>16</v>
      </c>
      <c r="B141" s="223">
        <f t="shared" si="9"/>
        <v>3.1415926535897931</v>
      </c>
      <c r="C141" s="223">
        <f t="shared" si="10"/>
        <v>4.5238934211693032</v>
      </c>
      <c r="D141" s="223">
        <f t="shared" si="10"/>
        <v>8.0424771931898711</v>
      </c>
      <c r="E141" s="223">
        <f t="shared" si="10"/>
        <v>12.566370614359172</v>
      </c>
      <c r="F141" s="223">
        <f t="shared" si="10"/>
        <v>18.095573684677213</v>
      </c>
      <c r="G141" s="223">
        <f t="shared" si="10"/>
        <v>24.630086404143984</v>
      </c>
      <c r="H141" s="223">
        <f t="shared" si="10"/>
        <v>32.169908772759484</v>
      </c>
      <c r="I141" s="223">
        <f t="shared" si="10"/>
        <v>50.26548245743669</v>
      </c>
      <c r="J141" s="223">
        <f t="shared" si="10"/>
        <v>78.539816339744831</v>
      </c>
      <c r="K141" s="223">
        <f t="shared" si="10"/>
        <v>128.67963509103794</v>
      </c>
      <c r="L141" s="223">
        <f t="shared" si="10"/>
        <v>201.06192982974676</v>
      </c>
      <c r="N141" s="225" t="str">
        <f>IF('Zone supèrieure'!L33=" ","",INDEX($A$134:$A$143,MATCH(TRUE,INDEX(INDEX($D$134:$L$143,0,MATCH('Zone supèrieure'!$F$8*10,$D$133:$L$133,0))&gt;='Zone supèrieure'!L33,0),0))&amp;"HA"&amp;'Zone supèrieure'!$F$8*10)</f>
        <v/>
      </c>
      <c r="O141" s="225" t="str">
        <f t="array" ref="O141">IF('Zone supèrieure'!N33=" ","",INDEX($A$134:$A$143,MATCH(TRUE,INDEX(INDEX($D$134:$L$143,0,MATCH('Zone supèrieure'!$I$8*10,$D$133:$L$133,0))&gt;=MAX('Zone supèrieure'!N33,'Zone supèrieure'!O33),0),0))&amp;"HA"&amp;'Zone supèrieure'!$I$8*10)</f>
        <v/>
      </c>
      <c r="P141" s="224" t="str">
        <f>IF(N141="","",ROUND(INDEX($D$134:$L$143,MATCH(TRUE,INDEX(INDEX($D$134:$L$143,0,MATCH('Zone supèrieure'!$F$8*10,$D$133:$L$133,0))&gt;='Zone supèrieure'!L33,0),0),MATCH('Zone supèrieure'!$F$8*10,$D$133:$L$133,0)),2))</f>
        <v/>
      </c>
      <c r="Q141" s="224" t="str">
        <f t="array" ref="Q141">IF(O141="","",ROUND(INDEX($D$134:$L$143,MATCH(TRUE,INDEX(INDEX($D$134:$L$143,0,MATCH('Zone supèrieure'!$I$8*10,$D$133:$L$133,0))&gt;=MAX('Zone supèrieure'!N33,'Zone supèrieure'!O33),0),0),MATCH('Zone supèrieure'!$I$8*10,$D$133:$L$133,0)),2))</f>
        <v/>
      </c>
      <c r="R141" s="225" t="str">
        <f t="shared" si="7"/>
        <v/>
      </c>
      <c r="S141" s="225" t="str">
        <f t="shared" si="8"/>
        <v/>
      </c>
    </row>
    <row r="142" spans="1:19" ht="17.25" thickTop="1" thickBot="1">
      <c r="A142" s="222">
        <v>18</v>
      </c>
      <c r="B142" s="223">
        <f t="shared" si="9"/>
        <v>3.5342917352885173</v>
      </c>
      <c r="C142" s="223">
        <f t="shared" si="9"/>
        <v>5.0893800988154663</v>
      </c>
      <c r="D142" s="223">
        <f t="shared" si="9"/>
        <v>9.0477868423386045</v>
      </c>
      <c r="E142" s="223">
        <f t="shared" si="9"/>
        <v>14.137166941154069</v>
      </c>
      <c r="F142" s="223">
        <f t="shared" si="9"/>
        <v>20.357520395261865</v>
      </c>
      <c r="G142" s="223">
        <f t="shared" si="9"/>
        <v>27.708847204661982</v>
      </c>
      <c r="H142" s="223">
        <f t="shared" si="9"/>
        <v>36.191147369354418</v>
      </c>
      <c r="I142" s="223">
        <f t="shared" si="9"/>
        <v>56.548667764616276</v>
      </c>
      <c r="J142" s="223">
        <f t="shared" si="9"/>
        <v>88.35729338221293</v>
      </c>
      <c r="K142" s="223">
        <f t="shared" si="9"/>
        <v>144.76458947741767</v>
      </c>
      <c r="L142" s="223">
        <f t="shared" si="9"/>
        <v>226.1946710584651</v>
      </c>
      <c r="N142" s="225" t="str">
        <f>IF('Zone supèrieure'!L34=" ","",INDEX($A$134:$A$143,MATCH(TRUE,INDEX(INDEX($D$134:$L$143,0,MATCH('Zone supèrieure'!$F$8*10,$D$133:$L$133,0))&gt;='Zone supèrieure'!L34,0),0))&amp;"HA"&amp;'Zone supèrieure'!$F$8*10)</f>
        <v/>
      </c>
      <c r="O142" s="225" t="str">
        <f t="array" ref="O142">IF('Zone supèrieure'!N34=" ","",INDEX($A$134:$A$143,MATCH(TRUE,INDEX(INDEX($D$134:$L$143,0,MATCH('Zone supèrieure'!$I$8*10,$D$133:$L$133,0))&gt;=MAX('Zone supèrieure'!N34,'Zone supèrieure'!O34),0),0))&amp;"HA"&amp;'Zone supèrieure'!$I$8*10)</f>
        <v/>
      </c>
      <c r="P142" s="224" t="str">
        <f>IF(N142="","",ROUND(INDEX($D$134:$L$143,MATCH(TRUE,INDEX(INDEX($D$134:$L$143,0,MATCH('Zone supèrieure'!$F$8*10,$D$133:$L$133,0))&gt;='Zone supèrieure'!L34,0),0),MATCH('Zone supèrieure'!$F$8*10,$D$133:$L$133,0)),2))</f>
        <v/>
      </c>
      <c r="Q142" s="224" t="str">
        <f t="array" ref="Q142">IF(O142="","",ROUND(INDEX($D$134:$L$143,MATCH(TRUE,INDEX(INDEX($D$134:$L$143,0,MATCH('Zone supèrieure'!$I$8*10,$D$133:$L$133,0))&gt;=MAX('Zone supèrieure'!N34,'Zone supèrieure'!O34),0),0),MATCH('Zone supèrieure'!$I$8*10,$D$133:$L$133,0)),2))</f>
        <v/>
      </c>
      <c r="R142" s="225" t="str">
        <f t="shared" si="7"/>
        <v/>
      </c>
      <c r="S142" s="225" t="str">
        <f t="shared" si="8"/>
        <v/>
      </c>
    </row>
    <row r="143" spans="1:19" ht="17.25" thickTop="1" thickBot="1">
      <c r="A143" s="222">
        <v>20</v>
      </c>
      <c r="B143" s="223">
        <f t="shared" si="9"/>
        <v>3.9269908169872414</v>
      </c>
      <c r="C143" s="223">
        <f t="shared" si="9"/>
        <v>5.6548667764616294</v>
      </c>
      <c r="D143" s="223">
        <f t="shared" si="9"/>
        <v>10.053096491487338</v>
      </c>
      <c r="E143" s="223">
        <f t="shared" si="9"/>
        <v>15.707963267948966</v>
      </c>
      <c r="F143" s="223">
        <f t="shared" si="9"/>
        <v>22.619467105846518</v>
      </c>
      <c r="G143" s="223">
        <f t="shared" si="9"/>
        <v>30.78760800517998</v>
      </c>
      <c r="H143" s="223">
        <f t="shared" si="9"/>
        <v>40.212385965949352</v>
      </c>
      <c r="I143" s="223">
        <f t="shared" si="9"/>
        <v>62.831853071795862</v>
      </c>
      <c r="J143" s="223">
        <f t="shared" si="9"/>
        <v>98.174770424681043</v>
      </c>
      <c r="K143" s="223">
        <f t="shared" si="9"/>
        <v>160.84954386379741</v>
      </c>
      <c r="L143" s="223">
        <f t="shared" si="9"/>
        <v>251.32741228718345</v>
      </c>
      <c r="N143" s="225" t="str">
        <f>IF('Zone supèrieure'!L35=" ","",INDEX($A$134:$A$143,MATCH(TRUE,INDEX(INDEX($D$134:$L$143,0,MATCH('Zone supèrieure'!$F$8*10,$D$133:$L$133,0))&gt;='Zone supèrieure'!L35,0),0))&amp;"HA"&amp;'Zone supèrieure'!$F$8*10)</f>
        <v/>
      </c>
      <c r="O143" s="225" t="str">
        <f t="array" ref="O143">IF('Zone supèrieure'!N35=" ","",INDEX($A$134:$A$143,MATCH(TRUE,INDEX(INDEX($D$134:$L$143,0,MATCH('Zone supèrieure'!$I$8*10,$D$133:$L$133,0))&gt;=MAX('Zone supèrieure'!N35,'Zone supèrieure'!O35),0),0))&amp;"HA"&amp;'Zone supèrieure'!$I$8*10)</f>
        <v/>
      </c>
      <c r="P143" s="224" t="str">
        <f>IF(N143="","",ROUND(INDEX($D$134:$L$143,MATCH(TRUE,INDEX(INDEX($D$134:$L$143,0,MATCH('Zone supèrieure'!$F$8*10,$D$133:$L$133,0))&gt;='Zone supèrieure'!L35,0),0),MATCH('Zone supèrieure'!$F$8*10,$D$133:$L$133,0)),2))</f>
        <v/>
      </c>
      <c r="Q143" s="224" t="str">
        <f t="array" ref="Q143">IF(O143="","",ROUND(INDEX($D$134:$L$143,MATCH(TRUE,INDEX(INDEX($D$134:$L$143,0,MATCH('Zone supèrieure'!$I$8*10,$D$133:$L$133,0))&gt;=MAX('Zone supèrieure'!N35,'Zone supèrieure'!O35),0),0),MATCH('Zone supèrieure'!$I$8*10,$D$133:$L$133,0)),2))</f>
        <v/>
      </c>
      <c r="R143" s="225" t="str">
        <f t="shared" si="7"/>
        <v/>
      </c>
      <c r="S143" s="225" t="str">
        <f t="shared" si="8"/>
        <v/>
      </c>
    </row>
    <row r="144" spans="1:19" ht="17.25" thickTop="1" thickBot="1">
      <c r="N144" s="225" t="str">
        <f>IF('Zone supèrieure'!L36=" ","",INDEX($A$134:$A$143,MATCH(TRUE,INDEX(INDEX($D$134:$L$143,0,MATCH('Zone supèrieure'!$F$8*10,$D$133:$L$133,0))&gt;='Zone supèrieure'!L36,0),0))&amp;"HA"&amp;'Zone supèrieure'!$F$8*10)</f>
        <v/>
      </c>
      <c r="O144" s="225" t="str">
        <f t="array" ref="O144">IF('Zone supèrieure'!N36=" ","",INDEX($A$134:$A$143,MATCH(TRUE,INDEX(INDEX($D$134:$L$143,0,MATCH('Zone supèrieure'!$I$8*10,$D$133:$L$133,0))&gt;=MAX('Zone supèrieure'!N36,'Zone supèrieure'!O36),0),0))&amp;"HA"&amp;'Zone supèrieure'!$I$8*10)</f>
        <v/>
      </c>
      <c r="P144" s="224" t="str">
        <f>IF(N144="","",ROUND(INDEX($D$134:$L$143,MATCH(TRUE,INDEX(INDEX($D$134:$L$143,0,MATCH('Zone supèrieure'!$F$8*10,$D$133:$L$133,0))&gt;='Zone supèrieure'!L36,0),0),MATCH('Zone supèrieure'!$F$8*10,$D$133:$L$133,0)),2))</f>
        <v/>
      </c>
      <c r="Q144" s="224" t="str">
        <f t="array" ref="Q144">IF(O144="","",ROUND(INDEX($D$134:$L$143,MATCH(TRUE,INDEX(INDEX($D$134:$L$143,0,MATCH('Zone supèrieure'!$I$8*10,$D$133:$L$133,0))&gt;=MAX('Zone supèrieure'!N36,'Zone supèrieure'!O36),0),0),MATCH('Zone supèrieure'!$I$8*10,$D$133:$L$133,0)),2))</f>
        <v/>
      </c>
      <c r="R144" s="225" t="str">
        <f t="shared" si="7"/>
        <v/>
      </c>
      <c r="S144" s="225" t="str">
        <f t="shared" si="8"/>
        <v/>
      </c>
    </row>
    <row r="145" ht="15.75" thickTop="1"/>
  </sheetData>
  <sheetProtection password="DE00" sheet="1" objects="1" scenarios="1"/>
  <mergeCells count="32">
    <mergeCell ref="B109:J109"/>
    <mergeCell ref="A121:T121"/>
    <mergeCell ref="A70:T70"/>
    <mergeCell ref="A38:T38"/>
    <mergeCell ref="A102:T102"/>
    <mergeCell ref="B105:J105"/>
    <mergeCell ref="B106:J106"/>
    <mergeCell ref="B107:J107"/>
    <mergeCell ref="B108:J108"/>
    <mergeCell ref="Q77:S77"/>
    <mergeCell ref="Q72:R72"/>
    <mergeCell ref="Q73:R73"/>
    <mergeCell ref="E74:I74"/>
    <mergeCell ref="E75:I75"/>
    <mergeCell ref="J74:O74"/>
    <mergeCell ref="J75:O75"/>
    <mergeCell ref="B40:D40"/>
    <mergeCell ref="N77:P77"/>
    <mergeCell ref="A10:T10"/>
    <mergeCell ref="J12:P31"/>
    <mergeCell ref="F40:G40"/>
    <mergeCell ref="L40:M40"/>
    <mergeCell ref="F15:G15"/>
    <mergeCell ref="F25:G25"/>
    <mergeCell ref="F21:G21"/>
    <mergeCell ref="S72:T72"/>
    <mergeCell ref="S73:T73"/>
    <mergeCell ref="A2:B2"/>
    <mergeCell ref="A3:T3"/>
    <mergeCell ref="E5:M5"/>
    <mergeCell ref="E6:M6"/>
    <mergeCell ref="E7:M7"/>
  </mergeCells>
  <conditionalFormatting sqref="G79:S99">
    <cfRule type="expression" dxfId="6" priority="5">
      <formula>$F79&lt;=$Q$73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8"/>
  <dimension ref="A1:Z1000"/>
  <sheetViews>
    <sheetView showGridLines="0" workbookViewId="0">
      <selection activeCell="H7" sqref="H7"/>
    </sheetView>
  </sheetViews>
  <sheetFormatPr defaultColWidth="14.42578125" defaultRowHeight="15" customHeight="1"/>
  <cols>
    <col min="1" max="1" width="11.42578125" style="90" customWidth="1"/>
    <col min="2" max="2" width="10.7109375" style="90" customWidth="1"/>
    <col min="3" max="3" width="12.85546875" style="90" customWidth="1"/>
    <col min="4" max="4" width="9.42578125" style="90" customWidth="1"/>
    <col min="5" max="5" width="8.42578125" style="90" customWidth="1"/>
    <col min="6" max="6" width="7.7109375" style="90" customWidth="1"/>
    <col min="7" max="7" width="5.28515625" style="90" customWidth="1"/>
    <col min="8" max="8" width="10.7109375" style="90" customWidth="1"/>
    <col min="9" max="9" width="10.28515625" style="90" customWidth="1"/>
    <col min="10" max="10" width="3.140625" style="90" customWidth="1"/>
    <col min="11" max="11" width="11.7109375" style="90" customWidth="1"/>
    <col min="12" max="12" width="14.7109375" style="90" customWidth="1"/>
    <col min="13" max="13" width="2.7109375" style="90" customWidth="1"/>
    <col min="14" max="14" width="8.7109375" style="90" customWidth="1"/>
    <col min="15" max="16" width="3.140625" style="90" customWidth="1"/>
    <col min="17" max="17" width="8.7109375" style="90" customWidth="1"/>
    <col min="18" max="19" width="3.140625" style="90" customWidth="1"/>
    <col min="20" max="20" width="8.7109375" style="90" customWidth="1"/>
    <col min="21" max="26" width="11.42578125" style="90" customWidth="1"/>
    <col min="27" max="16384" width="14.42578125" style="90"/>
  </cols>
  <sheetData>
    <row r="1" spans="1:26" ht="16.5" customHeight="1">
      <c r="A1" s="175"/>
      <c r="B1" s="174" t="s">
        <v>154</v>
      </c>
      <c r="C1" s="509"/>
      <c r="D1" s="510"/>
      <c r="E1" s="510"/>
      <c r="F1" s="510"/>
      <c r="G1" s="510"/>
      <c r="H1" s="510"/>
      <c r="I1" s="173" t="s">
        <v>153</v>
      </c>
      <c r="J1" s="511" t="s">
        <v>152</v>
      </c>
      <c r="K1" s="512"/>
      <c r="L1" s="513"/>
      <c r="M1" s="98"/>
      <c r="N1" s="172" t="s">
        <v>151</v>
      </c>
      <c r="O1" s="171"/>
      <c r="P1" s="171"/>
      <c r="Q1" s="171"/>
      <c r="R1" s="93"/>
      <c r="S1" s="93"/>
      <c r="T1" s="93"/>
      <c r="U1" s="93"/>
      <c r="V1" s="92"/>
      <c r="W1" s="92"/>
      <c r="X1" s="92"/>
      <c r="Y1" s="92"/>
      <c r="Z1" s="91"/>
    </row>
    <row r="2" spans="1:26" ht="18.75" customHeight="1" thickBot="1">
      <c r="A2" s="170"/>
      <c r="B2" s="138" t="s">
        <v>150</v>
      </c>
      <c r="C2" s="514"/>
      <c r="D2" s="515"/>
      <c r="E2" s="515"/>
      <c r="F2" s="515"/>
      <c r="G2" s="515"/>
      <c r="H2" s="515"/>
      <c r="I2" s="169" t="s">
        <v>149</v>
      </c>
      <c r="J2" s="516" t="s">
        <v>148</v>
      </c>
      <c r="K2" s="517"/>
      <c r="L2" s="518"/>
      <c r="M2" s="98"/>
      <c r="N2" s="94"/>
      <c r="O2" s="96"/>
      <c r="P2" s="96"/>
      <c r="Q2" s="96"/>
      <c r="R2" s="96"/>
      <c r="S2" s="96"/>
      <c r="T2" s="93"/>
      <c r="U2" s="96"/>
      <c r="V2" s="92"/>
      <c r="W2" s="92"/>
      <c r="X2" s="92"/>
      <c r="Y2" s="92"/>
      <c r="Z2" s="91"/>
    </row>
    <row r="3" spans="1:26" ht="18" customHeight="1" thickBot="1">
      <c r="A3" s="168"/>
      <c r="B3" s="167" t="s">
        <v>147</v>
      </c>
      <c r="C3" s="507"/>
      <c r="D3" s="508"/>
      <c r="E3" s="504" t="s">
        <v>370</v>
      </c>
      <c r="F3" s="505"/>
      <c r="G3" s="505"/>
      <c r="H3" s="506"/>
      <c r="I3" s="166" t="s">
        <v>146</v>
      </c>
      <c r="J3" s="523" t="s">
        <v>145</v>
      </c>
      <c r="K3" s="512"/>
      <c r="L3" s="512"/>
      <c r="M3" s="98"/>
      <c r="N3" s="97">
        <v>-3500</v>
      </c>
      <c r="O3" s="96"/>
      <c r="P3" s="96"/>
      <c r="Q3" s="96"/>
      <c r="R3" s="96"/>
      <c r="S3" s="95"/>
      <c r="T3" s="93"/>
      <c r="U3" s="96"/>
      <c r="V3" s="92"/>
      <c r="W3" s="92"/>
      <c r="X3" s="92"/>
      <c r="Y3" s="92"/>
      <c r="Z3" s="91"/>
    </row>
    <row r="4" spans="1:26" ht="25.5" customHeight="1" thickBot="1">
      <c r="A4" s="533" t="s">
        <v>144</v>
      </c>
      <c r="B4" s="534"/>
      <c r="C4" s="534"/>
      <c r="D4" s="534"/>
      <c r="E4" s="535"/>
      <c r="F4" s="535"/>
      <c r="G4" s="535"/>
      <c r="H4" s="535"/>
      <c r="I4" s="536"/>
      <c r="J4" s="524"/>
      <c r="K4" s="517"/>
      <c r="L4" s="517"/>
      <c r="M4" s="98"/>
      <c r="N4" s="97">
        <v>-350</v>
      </c>
      <c r="O4" s="96"/>
      <c r="P4" s="96"/>
      <c r="Q4" s="96"/>
      <c r="R4" s="96"/>
      <c r="S4" s="95"/>
      <c r="T4" s="165"/>
      <c r="U4" s="165"/>
      <c r="V4" s="92"/>
      <c r="W4" s="92"/>
      <c r="X4" s="92"/>
      <c r="Y4" s="92"/>
      <c r="Z4" s="91"/>
    </row>
    <row r="5" spans="1:26" ht="14.25" customHeight="1">
      <c r="A5" s="537" t="s">
        <v>143</v>
      </c>
      <c r="B5" s="518"/>
      <c r="C5" s="164"/>
      <c r="D5" s="164"/>
      <c r="E5" s="164"/>
      <c r="F5" s="164"/>
      <c r="G5" s="164"/>
      <c r="H5" s="164"/>
      <c r="I5" s="163"/>
      <c r="J5" s="525" t="s">
        <v>142</v>
      </c>
      <c r="K5" s="512"/>
      <c r="L5" s="513"/>
      <c r="M5" s="98"/>
      <c r="N5" s="97">
        <v>-35</v>
      </c>
      <c r="O5" s="96"/>
      <c r="P5" s="96"/>
      <c r="Q5" s="96"/>
      <c r="R5" s="96"/>
      <c r="S5" s="95"/>
      <c r="T5" s="96"/>
      <c r="U5" s="93"/>
      <c r="V5" s="92"/>
      <c r="W5" s="92"/>
      <c r="X5" s="92"/>
      <c r="Y5" s="92"/>
      <c r="Z5" s="91"/>
    </row>
    <row r="6" spans="1:26" ht="14.25" customHeight="1">
      <c r="A6" s="158" t="s">
        <v>141</v>
      </c>
      <c r="B6" s="123"/>
      <c r="C6" s="123"/>
      <c r="D6" s="123"/>
      <c r="E6" s="123"/>
      <c r="F6" s="146"/>
      <c r="G6" s="146"/>
      <c r="H6" s="123"/>
      <c r="I6" s="162"/>
      <c r="J6" s="526" t="s">
        <v>140</v>
      </c>
      <c r="K6" s="515"/>
      <c r="L6" s="527"/>
      <c r="M6" s="98"/>
      <c r="N6" s="97">
        <v>-31.5</v>
      </c>
      <c r="O6" s="96"/>
      <c r="P6" s="96"/>
      <c r="Q6" s="96"/>
      <c r="R6" s="96"/>
      <c r="S6" s="95"/>
      <c r="T6" s="96"/>
      <c r="U6" s="93"/>
      <c r="V6" s="92"/>
      <c r="W6" s="92"/>
      <c r="X6" s="92"/>
      <c r="Y6" s="92"/>
      <c r="Z6" s="91"/>
    </row>
    <row r="7" spans="1:26" ht="14.25" customHeight="1">
      <c r="A7" s="147" t="s">
        <v>139</v>
      </c>
      <c r="B7" s="138"/>
      <c r="C7" s="138"/>
      <c r="D7" s="138"/>
      <c r="E7" s="161"/>
      <c r="F7" s="138" t="s">
        <v>138</v>
      </c>
      <c r="G7" s="123" t="s">
        <v>98</v>
      </c>
      <c r="H7" s="160">
        <f>' Données'!J6</f>
        <v>25</v>
      </c>
      <c r="I7" s="148" t="s">
        <v>97</v>
      </c>
      <c r="J7" s="528" t="s">
        <v>137</v>
      </c>
      <c r="K7" s="517"/>
      <c r="L7" s="518"/>
      <c r="M7" s="98"/>
      <c r="N7" s="97">
        <v>-28</v>
      </c>
      <c r="O7" s="96"/>
      <c r="P7" s="96"/>
      <c r="Q7" s="96"/>
      <c r="R7" s="96"/>
      <c r="S7" s="95"/>
      <c r="T7" s="96"/>
      <c r="U7" s="96"/>
      <c r="V7" s="92"/>
      <c r="W7" s="92"/>
      <c r="X7" s="92"/>
      <c r="Y7" s="92"/>
      <c r="Z7" s="91"/>
    </row>
    <row r="8" spans="1:26" ht="14.25" customHeight="1">
      <c r="A8" s="147" t="s">
        <v>136</v>
      </c>
      <c r="B8" s="138"/>
      <c r="C8" s="138"/>
      <c r="D8" s="138"/>
      <c r="E8" s="123"/>
      <c r="F8" s="138" t="s">
        <v>135</v>
      </c>
      <c r="G8" s="123" t="s">
        <v>98</v>
      </c>
      <c r="H8" s="160">
        <f>' Données'!K6</f>
        <v>400</v>
      </c>
      <c r="I8" s="148" t="s">
        <v>134</v>
      </c>
      <c r="J8" s="529"/>
      <c r="K8" s="515"/>
      <c r="L8" s="515"/>
      <c r="M8" s="98"/>
      <c r="N8" s="97">
        <v>-24.5</v>
      </c>
      <c r="O8" s="96"/>
      <c r="P8" s="96"/>
      <c r="Q8" s="96"/>
      <c r="R8" s="96"/>
      <c r="S8" s="95"/>
      <c r="T8" s="96"/>
      <c r="U8" s="93"/>
      <c r="V8" s="92"/>
      <c r="W8" s="92"/>
      <c r="X8" s="92"/>
      <c r="Y8" s="92"/>
      <c r="Z8" s="91"/>
    </row>
    <row r="9" spans="1:26" ht="14.25" customHeight="1">
      <c r="A9" s="158" t="s">
        <v>133</v>
      </c>
      <c r="B9" s="146"/>
      <c r="C9" s="146"/>
      <c r="D9" s="146"/>
      <c r="E9" s="146"/>
      <c r="F9" s="146"/>
      <c r="G9" s="146"/>
      <c r="H9" s="146"/>
      <c r="I9" s="157"/>
      <c r="J9" s="98"/>
      <c r="K9" s="92" t="str">
        <f>IF(H7&lt;8,"Revoir fc28","")</f>
        <v/>
      </c>
      <c r="L9" s="159" t="str">
        <f>IF(H8&lt;200,"Revoir fe","")</f>
        <v/>
      </c>
      <c r="M9" s="91"/>
      <c r="N9" s="97">
        <v>-17.5</v>
      </c>
      <c r="O9" s="96"/>
      <c r="P9" s="96"/>
      <c r="Q9" s="96"/>
      <c r="R9" s="96"/>
      <c r="S9" s="95"/>
      <c r="T9" s="93"/>
      <c r="U9" s="93"/>
      <c r="V9" s="92"/>
      <c r="W9" s="92"/>
      <c r="X9" s="92"/>
      <c r="Y9" s="92"/>
      <c r="Z9" s="91"/>
    </row>
    <row r="10" spans="1:26" ht="14.25" customHeight="1">
      <c r="A10" s="147" t="s">
        <v>132</v>
      </c>
      <c r="B10" s="138"/>
      <c r="C10" s="138"/>
      <c r="D10" s="138"/>
      <c r="E10" s="123"/>
      <c r="F10" s="138" t="s">
        <v>131</v>
      </c>
      <c r="G10" s="123" t="s">
        <v>98</v>
      </c>
      <c r="H10" s="196">
        <f>IF(H11=1.2,0.85,1)</f>
        <v>0.85</v>
      </c>
      <c r="I10" s="148" t="str">
        <f>IF(H10=1,"&gt; 24h", IF(H10=0.9,"24h&gt; …&gt;1h","&lt; 1h"))</f>
        <v>&lt; 1h</v>
      </c>
      <c r="J10" s="98"/>
      <c r="K10" s="92"/>
      <c r="L10" s="91"/>
      <c r="M10" s="91"/>
      <c r="N10" s="97">
        <v>-14</v>
      </c>
      <c r="O10" s="96"/>
      <c r="P10" s="96"/>
      <c r="Q10" s="96"/>
      <c r="R10" s="96"/>
      <c r="S10" s="95"/>
      <c r="T10" s="93"/>
      <c r="U10" s="93"/>
      <c r="V10" s="92"/>
      <c r="W10" s="92"/>
      <c r="X10" s="92"/>
      <c r="Y10" s="92"/>
      <c r="Z10" s="91"/>
    </row>
    <row r="11" spans="1:26" ht="14.25" customHeight="1">
      <c r="A11" s="147" t="s">
        <v>130</v>
      </c>
      <c r="B11" s="138"/>
      <c r="C11" s="138"/>
      <c r="D11" s="138"/>
      <c r="E11" s="123"/>
      <c r="F11" s="138" t="s">
        <v>129</v>
      </c>
      <c r="G11" s="123" t="s">
        <v>98</v>
      </c>
      <c r="H11" s="197">
        <f>' Données'!$L$6</f>
        <v>1.2</v>
      </c>
      <c r="I11" s="148"/>
      <c r="J11" s="98"/>
      <c r="K11" s="92"/>
      <c r="L11" s="91"/>
      <c r="M11" s="91"/>
      <c r="N11" s="97">
        <v>-10.5</v>
      </c>
      <c r="O11" s="96"/>
      <c r="P11" s="96"/>
      <c r="Q11" s="96"/>
      <c r="R11" s="96"/>
      <c r="S11" s="95"/>
      <c r="T11" s="93"/>
      <c r="U11" s="93"/>
      <c r="V11" s="92"/>
      <c r="W11" s="92"/>
      <c r="X11" s="92"/>
      <c r="Y11" s="92"/>
      <c r="Z11" s="91"/>
    </row>
    <row r="12" spans="1:26" ht="14.25" customHeight="1">
      <c r="A12" s="147" t="s">
        <v>128</v>
      </c>
      <c r="B12" s="138"/>
      <c r="C12" s="138"/>
      <c r="D12" s="138"/>
      <c r="E12" s="123"/>
      <c r="F12" s="138" t="s">
        <v>127</v>
      </c>
      <c r="G12" s="123" t="s">
        <v>98</v>
      </c>
      <c r="H12" s="197">
        <f>' Données'!$M$6</f>
        <v>1</v>
      </c>
      <c r="I12" s="148"/>
      <c r="J12" s="98"/>
      <c r="K12" s="92"/>
      <c r="L12" s="91"/>
      <c r="M12" s="91"/>
      <c r="N12" s="97">
        <v>-7</v>
      </c>
      <c r="O12" s="96"/>
      <c r="P12" s="96"/>
      <c r="Q12" s="96"/>
      <c r="R12" s="96"/>
      <c r="S12" s="95"/>
      <c r="T12" s="93"/>
      <c r="U12" s="93"/>
      <c r="V12" s="92"/>
      <c r="W12" s="136"/>
      <c r="X12" s="92"/>
      <c r="Y12" s="92"/>
      <c r="Z12" s="91"/>
    </row>
    <row r="13" spans="1:26" ht="14.25" customHeight="1">
      <c r="A13" s="158" t="s">
        <v>126</v>
      </c>
      <c r="B13" s="138"/>
      <c r="C13" s="138"/>
      <c r="D13" s="138"/>
      <c r="E13" s="123"/>
      <c r="F13" s="138"/>
      <c r="G13" s="123"/>
      <c r="H13" s="123"/>
      <c r="I13" s="148"/>
      <c r="J13" s="98"/>
      <c r="K13" s="92"/>
      <c r="L13" s="91"/>
      <c r="M13" s="91"/>
      <c r="N13" s="97">
        <v>-3.5</v>
      </c>
      <c r="O13" s="96"/>
      <c r="P13" s="96"/>
      <c r="Q13" s="96"/>
      <c r="R13" s="96"/>
      <c r="S13" s="95"/>
      <c r="T13" s="92"/>
      <c r="U13" s="92"/>
      <c r="V13" s="92"/>
      <c r="W13" s="136"/>
      <c r="X13" s="92"/>
      <c r="Y13" s="92"/>
      <c r="Z13" s="91"/>
    </row>
    <row r="14" spans="1:26" ht="14.25" customHeight="1">
      <c r="A14" s="147" t="s">
        <v>125</v>
      </c>
      <c r="B14" s="138"/>
      <c r="C14" s="138"/>
      <c r="D14" s="138"/>
      <c r="E14" s="123"/>
      <c r="F14" s="138" t="s">
        <v>124</v>
      </c>
      <c r="G14" s="123" t="s">
        <v>98</v>
      </c>
      <c r="H14" s="198">
        <f>'Zone critique'!O7</f>
        <v>600.51</v>
      </c>
      <c r="I14" s="148" t="s">
        <v>123</v>
      </c>
      <c r="J14" s="98"/>
      <c r="K14" s="92" t="str">
        <f>IF(OR(H14&lt;'CALCUL Mrd'!H32,H14&gt;'CALCUL Mrd'!H33),"Effort N &gt; Nultime !!","")</f>
        <v/>
      </c>
      <c r="L14" s="91"/>
      <c r="M14" s="91"/>
      <c r="N14" s="97">
        <v>0</v>
      </c>
      <c r="O14" s="96"/>
      <c r="P14" s="96"/>
      <c r="Q14" s="96"/>
      <c r="R14" s="96"/>
      <c r="S14" s="95"/>
      <c r="T14" s="92"/>
      <c r="U14" s="154"/>
      <c r="V14" s="92"/>
      <c r="W14" s="136"/>
      <c r="X14" s="92"/>
      <c r="Y14" s="92"/>
      <c r="Z14" s="91"/>
    </row>
    <row r="15" spans="1:26" ht="15" customHeight="1">
      <c r="A15" s="158" t="s">
        <v>122</v>
      </c>
      <c r="B15" s="146"/>
      <c r="C15" s="146"/>
      <c r="D15" s="146"/>
      <c r="E15" s="146"/>
      <c r="F15" s="146"/>
      <c r="G15" s="146"/>
      <c r="H15" s="146"/>
      <c r="I15" s="157"/>
      <c r="J15" s="98"/>
      <c r="K15" s="92"/>
      <c r="L15" s="91"/>
      <c r="M15" s="91"/>
      <c r="N15" s="97">
        <v>0.35000002384185791</v>
      </c>
      <c r="O15" s="96"/>
      <c r="P15" s="96"/>
      <c r="Q15" s="96"/>
      <c r="R15" s="96"/>
      <c r="S15" s="95"/>
      <c r="T15" s="92"/>
      <c r="U15" s="154"/>
      <c r="V15" s="92"/>
      <c r="W15" s="136"/>
      <c r="X15" s="92"/>
      <c r="Y15" s="92"/>
      <c r="Z15" s="91"/>
    </row>
    <row r="16" spans="1:26" ht="14.25" customHeight="1">
      <c r="A16" s="147" t="s">
        <v>121</v>
      </c>
      <c r="B16" s="146"/>
      <c r="C16" s="138"/>
      <c r="D16" s="138"/>
      <c r="E16" s="146"/>
      <c r="F16" s="138" t="s">
        <v>120</v>
      </c>
      <c r="G16" s="123" t="s">
        <v>98</v>
      </c>
      <c r="H16" s="156">
        <f>'Zone critique'!$D$7*100</f>
        <v>20</v>
      </c>
      <c r="I16" s="148" t="s">
        <v>103</v>
      </c>
      <c r="J16" s="98"/>
      <c r="K16" s="92"/>
      <c r="L16" s="91"/>
      <c r="M16" s="91"/>
      <c r="N16" s="97">
        <v>0.70000004768371582</v>
      </c>
      <c r="O16" s="96"/>
      <c r="P16" s="96"/>
      <c r="Q16" s="96"/>
      <c r="R16" s="96"/>
      <c r="S16" s="95"/>
      <c r="T16" s="92"/>
      <c r="U16" s="92"/>
      <c r="V16" s="92"/>
      <c r="W16" s="136"/>
      <c r="X16" s="92"/>
      <c r="Y16" s="92"/>
      <c r="Z16" s="91"/>
    </row>
    <row r="17" spans="1:26" ht="14.25" customHeight="1">
      <c r="A17" s="147" t="s">
        <v>119</v>
      </c>
      <c r="B17" s="146"/>
      <c r="C17" s="146"/>
      <c r="D17" s="146"/>
      <c r="E17" s="146"/>
      <c r="F17" s="138" t="s">
        <v>118</v>
      </c>
      <c r="G17" s="123" t="s">
        <v>98</v>
      </c>
      <c r="H17" s="199">
        <f>'Zone critique'!$C$7*100</f>
        <v>160</v>
      </c>
      <c r="I17" s="148" t="s">
        <v>103</v>
      </c>
      <c r="J17" s="98"/>
      <c r="K17" s="92"/>
      <c r="L17" s="91"/>
      <c r="M17" s="91"/>
      <c r="N17" s="97">
        <v>1.0499999523162842</v>
      </c>
      <c r="O17" s="96"/>
      <c r="P17" s="96"/>
      <c r="Q17" s="96"/>
      <c r="R17" s="96"/>
      <c r="S17" s="95"/>
      <c r="T17" s="92"/>
      <c r="U17" s="92"/>
      <c r="V17" s="92"/>
      <c r="W17" s="136"/>
      <c r="X17" s="92"/>
      <c r="Y17" s="92"/>
      <c r="Z17" s="91"/>
    </row>
    <row r="18" spans="1:26" ht="14.25" customHeight="1">
      <c r="A18" s="147" t="s">
        <v>117</v>
      </c>
      <c r="B18" s="146"/>
      <c r="C18" s="146"/>
      <c r="D18" s="146"/>
      <c r="E18" s="146"/>
      <c r="F18" s="138" t="s">
        <v>116</v>
      </c>
      <c r="G18" s="123" t="s">
        <v>98</v>
      </c>
      <c r="H18" s="155">
        <f>'Zone critique'!$C$19</f>
        <v>9.0500000000000007</v>
      </c>
      <c r="I18" s="148" t="s">
        <v>110</v>
      </c>
      <c r="J18" s="98"/>
      <c r="K18" s="92" t="str">
        <f>IF((H18+H20)&gt;4*H16*H17/100,"Revoir ferraillage &gt;4% ","")</f>
        <v/>
      </c>
      <c r="L18" s="91"/>
      <c r="M18" s="91"/>
      <c r="N18" s="97">
        <v>1.4000000953674316</v>
      </c>
      <c r="O18" s="96"/>
      <c r="P18" s="96"/>
      <c r="Q18" s="96"/>
      <c r="R18" s="96"/>
      <c r="S18" s="95"/>
      <c r="T18" s="92"/>
      <c r="U18" s="154"/>
      <c r="V18" s="92"/>
      <c r="W18" s="92"/>
      <c r="X18" s="92"/>
      <c r="Y18" s="92"/>
      <c r="Z18" s="91"/>
    </row>
    <row r="19" spans="1:26" ht="14.25" customHeight="1">
      <c r="A19" s="147" t="s">
        <v>115</v>
      </c>
      <c r="B19" s="146"/>
      <c r="C19" s="146"/>
      <c r="D19" s="146"/>
      <c r="E19" s="146"/>
      <c r="F19" s="138" t="s">
        <v>114</v>
      </c>
      <c r="G19" s="123" t="s">
        <v>98</v>
      </c>
      <c r="H19" s="153">
        <f>'Zone critique'!$E$7</f>
        <v>2.5</v>
      </c>
      <c r="I19" s="148" t="s">
        <v>103</v>
      </c>
      <c r="J19" s="98"/>
      <c r="K19" s="195"/>
      <c r="L19" s="91"/>
      <c r="M19" s="530" t="s">
        <v>113</v>
      </c>
      <c r="N19" s="512"/>
      <c r="O19" s="512"/>
      <c r="P19" s="512"/>
      <c r="Q19" s="512"/>
      <c r="R19" s="512"/>
      <c r="S19" s="512"/>
      <c r="T19" s="513"/>
      <c r="U19" s="93"/>
      <c r="V19" s="92"/>
      <c r="W19" s="92"/>
      <c r="X19" s="92"/>
      <c r="Y19" s="136"/>
      <c r="Z19" s="91"/>
    </row>
    <row r="20" spans="1:26" ht="14.25" customHeight="1">
      <c r="A20" s="147" t="s">
        <v>112</v>
      </c>
      <c r="B20" s="146"/>
      <c r="C20" s="146"/>
      <c r="D20" s="146"/>
      <c r="E20" s="146"/>
      <c r="F20" s="138" t="s">
        <v>111</v>
      </c>
      <c r="G20" s="123" t="s">
        <v>98</v>
      </c>
      <c r="H20" s="152">
        <f>'Zone critique'!$C$19</f>
        <v>9.0500000000000007</v>
      </c>
      <c r="I20" s="148" t="s">
        <v>110</v>
      </c>
      <c r="J20" s="98"/>
      <c r="K20" s="92"/>
      <c r="L20" s="91"/>
      <c r="M20" s="151">
        <v>4</v>
      </c>
      <c r="N20" s="150" t="s">
        <v>109</v>
      </c>
      <c r="O20" s="531" t="s">
        <v>107</v>
      </c>
      <c r="P20" s="151">
        <v>2</v>
      </c>
      <c r="Q20" s="150" t="s">
        <v>108</v>
      </c>
      <c r="R20" s="531" t="s">
        <v>107</v>
      </c>
      <c r="S20" s="151">
        <v>0</v>
      </c>
      <c r="T20" s="150" t="s">
        <v>106</v>
      </c>
      <c r="U20" s="93"/>
      <c r="V20" s="92"/>
      <c r="W20" s="136"/>
      <c r="X20" s="92"/>
      <c r="Y20" s="92"/>
      <c r="Z20" s="91"/>
    </row>
    <row r="21" spans="1:26" ht="14.25" customHeight="1">
      <c r="A21" s="147" t="s">
        <v>105</v>
      </c>
      <c r="B21" s="146"/>
      <c r="C21" s="146"/>
      <c r="D21" s="146"/>
      <c r="E21" s="146"/>
      <c r="F21" s="138" t="s">
        <v>104</v>
      </c>
      <c r="G21" s="123" t="s">
        <v>98</v>
      </c>
      <c r="H21" s="149">
        <f>'Zone critique'!$E$7</f>
        <v>2.5</v>
      </c>
      <c r="I21" s="148" t="s">
        <v>103</v>
      </c>
      <c r="J21" s="98"/>
      <c r="K21" s="92"/>
      <c r="L21" s="91"/>
      <c r="M21" s="521">
        <f>M20*VLOOKUP(N20,'CALCUL Mrd'!$C$49:$E$57,3,FALSE)</f>
        <v>6.1575216010359952</v>
      </c>
      <c r="N21" s="522"/>
      <c r="O21" s="522"/>
      <c r="P21" s="521">
        <f>P20*VLOOKUP(Q20,'CALCUL Mrd'!$C$49:$E$57,3,FALSE)</f>
        <v>2.2619467105846511</v>
      </c>
      <c r="Q21" s="522"/>
      <c r="R21" s="522"/>
      <c r="S21" s="521">
        <f>S20*VLOOKUP(T20,'CALCUL Mrd'!$C$49:$E$57,3,FALSE)</f>
        <v>0</v>
      </c>
      <c r="T21" s="522"/>
      <c r="U21" s="93"/>
      <c r="V21" s="92"/>
      <c r="W21" s="136"/>
      <c r="X21" s="92"/>
      <c r="Y21" s="92"/>
      <c r="Z21" s="91"/>
    </row>
    <row r="22" spans="1:26" ht="14.25" customHeight="1">
      <c r="A22" s="147" t="s">
        <v>102</v>
      </c>
      <c r="B22" s="146"/>
      <c r="C22" s="146"/>
      <c r="D22" s="146"/>
      <c r="E22" s="146"/>
      <c r="F22" s="138" t="s">
        <v>101</v>
      </c>
      <c r="G22" s="123" t="s">
        <v>98</v>
      </c>
      <c r="H22" s="145">
        <f>0.85*H7/H11/H10</f>
        <v>20.833333333333336</v>
      </c>
      <c r="I22" s="144" t="s">
        <v>97</v>
      </c>
      <c r="J22" s="98"/>
      <c r="K22" s="92"/>
      <c r="L22" s="91"/>
      <c r="M22" s="532">
        <f>M21+P21+S21</f>
        <v>8.4194683116206459</v>
      </c>
      <c r="N22" s="517"/>
      <c r="O22" s="517"/>
      <c r="P22" s="517"/>
      <c r="Q22" s="517"/>
      <c r="R22" s="517"/>
      <c r="S22" s="517"/>
      <c r="T22" s="518"/>
      <c r="U22" s="93"/>
      <c r="V22" s="92"/>
      <c r="W22" s="136"/>
      <c r="X22" s="92"/>
      <c r="Y22" s="92"/>
      <c r="Z22" s="91"/>
    </row>
    <row r="23" spans="1:26" ht="14.25" customHeight="1">
      <c r="A23" s="147" t="s">
        <v>100</v>
      </c>
      <c r="B23" s="146"/>
      <c r="C23" s="146"/>
      <c r="D23" s="146"/>
      <c r="E23" s="146"/>
      <c r="F23" s="138" t="s">
        <v>99</v>
      </c>
      <c r="G23" s="123" t="s">
        <v>98</v>
      </c>
      <c r="H23" s="145">
        <f>H8/H12</f>
        <v>400</v>
      </c>
      <c r="I23" s="144" t="s">
        <v>97</v>
      </c>
      <c r="J23" s="98"/>
      <c r="K23" s="92"/>
      <c r="L23" s="91"/>
      <c r="M23" s="125"/>
      <c r="N23" s="97">
        <v>3.1500000953674316</v>
      </c>
      <c r="O23" s="96"/>
      <c r="P23" s="96"/>
      <c r="Q23" s="96"/>
      <c r="R23" s="96"/>
      <c r="S23" s="95"/>
      <c r="T23" s="93"/>
      <c r="U23" s="93"/>
      <c r="V23" s="92"/>
      <c r="W23" s="136"/>
      <c r="X23" s="92"/>
      <c r="Y23" s="92"/>
      <c r="Z23" s="91"/>
    </row>
    <row r="24" spans="1:26" ht="13.5" customHeight="1">
      <c r="A24" s="143"/>
      <c r="B24" s="142"/>
      <c r="C24" s="142"/>
      <c r="D24" s="142"/>
      <c r="E24" s="142"/>
      <c r="F24" s="142"/>
      <c r="G24" s="142"/>
      <c r="H24" s="142"/>
      <c r="I24" s="141"/>
      <c r="J24" s="98"/>
      <c r="K24" s="91"/>
      <c r="L24" s="91"/>
      <c r="M24" s="125"/>
      <c r="N24" s="97">
        <v>3.5</v>
      </c>
      <c r="O24" s="96"/>
      <c r="P24" s="93"/>
      <c r="Q24" s="96"/>
      <c r="R24" s="96"/>
      <c r="S24" s="95"/>
      <c r="T24" s="93"/>
      <c r="U24" s="93"/>
      <c r="V24" s="92"/>
      <c r="W24" s="136"/>
      <c r="X24" s="92"/>
      <c r="Y24" s="92"/>
      <c r="Z24" s="91"/>
    </row>
    <row r="25" spans="1:26" ht="14.25" customHeight="1">
      <c r="A25" s="140" t="s">
        <v>96</v>
      </c>
      <c r="B25" s="139"/>
      <c r="C25" s="139"/>
      <c r="D25" s="123"/>
      <c r="E25" s="123"/>
      <c r="F25" s="123"/>
      <c r="G25" s="138"/>
      <c r="H25" s="123"/>
      <c r="I25" s="137"/>
      <c r="J25" s="98"/>
      <c r="K25" s="91"/>
      <c r="L25" s="91"/>
      <c r="M25" s="125"/>
      <c r="N25" s="97">
        <v>3.8499999046325684</v>
      </c>
      <c r="O25" s="96"/>
      <c r="P25" s="136"/>
      <c r="Q25" s="96"/>
      <c r="R25" s="96"/>
      <c r="S25" s="95"/>
      <c r="T25" s="93"/>
      <c r="U25" s="93"/>
      <c r="V25" s="92"/>
      <c r="W25" s="136"/>
      <c r="X25" s="92"/>
      <c r="Y25" s="92"/>
      <c r="Z25" s="91"/>
    </row>
    <row r="26" spans="1:26" ht="14.25" customHeight="1">
      <c r="A26" s="110"/>
      <c r="B26" s="108"/>
      <c r="C26" s="108"/>
      <c r="D26" s="108"/>
      <c r="E26" s="108"/>
      <c r="F26" s="107"/>
      <c r="G26" s="91"/>
      <c r="H26" s="106"/>
      <c r="I26" s="105"/>
      <c r="J26" s="98"/>
      <c r="K26" s="91"/>
      <c r="L26" s="91"/>
      <c r="M26" s="125"/>
      <c r="N26" s="97">
        <v>4.1999998092651367</v>
      </c>
      <c r="O26" s="96"/>
      <c r="P26" s="96"/>
      <c r="Q26" s="93"/>
      <c r="R26" s="96"/>
      <c r="S26" s="95"/>
      <c r="T26" s="93"/>
      <c r="U26" s="93"/>
      <c r="V26" s="92"/>
      <c r="W26" s="136"/>
      <c r="X26" s="92"/>
      <c r="Y26" s="92"/>
      <c r="Z26" s="91"/>
    </row>
    <row r="27" spans="1:26" ht="14.25" customHeight="1">
      <c r="A27" s="120"/>
      <c r="B27" s="91"/>
      <c r="C27" s="91"/>
      <c r="D27" s="91"/>
      <c r="E27" s="91"/>
      <c r="F27" s="91"/>
      <c r="G27" s="91"/>
      <c r="H27" s="91"/>
      <c r="I27" s="116"/>
      <c r="J27" s="98"/>
      <c r="K27" s="91"/>
      <c r="L27" s="91"/>
      <c r="M27" s="125"/>
      <c r="N27" s="97">
        <v>4.5499997138977051</v>
      </c>
      <c r="O27" s="96"/>
      <c r="P27" s="96"/>
      <c r="Q27" s="96"/>
      <c r="R27" s="96"/>
      <c r="S27" s="95"/>
      <c r="T27" s="93"/>
      <c r="U27" s="93"/>
      <c r="V27" s="92"/>
      <c r="W27" s="92"/>
      <c r="X27" s="92"/>
      <c r="Y27" s="92"/>
      <c r="Z27" s="91"/>
    </row>
    <row r="28" spans="1:26" ht="14.25" customHeight="1">
      <c r="A28" s="120"/>
      <c r="B28" s="91"/>
      <c r="C28" s="91"/>
      <c r="D28" s="91"/>
      <c r="E28" s="91"/>
      <c r="F28" s="91"/>
      <c r="G28" s="91"/>
      <c r="H28" s="91"/>
      <c r="I28" s="116"/>
      <c r="J28" s="98"/>
      <c r="K28" s="91"/>
      <c r="L28" s="91"/>
      <c r="M28" s="125"/>
      <c r="N28" s="97">
        <v>4.9000000953674316</v>
      </c>
      <c r="O28" s="96"/>
      <c r="P28" s="96"/>
      <c r="Q28" s="96"/>
      <c r="R28" s="96"/>
      <c r="S28" s="95"/>
      <c r="T28" s="93"/>
      <c r="U28" s="93"/>
      <c r="V28" s="92"/>
      <c r="W28" s="92"/>
      <c r="X28" s="92"/>
      <c r="Y28" s="92"/>
      <c r="Z28" s="91"/>
    </row>
    <row r="29" spans="1:26" ht="14.25" customHeight="1">
      <c r="A29" s="120"/>
      <c r="B29" s="91"/>
      <c r="C29" s="91"/>
      <c r="D29" s="91"/>
      <c r="E29" s="91"/>
      <c r="F29" s="91"/>
      <c r="G29" s="91"/>
      <c r="H29" s="91"/>
      <c r="I29" s="116"/>
      <c r="J29" s="98"/>
      <c r="K29" s="91"/>
      <c r="L29" s="91"/>
      <c r="M29" s="125"/>
      <c r="N29" s="97">
        <v>5.25</v>
      </c>
      <c r="O29" s="93"/>
      <c r="P29" s="93"/>
      <c r="Q29" s="93"/>
      <c r="R29" s="93"/>
      <c r="S29" s="93"/>
      <c r="T29" s="93"/>
      <c r="U29" s="93"/>
      <c r="V29" s="92"/>
      <c r="W29" s="92"/>
      <c r="X29" s="92"/>
      <c r="Y29" s="92"/>
      <c r="Z29" s="91"/>
    </row>
    <row r="30" spans="1:26" ht="14.25" customHeight="1">
      <c r="A30" s="120"/>
      <c r="B30" s="91"/>
      <c r="C30" s="91"/>
      <c r="D30" s="91"/>
      <c r="E30" s="91"/>
      <c r="F30" s="91"/>
      <c r="G30" s="91"/>
      <c r="H30" s="91"/>
      <c r="I30" s="116"/>
      <c r="J30" s="98"/>
      <c r="K30" s="91"/>
      <c r="L30" s="91"/>
      <c r="M30" s="125"/>
      <c r="N30" s="97">
        <v>5.6000003814697266</v>
      </c>
      <c r="O30" s="93"/>
      <c r="P30" s="93"/>
      <c r="Q30" s="93"/>
      <c r="R30" s="93"/>
      <c r="S30" s="93"/>
      <c r="T30" s="93"/>
      <c r="U30" s="93"/>
      <c r="V30" s="92"/>
      <c r="W30" s="92"/>
      <c r="X30" s="92"/>
      <c r="Y30" s="92"/>
      <c r="Z30" s="91"/>
    </row>
    <row r="31" spans="1:26" ht="14.25" customHeight="1">
      <c r="A31" s="120"/>
      <c r="B31" s="91"/>
      <c r="C31" s="91"/>
      <c r="D31" s="91"/>
      <c r="E31" s="91"/>
      <c r="F31" s="91"/>
      <c r="G31" s="91"/>
      <c r="H31" s="91"/>
      <c r="I31" s="116"/>
      <c r="J31" s="98"/>
      <c r="K31" s="91"/>
      <c r="L31" s="91"/>
      <c r="M31" s="125"/>
      <c r="N31" s="97">
        <v>5.9500002861022949</v>
      </c>
      <c r="O31" s="93"/>
      <c r="P31" s="93"/>
      <c r="Q31" s="93"/>
      <c r="R31" s="93"/>
      <c r="S31" s="93"/>
      <c r="T31" s="93"/>
      <c r="U31" s="93"/>
      <c r="V31" s="92"/>
      <c r="W31" s="92"/>
      <c r="X31" s="92"/>
      <c r="Y31" s="92"/>
      <c r="Z31" s="91"/>
    </row>
    <row r="32" spans="1:26" ht="14.25" customHeight="1">
      <c r="A32" s="120"/>
      <c r="B32" s="91"/>
      <c r="C32" s="91"/>
      <c r="D32" s="91"/>
      <c r="E32" s="91"/>
      <c r="F32" s="91"/>
      <c r="G32" s="91"/>
      <c r="H32" s="91"/>
      <c r="I32" s="116"/>
      <c r="J32" s="98"/>
      <c r="K32" s="91"/>
      <c r="L32" s="91"/>
      <c r="M32" s="125"/>
      <c r="N32" s="97">
        <v>6.3000001907348633</v>
      </c>
      <c r="O32" s="93"/>
      <c r="P32" s="93"/>
      <c r="Q32" s="93"/>
      <c r="R32" s="93"/>
      <c r="S32" s="93"/>
      <c r="T32" s="93"/>
      <c r="U32" s="93"/>
      <c r="V32" s="92"/>
      <c r="W32" s="92"/>
      <c r="X32" s="92"/>
      <c r="Y32" s="92"/>
      <c r="Z32" s="91"/>
    </row>
    <row r="33" spans="1:26" ht="14.25" customHeight="1">
      <c r="A33" s="120"/>
      <c r="B33" s="91"/>
      <c r="C33" s="91"/>
      <c r="D33" s="91"/>
      <c r="E33" s="91"/>
      <c r="F33" s="91"/>
      <c r="G33" s="91"/>
      <c r="H33" s="91"/>
      <c r="I33" s="116"/>
      <c r="J33" s="98"/>
      <c r="K33" s="91"/>
      <c r="L33" s="91"/>
      <c r="M33" s="125"/>
      <c r="N33" s="97">
        <v>6.6500000953674316</v>
      </c>
      <c r="O33" s="96"/>
      <c r="P33" s="96"/>
      <c r="Q33" s="96"/>
      <c r="R33" s="96"/>
      <c r="S33" s="95"/>
      <c r="T33" s="93"/>
      <c r="U33" s="93"/>
      <c r="V33" s="92"/>
      <c r="W33" s="92"/>
      <c r="X33" s="92"/>
      <c r="Y33" s="92"/>
      <c r="Z33" s="91"/>
    </row>
    <row r="34" spans="1:26" ht="14.25" customHeight="1">
      <c r="A34" s="135"/>
      <c r="B34" s="109"/>
      <c r="C34" s="109"/>
      <c r="D34" s="133"/>
      <c r="E34" s="133"/>
      <c r="F34" s="134"/>
      <c r="G34" s="133"/>
      <c r="H34" s="107"/>
      <c r="I34" s="132"/>
      <c r="J34" s="98"/>
      <c r="K34" s="91"/>
      <c r="L34" s="91"/>
      <c r="M34" s="125"/>
      <c r="N34" s="97">
        <v>7</v>
      </c>
      <c r="O34" s="96"/>
      <c r="P34" s="96"/>
      <c r="Q34" s="96"/>
      <c r="R34" s="96"/>
      <c r="S34" s="95"/>
      <c r="T34" s="93"/>
      <c r="U34" s="93"/>
      <c r="V34" s="92"/>
      <c r="W34" s="92"/>
      <c r="X34" s="92"/>
      <c r="Y34" s="92"/>
      <c r="Z34" s="91"/>
    </row>
    <row r="35" spans="1:26" ht="14.25" customHeight="1">
      <c r="A35" s="131" t="s">
        <v>95</v>
      </c>
      <c r="B35" s="130"/>
      <c r="C35" s="129"/>
      <c r="D35" s="127"/>
      <c r="E35" s="127"/>
      <c r="F35" s="127"/>
      <c r="G35" s="128"/>
      <c r="H35" s="127"/>
      <c r="I35" s="126"/>
      <c r="J35" s="98"/>
      <c r="K35" s="91"/>
      <c r="L35" s="91"/>
      <c r="M35" s="125"/>
      <c r="N35" s="97">
        <v>9.0649995803833008</v>
      </c>
      <c r="O35" s="96"/>
      <c r="P35" s="96"/>
      <c r="Q35" s="96"/>
      <c r="R35" s="96"/>
      <c r="S35" s="95"/>
      <c r="T35" s="93"/>
      <c r="U35" s="93"/>
      <c r="V35" s="92"/>
      <c r="W35" s="92"/>
      <c r="X35" s="92"/>
      <c r="Y35" s="92"/>
      <c r="Z35" s="91"/>
    </row>
    <row r="36" spans="1:26" ht="15" customHeight="1">
      <c r="A36" s="110"/>
      <c r="B36" s="108"/>
      <c r="C36" s="91"/>
      <c r="D36" s="91"/>
      <c r="E36" s="91"/>
      <c r="F36" s="91"/>
      <c r="G36" s="91"/>
      <c r="H36" s="111"/>
      <c r="I36" s="116"/>
      <c r="J36" s="98"/>
      <c r="K36" s="91"/>
      <c r="L36" s="91"/>
      <c r="M36" s="91"/>
      <c r="N36" s="97">
        <v>10.5</v>
      </c>
      <c r="O36" s="96"/>
      <c r="P36" s="96"/>
      <c r="Q36" s="96"/>
      <c r="R36" s="96"/>
      <c r="S36" s="95"/>
      <c r="T36" s="93"/>
      <c r="U36" s="93"/>
      <c r="V36" s="92"/>
      <c r="W36" s="92"/>
      <c r="X36" s="92"/>
      <c r="Y36" s="92"/>
      <c r="Z36" s="91"/>
    </row>
    <row r="37" spans="1:26" ht="14.25" customHeight="1">
      <c r="A37" s="119" t="s">
        <v>94</v>
      </c>
      <c r="B37" s="108"/>
      <c r="C37" s="91"/>
      <c r="D37" s="91"/>
      <c r="E37" s="91"/>
      <c r="F37" s="91"/>
      <c r="G37" s="91"/>
      <c r="H37" s="111"/>
      <c r="I37" s="116"/>
      <c r="J37" s="98"/>
      <c r="K37" s="91"/>
      <c r="L37" s="91"/>
      <c r="M37" s="91"/>
      <c r="N37" s="97">
        <v>14</v>
      </c>
      <c r="O37" s="96"/>
      <c r="P37" s="96"/>
      <c r="Q37" s="96"/>
      <c r="R37" s="96"/>
      <c r="S37" s="95"/>
      <c r="T37" s="93"/>
      <c r="U37" s="93"/>
      <c r="V37" s="92"/>
      <c r="W37" s="92"/>
      <c r="X37" s="92"/>
      <c r="Y37" s="92"/>
      <c r="Z37" s="91"/>
    </row>
    <row r="38" spans="1:26" ht="14.25" customHeight="1">
      <c r="A38" s="124" t="s">
        <v>93</v>
      </c>
      <c r="B38" s="519">
        <f>IF(OR(H14&lt;'CALCUL Mrd'!H32,H14&gt;'CALCUL Mrd'!H33),"N/A",MAX('CALCUL Mrd'!S7:S85))</f>
        <v>981.90514180782282</v>
      </c>
      <c r="C38" s="515"/>
      <c r="D38" s="91"/>
      <c r="E38" s="91"/>
      <c r="F38" s="91"/>
      <c r="G38" s="91"/>
      <c r="H38" s="111"/>
      <c r="I38" s="116"/>
      <c r="J38" s="98"/>
      <c r="K38" s="91"/>
      <c r="L38" s="91"/>
      <c r="M38" s="91"/>
      <c r="N38" s="97">
        <v>17.5</v>
      </c>
      <c r="O38" s="96"/>
      <c r="P38" s="96"/>
      <c r="Q38" s="96"/>
      <c r="R38" s="96"/>
      <c r="S38" s="95"/>
      <c r="T38" s="93"/>
      <c r="U38" s="93"/>
      <c r="V38" s="92"/>
      <c r="W38" s="92"/>
      <c r="X38" s="92"/>
      <c r="Y38" s="92"/>
      <c r="Z38" s="91"/>
    </row>
    <row r="39" spans="1:26" ht="14.25" customHeight="1">
      <c r="A39" s="110"/>
      <c r="B39" s="113"/>
      <c r="C39" s="91"/>
      <c r="D39" s="91"/>
      <c r="E39" s="91"/>
      <c r="F39" s="91"/>
      <c r="G39" s="91"/>
      <c r="H39" s="123"/>
      <c r="I39" s="116"/>
      <c r="J39" s="98"/>
      <c r="K39" s="91"/>
      <c r="L39" s="91"/>
      <c r="M39" s="91"/>
      <c r="N39" s="97">
        <v>19.25</v>
      </c>
      <c r="O39" s="96"/>
      <c r="P39" s="96"/>
      <c r="Q39" s="96"/>
      <c r="R39" s="96"/>
      <c r="S39" s="95"/>
      <c r="T39" s="93"/>
      <c r="U39" s="93"/>
      <c r="V39" s="92"/>
      <c r="W39" s="92"/>
      <c r="X39" s="92"/>
      <c r="Y39" s="92"/>
      <c r="Z39" s="91"/>
    </row>
    <row r="40" spans="1:26" ht="14.25" customHeight="1">
      <c r="A40" s="119" t="s">
        <v>92</v>
      </c>
      <c r="B40" s="118"/>
      <c r="C40" s="91"/>
      <c r="D40" s="91"/>
      <c r="E40" s="91"/>
      <c r="F40" s="91"/>
      <c r="G40" s="91"/>
      <c r="H40" s="111"/>
      <c r="I40" s="116"/>
      <c r="J40" s="98"/>
      <c r="K40" s="91"/>
      <c r="L40" s="91"/>
      <c r="M40" s="91"/>
      <c r="N40" s="97">
        <v>21</v>
      </c>
      <c r="O40" s="96"/>
      <c r="P40" s="96"/>
      <c r="Q40" s="96"/>
      <c r="R40" s="96"/>
      <c r="S40" s="95"/>
      <c r="T40" s="93"/>
      <c r="U40" s="93"/>
      <c r="V40" s="92"/>
      <c r="W40" s="92"/>
      <c r="X40" s="92"/>
      <c r="Y40" s="92"/>
      <c r="Z40" s="91"/>
    </row>
    <row r="41" spans="1:26" ht="14.25" customHeight="1">
      <c r="A41" s="122" t="s">
        <v>91</v>
      </c>
      <c r="B41" s="121">
        <f>IF(OR(H14&lt;'CALCUL Mrd'!H32,H14&gt;'CALCUL Mrd'!H33),"N/A",'CALCUL Mrd'!H37)</f>
        <v>21.665046490457051</v>
      </c>
      <c r="C41" s="91"/>
      <c r="D41" s="91"/>
      <c r="E41" s="91"/>
      <c r="F41" s="91"/>
      <c r="G41" s="91"/>
      <c r="H41" s="111"/>
      <c r="I41" s="116"/>
      <c r="J41" s="98"/>
      <c r="K41" s="91"/>
      <c r="L41" s="91"/>
      <c r="M41" s="91"/>
      <c r="N41" s="97">
        <v>24.5</v>
      </c>
      <c r="O41" s="96"/>
      <c r="P41" s="96"/>
      <c r="Q41" s="96"/>
      <c r="R41" s="96"/>
      <c r="S41" s="95"/>
      <c r="T41" s="93"/>
      <c r="U41" s="93"/>
      <c r="V41" s="92"/>
      <c r="W41" s="92"/>
      <c r="X41" s="92"/>
      <c r="Y41" s="92"/>
      <c r="Z41" s="91"/>
    </row>
    <row r="42" spans="1:26" ht="14.25" customHeight="1">
      <c r="A42" s="120"/>
      <c r="B42" s="91"/>
      <c r="C42" s="91"/>
      <c r="D42" s="91"/>
      <c r="E42" s="91"/>
      <c r="F42" s="91"/>
      <c r="G42" s="91"/>
      <c r="H42" s="111"/>
      <c r="I42" s="116"/>
      <c r="J42" s="98"/>
      <c r="K42" s="91"/>
      <c r="L42" s="91"/>
      <c r="M42" s="91"/>
      <c r="N42" s="97">
        <v>28</v>
      </c>
      <c r="O42" s="96"/>
      <c r="P42" s="96"/>
      <c r="Q42" s="96"/>
      <c r="R42" s="96"/>
      <c r="S42" s="95"/>
      <c r="T42" s="93"/>
      <c r="U42" s="93"/>
      <c r="V42" s="92"/>
      <c r="W42" s="92"/>
      <c r="X42" s="92"/>
      <c r="Y42" s="92"/>
      <c r="Z42" s="91"/>
    </row>
    <row r="43" spans="1:26" ht="14.25" customHeight="1">
      <c r="A43" s="119" t="s">
        <v>90</v>
      </c>
      <c r="B43" s="118"/>
      <c r="C43" s="91"/>
      <c r="D43" s="91"/>
      <c r="E43" s="91"/>
      <c r="F43" s="91"/>
      <c r="G43" s="91"/>
      <c r="H43" s="111"/>
      <c r="I43" s="116"/>
      <c r="J43" s="98"/>
      <c r="K43" s="91"/>
      <c r="L43" s="91"/>
      <c r="M43" s="91"/>
      <c r="N43" s="97">
        <v>31.5</v>
      </c>
      <c r="O43" s="96"/>
      <c r="P43" s="96"/>
      <c r="Q43" s="96"/>
      <c r="R43" s="96"/>
      <c r="S43" s="95"/>
      <c r="T43" s="93"/>
      <c r="U43" s="93"/>
      <c r="V43" s="92"/>
      <c r="W43" s="92"/>
      <c r="X43" s="92"/>
      <c r="Y43" s="92"/>
      <c r="Z43" s="91"/>
    </row>
    <row r="44" spans="1:26" ht="14.25" customHeight="1">
      <c r="A44" s="110"/>
      <c r="B44" s="117" t="str">
        <f>IF(OR(H14&lt;'CALCUL Mrd'!H32,H14&gt;'CALCUL Mrd'!H33),"N/A",'CALCUL Mrd'!H38)</f>
        <v>Pivot A</v>
      </c>
      <c r="C44" s="91"/>
      <c r="D44" s="91"/>
      <c r="E44" s="91"/>
      <c r="F44" s="91"/>
      <c r="G44" s="91"/>
      <c r="H44" s="111"/>
      <c r="I44" s="116"/>
      <c r="J44" s="98"/>
      <c r="K44" s="91"/>
      <c r="L44" s="91"/>
      <c r="M44" s="91"/>
      <c r="N44" s="97">
        <v>33.25</v>
      </c>
      <c r="O44" s="96"/>
      <c r="P44" s="96"/>
      <c r="Q44" s="96"/>
      <c r="R44" s="96"/>
      <c r="S44" s="95"/>
      <c r="T44" s="93"/>
      <c r="U44" s="93"/>
      <c r="V44" s="92"/>
      <c r="W44" s="92"/>
      <c r="X44" s="92"/>
      <c r="Y44" s="92"/>
      <c r="Z44" s="91"/>
    </row>
    <row r="45" spans="1:26" ht="14.25" customHeight="1">
      <c r="A45" s="520" t="str">
        <f>IF(OR(H14&lt;'CALCUL Mrd'!H32,H14&gt;'CALCUL Mrd'!H33),"N/A",'CALCUL Mrd'!H39)</f>
        <v>Section Partiellement Comprimée</v>
      </c>
      <c r="B45" s="515"/>
      <c r="C45" s="515"/>
      <c r="D45" s="91"/>
      <c r="E45" s="91"/>
      <c r="F45" s="91"/>
      <c r="G45" s="91"/>
      <c r="H45" s="111"/>
      <c r="I45" s="105"/>
      <c r="J45" s="98"/>
      <c r="K45" s="91"/>
      <c r="L45" s="91"/>
      <c r="M45" s="91"/>
      <c r="N45" s="97">
        <v>35</v>
      </c>
      <c r="O45" s="96"/>
      <c r="P45" s="96"/>
      <c r="Q45" s="96"/>
      <c r="R45" s="96"/>
      <c r="S45" s="95"/>
      <c r="T45" s="93"/>
      <c r="U45" s="93"/>
      <c r="V45" s="92"/>
      <c r="W45" s="92"/>
      <c r="X45" s="92"/>
      <c r="Y45" s="92"/>
      <c r="Z45" s="91"/>
    </row>
    <row r="46" spans="1:26" ht="14.25" customHeight="1">
      <c r="A46" s="115"/>
      <c r="B46" s="114"/>
      <c r="C46" s="114"/>
      <c r="D46" s="113"/>
      <c r="E46" s="108"/>
      <c r="F46" s="112"/>
      <c r="G46" s="111"/>
      <c r="H46" s="111"/>
      <c r="I46" s="105"/>
      <c r="J46" s="98"/>
      <c r="K46" s="91"/>
      <c r="L46" s="91"/>
      <c r="M46" s="91"/>
      <c r="N46" s="97">
        <v>35.700000762939453</v>
      </c>
      <c r="O46" s="96"/>
      <c r="P46" s="96"/>
      <c r="Q46" s="96"/>
      <c r="R46" s="96"/>
      <c r="S46" s="95"/>
      <c r="T46" s="93"/>
      <c r="U46" s="93"/>
      <c r="V46" s="92"/>
      <c r="W46" s="92"/>
      <c r="X46" s="92"/>
      <c r="Y46" s="92"/>
      <c r="Z46" s="91"/>
    </row>
    <row r="47" spans="1:26" ht="14.25" customHeight="1">
      <c r="A47" s="110"/>
      <c r="B47" s="109"/>
      <c r="C47" s="109"/>
      <c r="D47" s="91"/>
      <c r="E47" s="108"/>
      <c r="F47" s="107"/>
      <c r="G47" s="91"/>
      <c r="H47" s="106"/>
      <c r="I47" s="105"/>
      <c r="J47" s="98"/>
      <c r="K47" s="91"/>
      <c r="L47" s="91"/>
      <c r="M47" s="91"/>
      <c r="N47" s="97">
        <v>36.399997711181641</v>
      </c>
      <c r="O47" s="96"/>
      <c r="P47" s="96"/>
      <c r="Q47" s="96"/>
      <c r="R47" s="96"/>
      <c r="S47" s="95"/>
      <c r="T47" s="93"/>
      <c r="U47" s="93"/>
      <c r="V47" s="92"/>
      <c r="W47" s="92"/>
      <c r="X47" s="92"/>
      <c r="Y47" s="92"/>
      <c r="Z47" s="91"/>
    </row>
    <row r="48" spans="1:26" ht="14.25" customHeight="1">
      <c r="A48" s="104"/>
      <c r="B48" s="103"/>
      <c r="C48" s="103"/>
      <c r="D48" s="101"/>
      <c r="E48" s="101"/>
      <c r="F48" s="102"/>
      <c r="G48" s="101"/>
      <c r="H48" s="100"/>
      <c r="I48" s="99"/>
      <c r="J48" s="98"/>
      <c r="K48" s="91"/>
      <c r="L48" s="91"/>
      <c r="M48" s="91"/>
      <c r="N48" s="97">
        <v>37.099998474121094</v>
      </c>
      <c r="O48" s="96"/>
      <c r="P48" s="96"/>
      <c r="Q48" s="96"/>
      <c r="R48" s="96"/>
      <c r="S48" s="95"/>
      <c r="T48" s="93"/>
      <c r="U48" s="93"/>
      <c r="V48" s="92"/>
      <c r="W48" s="92"/>
      <c r="X48" s="92"/>
      <c r="Y48" s="92"/>
      <c r="Z48" s="91"/>
    </row>
    <row r="49" spans="1:26" ht="14.2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1"/>
      <c r="L49" s="91"/>
      <c r="M49" s="91"/>
      <c r="N49" s="97">
        <v>37.799999237060547</v>
      </c>
      <c r="O49" s="96"/>
      <c r="P49" s="96"/>
      <c r="Q49" s="96"/>
      <c r="R49" s="96"/>
      <c r="S49" s="95"/>
      <c r="T49" s="93"/>
      <c r="U49" s="93"/>
      <c r="V49" s="92"/>
      <c r="W49" s="92"/>
      <c r="X49" s="92"/>
      <c r="Y49" s="92"/>
      <c r="Z49" s="91"/>
    </row>
    <row r="50" spans="1:26" ht="14.2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7">
        <v>38.150001525878906</v>
      </c>
      <c r="O50" s="96"/>
      <c r="P50" s="96"/>
      <c r="Q50" s="96"/>
      <c r="R50" s="96"/>
      <c r="S50" s="95"/>
      <c r="T50" s="93"/>
      <c r="U50" s="93"/>
      <c r="V50" s="92"/>
      <c r="W50" s="92"/>
      <c r="X50" s="92"/>
      <c r="Y50" s="92"/>
      <c r="Z50" s="91"/>
    </row>
    <row r="51" spans="1:26" ht="14.25" customHeight="1">
      <c r="A51" s="91"/>
      <c r="B51" s="91"/>
      <c r="C51" s="200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7">
        <v>38.325000762939453</v>
      </c>
      <c r="O51" s="96"/>
      <c r="P51" s="96"/>
      <c r="Q51" s="96"/>
      <c r="R51" s="96"/>
      <c r="S51" s="95"/>
      <c r="T51" s="93"/>
      <c r="U51" s="93"/>
      <c r="V51" s="92"/>
      <c r="W51" s="92"/>
      <c r="X51" s="92"/>
      <c r="Y51" s="92"/>
      <c r="Z51" s="91"/>
    </row>
    <row r="52" spans="1:26" ht="14.2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7">
        <v>38.5</v>
      </c>
      <c r="O52" s="96"/>
      <c r="P52" s="96"/>
      <c r="Q52" s="96"/>
      <c r="R52" s="96"/>
      <c r="S52" s="95"/>
      <c r="T52" s="93"/>
      <c r="U52" s="93"/>
      <c r="V52" s="92"/>
      <c r="W52" s="92"/>
      <c r="X52" s="92"/>
      <c r="Y52" s="92"/>
      <c r="Z52" s="91"/>
    </row>
    <row r="53" spans="1:26" ht="14.2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7">
        <v>38.850002288818359</v>
      </c>
      <c r="O53" s="96"/>
      <c r="P53" s="96"/>
      <c r="Q53" s="96"/>
      <c r="R53" s="96"/>
      <c r="S53" s="95"/>
      <c r="T53" s="93"/>
      <c r="U53" s="93"/>
      <c r="V53" s="92"/>
      <c r="W53" s="92"/>
      <c r="X53" s="92"/>
      <c r="Y53" s="92"/>
      <c r="Z53" s="91"/>
    </row>
    <row r="54" spans="1:26" ht="14.2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7">
        <v>39.200000762939453</v>
      </c>
      <c r="O54" s="96"/>
      <c r="P54" s="96"/>
      <c r="Q54" s="96"/>
      <c r="R54" s="96"/>
      <c r="S54" s="95"/>
      <c r="T54" s="93"/>
      <c r="U54" s="93"/>
      <c r="V54" s="92"/>
      <c r="W54" s="92"/>
      <c r="X54" s="92"/>
      <c r="Y54" s="92"/>
      <c r="Z54" s="91"/>
    </row>
    <row r="55" spans="1:26" ht="14.2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7">
        <v>39.549999237060547</v>
      </c>
      <c r="O55" s="96"/>
      <c r="P55" s="96"/>
      <c r="Q55" s="96"/>
      <c r="R55" s="96"/>
      <c r="S55" s="95"/>
      <c r="T55" s="93"/>
      <c r="U55" s="93"/>
      <c r="V55" s="92"/>
      <c r="W55" s="92"/>
      <c r="X55" s="92"/>
      <c r="Y55" s="92"/>
      <c r="Z55" s="91"/>
    </row>
    <row r="56" spans="1:26" ht="14.2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7">
        <v>39.899997711181641</v>
      </c>
      <c r="O56" s="96"/>
      <c r="P56" s="96"/>
      <c r="Q56" s="96"/>
      <c r="R56" s="96"/>
      <c r="S56" s="95"/>
      <c r="T56" s="93"/>
      <c r="U56" s="93"/>
      <c r="V56" s="92"/>
      <c r="W56" s="92"/>
      <c r="X56" s="92"/>
      <c r="Y56" s="92"/>
      <c r="Z56" s="91"/>
    </row>
    <row r="57" spans="1:26" ht="12.7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7">
        <v>40.25</v>
      </c>
      <c r="O57" s="96"/>
      <c r="P57" s="96"/>
      <c r="Q57" s="96"/>
      <c r="R57" s="96"/>
      <c r="S57" s="95"/>
      <c r="T57" s="93"/>
      <c r="U57" s="93"/>
      <c r="V57" s="92"/>
      <c r="W57" s="92"/>
      <c r="X57" s="92"/>
      <c r="Y57" s="92"/>
      <c r="Z57" s="91"/>
    </row>
    <row r="58" spans="1:26" ht="14.2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7">
        <v>42</v>
      </c>
      <c r="O58" s="96"/>
      <c r="P58" s="96"/>
      <c r="Q58" s="96"/>
      <c r="R58" s="96"/>
      <c r="S58" s="95"/>
      <c r="T58" s="93"/>
      <c r="U58" s="93"/>
      <c r="V58" s="92"/>
      <c r="W58" s="92"/>
      <c r="X58" s="92"/>
      <c r="Y58" s="92"/>
      <c r="Z58" s="91"/>
    </row>
    <row r="59" spans="1:26" ht="14.2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7">
        <v>45.5</v>
      </c>
      <c r="O59" s="96"/>
      <c r="P59" s="96"/>
      <c r="Q59" s="96"/>
      <c r="R59" s="96"/>
      <c r="S59" s="95"/>
      <c r="T59" s="93"/>
      <c r="U59" s="93"/>
      <c r="V59" s="92"/>
      <c r="W59" s="92"/>
      <c r="X59" s="92"/>
      <c r="Y59" s="92"/>
      <c r="Z59" s="91"/>
    </row>
    <row r="60" spans="1:26" ht="14.2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7">
        <v>46.200000762939453</v>
      </c>
      <c r="O60" s="96"/>
      <c r="P60" s="96"/>
      <c r="Q60" s="96"/>
      <c r="R60" s="96"/>
      <c r="S60" s="95"/>
      <c r="T60" s="93"/>
      <c r="U60" s="93"/>
      <c r="V60" s="92"/>
      <c r="W60" s="92"/>
      <c r="X60" s="92"/>
      <c r="Y60" s="92"/>
      <c r="Z60" s="91"/>
    </row>
    <row r="61" spans="1:26" ht="14.2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7">
        <v>46.375</v>
      </c>
      <c r="O61" s="96"/>
      <c r="P61" s="96"/>
      <c r="Q61" s="96"/>
      <c r="R61" s="96"/>
      <c r="S61" s="95"/>
      <c r="T61" s="93"/>
      <c r="U61" s="93"/>
      <c r="V61" s="92"/>
      <c r="W61" s="92"/>
      <c r="X61" s="92"/>
      <c r="Y61" s="92"/>
      <c r="Z61" s="91"/>
    </row>
    <row r="62" spans="1:26" ht="14.2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7">
        <v>46.549999237060547</v>
      </c>
      <c r="O62" s="96"/>
      <c r="P62" s="96"/>
      <c r="Q62" s="96"/>
      <c r="R62" s="96"/>
      <c r="S62" s="95"/>
      <c r="T62" s="93"/>
      <c r="U62" s="93"/>
      <c r="V62" s="92"/>
      <c r="W62" s="92"/>
      <c r="X62" s="92"/>
      <c r="Y62" s="92"/>
      <c r="Z62" s="91"/>
    </row>
    <row r="63" spans="1:26" ht="14.2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7">
        <v>46.724998474121094</v>
      </c>
      <c r="O63" s="96"/>
      <c r="P63" s="96"/>
      <c r="Q63" s="96"/>
      <c r="R63" s="96"/>
      <c r="S63" s="95"/>
      <c r="T63" s="93"/>
      <c r="U63" s="93"/>
      <c r="V63" s="92"/>
      <c r="W63" s="92"/>
      <c r="X63" s="92"/>
      <c r="Y63" s="92"/>
      <c r="Z63" s="91"/>
    </row>
    <row r="64" spans="1:26" ht="14.2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7">
        <v>46.900001525878906</v>
      </c>
      <c r="O64" s="96"/>
      <c r="P64" s="96"/>
      <c r="Q64" s="96"/>
      <c r="R64" s="96"/>
      <c r="S64" s="95"/>
      <c r="T64" s="93"/>
      <c r="U64" s="93"/>
      <c r="V64" s="92"/>
      <c r="W64" s="92"/>
      <c r="X64" s="92"/>
      <c r="Y64" s="92"/>
      <c r="Z64" s="91"/>
    </row>
    <row r="65" spans="1:26" ht="14.2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7">
        <v>47.600002288818359</v>
      </c>
      <c r="O65" s="96"/>
      <c r="P65" s="96"/>
      <c r="Q65" s="96"/>
      <c r="R65" s="96"/>
      <c r="S65" s="95"/>
      <c r="T65" s="93"/>
      <c r="U65" s="93"/>
      <c r="V65" s="92"/>
      <c r="W65" s="92"/>
      <c r="X65" s="92"/>
      <c r="Y65" s="92"/>
      <c r="Z65" s="91"/>
    </row>
    <row r="66" spans="1:26" ht="14.2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7">
        <v>48.299999237060547</v>
      </c>
      <c r="O66" s="96"/>
      <c r="P66" s="96"/>
      <c r="Q66" s="96"/>
      <c r="R66" s="96"/>
      <c r="S66" s="95"/>
      <c r="T66" s="93"/>
      <c r="U66" s="93"/>
      <c r="V66" s="92"/>
      <c r="W66" s="92"/>
      <c r="X66" s="92"/>
      <c r="Y66" s="92"/>
      <c r="Z66" s="91"/>
    </row>
    <row r="67" spans="1:26" ht="14.2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7">
        <v>49</v>
      </c>
      <c r="O67" s="96"/>
      <c r="P67" s="96"/>
      <c r="Q67" s="96"/>
      <c r="R67" s="96"/>
      <c r="S67" s="95"/>
      <c r="T67" s="93"/>
      <c r="U67" s="93"/>
      <c r="V67" s="92"/>
      <c r="W67" s="92"/>
      <c r="X67" s="92"/>
      <c r="Y67" s="92"/>
      <c r="Z67" s="91"/>
    </row>
    <row r="68" spans="1:26" ht="14.2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7">
        <v>52.499996185302734</v>
      </c>
      <c r="O68" s="96"/>
      <c r="P68" s="96"/>
      <c r="Q68" s="96"/>
      <c r="R68" s="96"/>
      <c r="S68" s="95"/>
      <c r="T68" s="93"/>
      <c r="U68" s="93"/>
      <c r="V68" s="92"/>
      <c r="W68" s="92"/>
      <c r="X68" s="92"/>
      <c r="Y68" s="92"/>
      <c r="Z68" s="91"/>
    </row>
    <row r="69" spans="1:26" ht="14.2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7">
        <v>53.200000762939453</v>
      </c>
      <c r="O69" s="96"/>
      <c r="P69" s="96"/>
      <c r="Q69" s="96"/>
      <c r="R69" s="96"/>
      <c r="S69" s="95"/>
      <c r="T69" s="93"/>
      <c r="U69" s="93"/>
      <c r="V69" s="92"/>
      <c r="W69" s="92"/>
      <c r="X69" s="92"/>
      <c r="Y69" s="92"/>
      <c r="Z69" s="91"/>
    </row>
    <row r="70" spans="1:26" ht="14.2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7">
        <v>53.899997711181641</v>
      </c>
      <c r="O70" s="96"/>
      <c r="P70" s="96"/>
      <c r="Q70" s="96"/>
      <c r="R70" s="96"/>
      <c r="S70" s="95"/>
      <c r="T70" s="93"/>
      <c r="U70" s="93"/>
      <c r="V70" s="92"/>
      <c r="W70" s="92"/>
      <c r="X70" s="92"/>
      <c r="Y70" s="92"/>
      <c r="Z70" s="91"/>
    </row>
    <row r="71" spans="1:26" ht="14.2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7">
        <v>54.599998474121094</v>
      </c>
      <c r="O71" s="96"/>
      <c r="P71" s="96"/>
      <c r="Q71" s="96"/>
      <c r="R71" s="96"/>
      <c r="S71" s="95"/>
      <c r="T71" s="93"/>
      <c r="U71" s="93"/>
      <c r="V71" s="92"/>
      <c r="W71" s="92"/>
      <c r="X71" s="92"/>
      <c r="Y71" s="92"/>
      <c r="Z71" s="91"/>
    </row>
    <row r="72" spans="1:26" ht="14.2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7">
        <v>55.299995422363281</v>
      </c>
      <c r="O72" s="96"/>
      <c r="P72" s="96"/>
      <c r="Q72" s="96"/>
      <c r="R72" s="96"/>
      <c r="S72" s="95"/>
      <c r="T72" s="93"/>
      <c r="U72" s="93"/>
      <c r="V72" s="92"/>
      <c r="W72" s="92"/>
      <c r="X72" s="92"/>
      <c r="Y72" s="92"/>
      <c r="Z72" s="91"/>
    </row>
    <row r="73" spans="1:26" ht="14.2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7">
        <v>56</v>
      </c>
      <c r="O73" s="96"/>
      <c r="P73" s="96"/>
      <c r="Q73" s="96"/>
      <c r="R73" s="96"/>
      <c r="S73" s="95"/>
      <c r="T73" s="93"/>
      <c r="U73" s="93"/>
      <c r="V73" s="92"/>
      <c r="W73" s="92"/>
      <c r="X73" s="92"/>
      <c r="Y73" s="92"/>
      <c r="Z73" s="91"/>
    </row>
    <row r="74" spans="1:26" ht="14.2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7">
        <v>59.500003814697266</v>
      </c>
      <c r="O74" s="96"/>
      <c r="P74" s="96"/>
      <c r="Q74" s="96"/>
      <c r="R74" s="96"/>
      <c r="S74" s="95"/>
      <c r="T74" s="93"/>
      <c r="U74" s="93"/>
      <c r="V74" s="92"/>
      <c r="W74" s="92"/>
      <c r="X74" s="92"/>
      <c r="Y74" s="92"/>
      <c r="Z74" s="91"/>
    </row>
    <row r="75" spans="1:26" ht="14.2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7">
        <v>63</v>
      </c>
      <c r="O75" s="96"/>
      <c r="P75" s="96"/>
      <c r="Q75" s="96"/>
      <c r="R75" s="96"/>
      <c r="S75" s="95"/>
      <c r="T75" s="93"/>
      <c r="U75" s="93"/>
      <c r="V75" s="92"/>
      <c r="W75" s="92"/>
      <c r="X75" s="92"/>
      <c r="Y75" s="92"/>
      <c r="Z75" s="91"/>
    </row>
    <row r="76" spans="1:26" ht="14.2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7">
        <v>66.5</v>
      </c>
      <c r="O76" s="96"/>
      <c r="P76" s="96"/>
      <c r="Q76" s="96"/>
      <c r="R76" s="96"/>
      <c r="S76" s="95"/>
      <c r="T76" s="93"/>
      <c r="U76" s="93"/>
      <c r="V76" s="92"/>
      <c r="W76" s="92"/>
      <c r="X76" s="92"/>
      <c r="Y76" s="92"/>
      <c r="Z76" s="91"/>
    </row>
    <row r="77" spans="1:26" ht="14.2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7">
        <v>70</v>
      </c>
      <c r="O77" s="96"/>
      <c r="P77" s="96"/>
      <c r="Q77" s="96"/>
      <c r="R77" s="96"/>
      <c r="S77" s="95"/>
      <c r="T77" s="93"/>
      <c r="U77" s="93"/>
      <c r="V77" s="92"/>
      <c r="W77" s="92"/>
      <c r="X77" s="92"/>
      <c r="Y77" s="92"/>
      <c r="Z77" s="91"/>
    </row>
    <row r="78" spans="1:26" ht="14.2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7">
        <v>104.99999237060547</v>
      </c>
      <c r="O78" s="96"/>
      <c r="P78" s="96"/>
      <c r="Q78" s="96"/>
      <c r="R78" s="96"/>
      <c r="S78" s="95"/>
      <c r="T78" s="93"/>
      <c r="U78" s="93"/>
      <c r="V78" s="92"/>
      <c r="W78" s="92"/>
      <c r="X78" s="92"/>
      <c r="Y78" s="92"/>
      <c r="Z78" s="91"/>
    </row>
    <row r="79" spans="1:26" ht="14.2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7">
        <v>140</v>
      </c>
      <c r="O79" s="96"/>
      <c r="P79" s="96"/>
      <c r="Q79" s="96"/>
      <c r="R79" s="96"/>
      <c r="S79" s="95"/>
      <c r="T79" s="93"/>
      <c r="U79" s="93"/>
      <c r="V79" s="92"/>
      <c r="W79" s="92"/>
      <c r="X79" s="92"/>
      <c r="Y79" s="92"/>
      <c r="Z79" s="91"/>
    </row>
    <row r="80" spans="1:26" ht="14.2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7">
        <v>175</v>
      </c>
      <c r="O80" s="96"/>
      <c r="P80" s="96"/>
      <c r="Q80" s="96"/>
      <c r="R80" s="96"/>
      <c r="S80" s="95"/>
      <c r="T80" s="93"/>
      <c r="U80" s="93"/>
      <c r="V80" s="92"/>
      <c r="W80" s="92"/>
      <c r="X80" s="92"/>
      <c r="Y80" s="92"/>
      <c r="Z80" s="91"/>
    </row>
    <row r="81" spans="1:26" ht="14.2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7">
        <v>350</v>
      </c>
      <c r="O81" s="96"/>
      <c r="P81" s="96"/>
      <c r="Q81" s="96"/>
      <c r="R81" s="96"/>
      <c r="S81" s="95"/>
      <c r="T81" s="93"/>
      <c r="U81" s="93"/>
      <c r="V81" s="92"/>
      <c r="W81" s="92"/>
      <c r="X81" s="92"/>
      <c r="Y81" s="92"/>
      <c r="Z81" s="91"/>
    </row>
    <row r="82" spans="1:26" ht="14.2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7">
        <v>3500</v>
      </c>
      <c r="O82" s="96"/>
      <c r="P82" s="96"/>
      <c r="Q82" s="96"/>
      <c r="R82" s="96"/>
      <c r="S82" s="95"/>
      <c r="T82" s="93"/>
      <c r="U82" s="93"/>
      <c r="V82" s="92"/>
      <c r="W82" s="92"/>
      <c r="X82" s="92"/>
      <c r="Y82" s="92"/>
      <c r="Z82" s="91"/>
    </row>
    <row r="83" spans="1:26" ht="14.2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4"/>
      <c r="O83" s="93"/>
      <c r="P83" s="93"/>
      <c r="Q83" s="93"/>
      <c r="R83" s="93"/>
      <c r="S83" s="93"/>
      <c r="T83" s="93"/>
      <c r="U83" s="93"/>
      <c r="V83" s="92"/>
      <c r="W83" s="92"/>
      <c r="X83" s="92"/>
      <c r="Y83" s="92"/>
      <c r="Z83" s="91"/>
    </row>
    <row r="84" spans="1:26" ht="14.2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4"/>
      <c r="O84" s="93"/>
      <c r="P84" s="93"/>
      <c r="Q84" s="93"/>
      <c r="R84" s="93"/>
      <c r="S84" s="93"/>
      <c r="T84" s="93"/>
      <c r="U84" s="93"/>
      <c r="V84" s="92"/>
      <c r="W84" s="92"/>
      <c r="X84" s="92"/>
      <c r="Y84" s="92"/>
      <c r="Z84" s="91"/>
    </row>
    <row r="85" spans="1:26" ht="14.2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4"/>
      <c r="O85" s="93"/>
      <c r="P85" s="93"/>
      <c r="Q85" s="93"/>
      <c r="R85" s="93"/>
      <c r="S85" s="93"/>
      <c r="T85" s="93"/>
      <c r="U85" s="93"/>
      <c r="V85" s="92"/>
      <c r="W85" s="92"/>
      <c r="X85" s="92"/>
      <c r="Y85" s="92"/>
      <c r="Z85" s="91"/>
    </row>
    <row r="86" spans="1:26" ht="14.2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4"/>
      <c r="O86" s="93"/>
      <c r="P86" s="93"/>
      <c r="Q86" s="93"/>
      <c r="R86" s="93"/>
      <c r="S86" s="93"/>
      <c r="T86" s="93"/>
      <c r="U86" s="93"/>
      <c r="V86" s="92"/>
      <c r="W86" s="92"/>
      <c r="X86" s="92"/>
      <c r="Y86" s="92"/>
      <c r="Z86" s="91"/>
    </row>
    <row r="87" spans="1:26" ht="14.2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4"/>
      <c r="O87" s="93"/>
      <c r="P87" s="93"/>
      <c r="Q87" s="93"/>
      <c r="R87" s="93"/>
      <c r="S87" s="93"/>
      <c r="T87" s="93"/>
      <c r="U87" s="93"/>
      <c r="V87" s="92"/>
      <c r="W87" s="92"/>
      <c r="X87" s="92"/>
      <c r="Y87" s="92"/>
      <c r="Z87" s="91"/>
    </row>
    <row r="88" spans="1:26" ht="14.2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4"/>
      <c r="O88" s="93"/>
      <c r="P88" s="93"/>
      <c r="Q88" s="93"/>
      <c r="R88" s="93"/>
      <c r="S88" s="93"/>
      <c r="T88" s="93"/>
      <c r="U88" s="93"/>
      <c r="V88" s="92"/>
      <c r="W88" s="92"/>
      <c r="X88" s="92"/>
      <c r="Y88" s="92"/>
      <c r="Z88" s="91"/>
    </row>
    <row r="89" spans="1:26" ht="14.2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4"/>
      <c r="O89" s="93"/>
      <c r="P89" s="93"/>
      <c r="Q89" s="93"/>
      <c r="R89" s="93"/>
      <c r="S89" s="93"/>
      <c r="T89" s="93"/>
      <c r="U89" s="93"/>
      <c r="V89" s="92"/>
      <c r="W89" s="92"/>
      <c r="X89" s="92"/>
      <c r="Y89" s="92"/>
      <c r="Z89" s="91"/>
    </row>
    <row r="90" spans="1:26" ht="14.2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4"/>
      <c r="O90" s="93"/>
      <c r="P90" s="93"/>
      <c r="Q90" s="93"/>
      <c r="R90" s="93"/>
      <c r="S90" s="93"/>
      <c r="T90" s="93"/>
      <c r="U90" s="93"/>
      <c r="V90" s="92"/>
      <c r="W90" s="92"/>
      <c r="X90" s="92"/>
      <c r="Y90" s="92"/>
      <c r="Z90" s="91"/>
    </row>
    <row r="91" spans="1:26" ht="14.2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4"/>
      <c r="O91" s="93"/>
      <c r="P91" s="93"/>
      <c r="Q91" s="93"/>
      <c r="R91" s="93"/>
      <c r="S91" s="93"/>
      <c r="T91" s="93"/>
      <c r="U91" s="93"/>
      <c r="V91" s="92"/>
      <c r="W91" s="92"/>
      <c r="X91" s="92"/>
      <c r="Y91" s="92"/>
      <c r="Z91" s="91"/>
    </row>
    <row r="92" spans="1:26" ht="14.2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4"/>
      <c r="O92" s="93"/>
      <c r="P92" s="93"/>
      <c r="Q92" s="93"/>
      <c r="R92" s="93"/>
      <c r="S92" s="93"/>
      <c r="T92" s="93"/>
      <c r="U92" s="93"/>
      <c r="V92" s="92"/>
      <c r="W92" s="92"/>
      <c r="X92" s="92"/>
      <c r="Y92" s="92"/>
      <c r="Z92" s="91"/>
    </row>
    <row r="93" spans="1:26" ht="14.2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4"/>
      <c r="O93" s="93"/>
      <c r="P93" s="93"/>
      <c r="Q93" s="93"/>
      <c r="R93" s="93"/>
      <c r="S93" s="93"/>
      <c r="T93" s="93"/>
      <c r="U93" s="93"/>
      <c r="V93" s="92"/>
      <c r="W93" s="92"/>
      <c r="X93" s="92"/>
      <c r="Y93" s="92"/>
      <c r="Z93" s="91"/>
    </row>
    <row r="94" spans="1:26" ht="14.2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4"/>
      <c r="O94" s="93"/>
      <c r="P94" s="93"/>
      <c r="Q94" s="93"/>
      <c r="R94" s="93"/>
      <c r="S94" s="93"/>
      <c r="T94" s="93"/>
      <c r="U94" s="93"/>
      <c r="V94" s="92"/>
      <c r="W94" s="92"/>
      <c r="X94" s="92"/>
      <c r="Y94" s="92"/>
      <c r="Z94" s="91"/>
    </row>
    <row r="95" spans="1:26" ht="14.2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4"/>
      <c r="O95" s="93"/>
      <c r="P95" s="93"/>
      <c r="Q95" s="93"/>
      <c r="R95" s="93"/>
      <c r="S95" s="93"/>
      <c r="T95" s="93"/>
      <c r="U95" s="93"/>
      <c r="V95" s="92"/>
      <c r="W95" s="92"/>
      <c r="X95" s="92"/>
      <c r="Y95" s="92"/>
      <c r="Z95" s="91"/>
    </row>
    <row r="96" spans="1:26" ht="14.2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4"/>
      <c r="O96" s="93"/>
      <c r="P96" s="93"/>
      <c r="Q96" s="93"/>
      <c r="R96" s="93"/>
      <c r="S96" s="93"/>
      <c r="T96" s="93"/>
      <c r="U96" s="93"/>
      <c r="V96" s="92"/>
      <c r="W96" s="92"/>
      <c r="X96" s="92"/>
      <c r="Y96" s="92"/>
      <c r="Z96" s="91"/>
    </row>
    <row r="97" spans="1:26" ht="14.2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4"/>
      <c r="O97" s="93"/>
      <c r="P97" s="93"/>
      <c r="Q97" s="93"/>
      <c r="R97" s="93"/>
      <c r="S97" s="93"/>
      <c r="T97" s="93"/>
      <c r="U97" s="93"/>
      <c r="V97" s="92"/>
      <c r="W97" s="92"/>
      <c r="X97" s="92"/>
      <c r="Y97" s="92"/>
      <c r="Z97" s="91"/>
    </row>
    <row r="98" spans="1:26" ht="14.2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4"/>
      <c r="O98" s="93"/>
      <c r="P98" s="93"/>
      <c r="Q98" s="93"/>
      <c r="R98" s="93"/>
      <c r="S98" s="93"/>
      <c r="T98" s="93"/>
      <c r="U98" s="93"/>
      <c r="V98" s="92"/>
      <c r="W98" s="92"/>
      <c r="X98" s="92"/>
      <c r="Y98" s="92"/>
      <c r="Z98" s="91"/>
    </row>
    <row r="99" spans="1:26" ht="14.2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4"/>
      <c r="O99" s="93"/>
      <c r="P99" s="93"/>
      <c r="Q99" s="93"/>
      <c r="R99" s="93"/>
      <c r="S99" s="93"/>
      <c r="T99" s="93"/>
      <c r="U99" s="93"/>
      <c r="V99" s="92"/>
      <c r="W99" s="92"/>
      <c r="X99" s="92"/>
      <c r="Y99" s="92"/>
      <c r="Z99" s="91"/>
    </row>
    <row r="100" spans="1:26" ht="14.2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4"/>
      <c r="O100" s="93"/>
      <c r="P100" s="93"/>
      <c r="Q100" s="93"/>
      <c r="R100" s="93"/>
      <c r="S100" s="93"/>
      <c r="T100" s="93"/>
      <c r="U100" s="93"/>
      <c r="V100" s="92"/>
      <c r="W100" s="92"/>
      <c r="X100" s="92"/>
      <c r="Y100" s="92"/>
      <c r="Z100" s="91"/>
    </row>
    <row r="101" spans="1:26" ht="14.2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4"/>
      <c r="O101" s="93"/>
      <c r="P101" s="93"/>
      <c r="Q101" s="93"/>
      <c r="R101" s="93"/>
      <c r="S101" s="93"/>
      <c r="T101" s="93"/>
      <c r="U101" s="93"/>
      <c r="V101" s="92"/>
      <c r="W101" s="92"/>
      <c r="X101" s="92"/>
      <c r="Y101" s="92"/>
      <c r="Z101" s="91"/>
    </row>
    <row r="102" spans="1:26" ht="14.2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4"/>
      <c r="O102" s="93"/>
      <c r="P102" s="93"/>
      <c r="Q102" s="93"/>
      <c r="R102" s="93"/>
      <c r="S102" s="93"/>
      <c r="T102" s="93"/>
      <c r="U102" s="93"/>
      <c r="V102" s="92"/>
      <c r="W102" s="92"/>
      <c r="X102" s="92"/>
      <c r="Y102" s="92"/>
      <c r="Z102" s="91"/>
    </row>
    <row r="103" spans="1:26" ht="14.2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4"/>
      <c r="O103" s="93"/>
      <c r="P103" s="93"/>
      <c r="Q103" s="93"/>
      <c r="R103" s="93"/>
      <c r="S103" s="93"/>
      <c r="T103" s="93"/>
      <c r="U103" s="93"/>
      <c r="V103" s="92"/>
      <c r="W103" s="92"/>
      <c r="X103" s="92"/>
      <c r="Y103" s="92"/>
      <c r="Z103" s="91"/>
    </row>
    <row r="104" spans="1:26" ht="14.2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4"/>
      <c r="O104" s="93"/>
      <c r="P104" s="93"/>
      <c r="Q104" s="93"/>
      <c r="R104" s="93"/>
      <c r="S104" s="93"/>
      <c r="T104" s="93"/>
      <c r="U104" s="93"/>
      <c r="V104" s="92"/>
      <c r="W104" s="92"/>
      <c r="X104" s="92"/>
      <c r="Y104" s="92"/>
      <c r="Z104" s="91"/>
    </row>
    <row r="105" spans="1:26" ht="14.2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4"/>
      <c r="O105" s="93"/>
      <c r="P105" s="93"/>
      <c r="Q105" s="93"/>
      <c r="R105" s="93"/>
      <c r="S105" s="93"/>
      <c r="T105" s="93"/>
      <c r="U105" s="93"/>
      <c r="V105" s="92"/>
      <c r="W105" s="92"/>
      <c r="X105" s="92"/>
      <c r="Y105" s="92"/>
      <c r="Z105" s="91"/>
    </row>
    <row r="106" spans="1:26" ht="14.2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4"/>
      <c r="O106" s="93"/>
      <c r="P106" s="93"/>
      <c r="Q106" s="93"/>
      <c r="R106" s="93"/>
      <c r="S106" s="93"/>
      <c r="T106" s="93"/>
      <c r="U106" s="93"/>
      <c r="V106" s="92"/>
      <c r="W106" s="92"/>
      <c r="X106" s="92"/>
      <c r="Y106" s="92"/>
      <c r="Z106" s="91"/>
    </row>
    <row r="107" spans="1:26" ht="14.2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4"/>
      <c r="O107" s="93"/>
      <c r="P107" s="93"/>
      <c r="Q107" s="93"/>
      <c r="R107" s="93"/>
      <c r="S107" s="93"/>
      <c r="T107" s="93"/>
      <c r="U107" s="93"/>
      <c r="V107" s="92"/>
      <c r="W107" s="92"/>
      <c r="X107" s="92"/>
      <c r="Y107" s="92"/>
      <c r="Z107" s="91"/>
    </row>
    <row r="108" spans="1:26" ht="14.2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4"/>
      <c r="O108" s="93"/>
      <c r="P108" s="93"/>
      <c r="Q108" s="93"/>
      <c r="R108" s="93"/>
      <c r="S108" s="93"/>
      <c r="T108" s="93"/>
      <c r="U108" s="93"/>
      <c r="V108" s="92"/>
      <c r="W108" s="92"/>
      <c r="X108" s="92"/>
      <c r="Y108" s="92"/>
      <c r="Z108" s="91"/>
    </row>
    <row r="109" spans="1:26" ht="14.2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4"/>
      <c r="O109" s="93"/>
      <c r="P109" s="93"/>
      <c r="Q109" s="93"/>
      <c r="R109" s="93"/>
      <c r="S109" s="93"/>
      <c r="T109" s="93"/>
      <c r="U109" s="93"/>
      <c r="V109" s="92"/>
      <c r="W109" s="92"/>
      <c r="X109" s="92"/>
      <c r="Y109" s="92"/>
      <c r="Z109" s="91"/>
    </row>
    <row r="110" spans="1:26" ht="14.2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4"/>
      <c r="O110" s="93"/>
      <c r="P110" s="93"/>
      <c r="Q110" s="93"/>
      <c r="R110" s="93"/>
      <c r="S110" s="93"/>
      <c r="T110" s="93"/>
      <c r="U110" s="93"/>
      <c r="V110" s="92"/>
      <c r="W110" s="92"/>
      <c r="X110" s="92"/>
      <c r="Y110" s="92"/>
      <c r="Z110" s="91"/>
    </row>
    <row r="111" spans="1:26" ht="14.2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4"/>
      <c r="O111" s="93"/>
      <c r="P111" s="93"/>
      <c r="Q111" s="93"/>
      <c r="R111" s="93"/>
      <c r="S111" s="93"/>
      <c r="T111" s="93"/>
      <c r="U111" s="93"/>
      <c r="V111" s="92"/>
      <c r="W111" s="92"/>
      <c r="X111" s="92"/>
      <c r="Y111" s="92"/>
      <c r="Z111" s="91"/>
    </row>
    <row r="112" spans="1:26" ht="14.2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4"/>
      <c r="O112" s="93"/>
      <c r="P112" s="93"/>
      <c r="Q112" s="93"/>
      <c r="R112" s="93"/>
      <c r="S112" s="93"/>
      <c r="T112" s="93"/>
      <c r="U112" s="93"/>
      <c r="V112" s="92"/>
      <c r="W112" s="92"/>
      <c r="X112" s="92"/>
      <c r="Y112" s="92"/>
      <c r="Z112" s="91"/>
    </row>
    <row r="113" spans="1:26" ht="14.2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4"/>
      <c r="O113" s="93"/>
      <c r="P113" s="93"/>
      <c r="Q113" s="93"/>
      <c r="R113" s="93"/>
      <c r="S113" s="93"/>
      <c r="T113" s="93"/>
      <c r="U113" s="93"/>
      <c r="V113" s="92"/>
      <c r="W113" s="92"/>
      <c r="X113" s="92"/>
      <c r="Y113" s="92"/>
      <c r="Z113" s="91"/>
    </row>
    <row r="114" spans="1:26" ht="14.2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4"/>
      <c r="O114" s="93"/>
      <c r="P114" s="93"/>
      <c r="Q114" s="93"/>
      <c r="R114" s="93"/>
      <c r="S114" s="93"/>
      <c r="T114" s="93"/>
      <c r="U114" s="93"/>
      <c r="V114" s="92"/>
      <c r="W114" s="92"/>
      <c r="X114" s="92"/>
      <c r="Y114" s="92"/>
      <c r="Z114" s="91"/>
    </row>
    <row r="115" spans="1:26" ht="14.2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4"/>
      <c r="O115" s="93"/>
      <c r="P115" s="93"/>
      <c r="Q115" s="93"/>
      <c r="R115" s="93"/>
      <c r="S115" s="93"/>
      <c r="T115" s="93"/>
      <c r="U115" s="93"/>
      <c r="V115" s="92"/>
      <c r="W115" s="92"/>
      <c r="X115" s="92"/>
      <c r="Y115" s="92"/>
      <c r="Z115" s="91"/>
    </row>
    <row r="116" spans="1:26" ht="14.2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4"/>
      <c r="O116" s="93"/>
      <c r="P116" s="93"/>
      <c r="Q116" s="93"/>
      <c r="R116" s="93"/>
      <c r="S116" s="93"/>
      <c r="T116" s="93"/>
      <c r="U116" s="93"/>
      <c r="V116" s="92"/>
      <c r="W116" s="92"/>
      <c r="X116" s="92"/>
      <c r="Y116" s="92"/>
      <c r="Z116" s="91"/>
    </row>
    <row r="117" spans="1:26" ht="14.2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4"/>
      <c r="O117" s="93"/>
      <c r="P117" s="93"/>
      <c r="Q117" s="93"/>
      <c r="R117" s="93"/>
      <c r="S117" s="93"/>
      <c r="T117" s="93"/>
      <c r="U117" s="93"/>
      <c r="V117" s="92"/>
      <c r="W117" s="92"/>
      <c r="X117" s="92"/>
      <c r="Y117" s="92"/>
      <c r="Z117" s="91"/>
    </row>
    <row r="118" spans="1:26" ht="14.2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4"/>
      <c r="O118" s="93"/>
      <c r="P118" s="93"/>
      <c r="Q118" s="93"/>
      <c r="R118" s="93"/>
      <c r="S118" s="93"/>
      <c r="T118" s="93"/>
      <c r="U118" s="93"/>
      <c r="V118" s="92"/>
      <c r="W118" s="92"/>
      <c r="X118" s="92"/>
      <c r="Y118" s="92"/>
      <c r="Z118" s="91"/>
    </row>
    <row r="119" spans="1:26" ht="14.2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4"/>
      <c r="O119" s="93"/>
      <c r="P119" s="93"/>
      <c r="Q119" s="93"/>
      <c r="R119" s="93"/>
      <c r="S119" s="93"/>
      <c r="T119" s="93"/>
      <c r="U119" s="93"/>
      <c r="V119" s="92"/>
      <c r="W119" s="92"/>
      <c r="X119" s="92"/>
      <c r="Y119" s="92"/>
      <c r="Z119" s="91"/>
    </row>
    <row r="120" spans="1:26" ht="14.2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4"/>
      <c r="O120" s="93"/>
      <c r="P120" s="93"/>
      <c r="Q120" s="93"/>
      <c r="R120" s="93"/>
      <c r="S120" s="93"/>
      <c r="T120" s="93"/>
      <c r="U120" s="93"/>
      <c r="V120" s="92"/>
      <c r="W120" s="92"/>
      <c r="X120" s="92"/>
      <c r="Y120" s="92"/>
      <c r="Z120" s="91"/>
    </row>
    <row r="121" spans="1:26" ht="14.2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4"/>
      <c r="O121" s="93"/>
      <c r="P121" s="93"/>
      <c r="Q121" s="93"/>
      <c r="R121" s="93"/>
      <c r="S121" s="93"/>
      <c r="T121" s="93"/>
      <c r="U121" s="93"/>
      <c r="V121" s="92"/>
      <c r="W121" s="92"/>
      <c r="X121" s="92"/>
      <c r="Y121" s="92"/>
      <c r="Z121" s="91"/>
    </row>
    <row r="122" spans="1:26" ht="14.2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4"/>
      <c r="O122" s="93"/>
      <c r="P122" s="93"/>
      <c r="Q122" s="93"/>
      <c r="R122" s="93"/>
      <c r="S122" s="93"/>
      <c r="T122" s="93"/>
      <c r="U122" s="93"/>
      <c r="V122" s="92"/>
      <c r="W122" s="92"/>
      <c r="X122" s="92"/>
      <c r="Y122" s="92"/>
      <c r="Z122" s="91"/>
    </row>
    <row r="123" spans="1:26" ht="14.2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4"/>
      <c r="O123" s="93"/>
      <c r="P123" s="93"/>
      <c r="Q123" s="93"/>
      <c r="R123" s="93"/>
      <c r="S123" s="93"/>
      <c r="T123" s="93"/>
      <c r="U123" s="93"/>
      <c r="V123" s="92"/>
      <c r="W123" s="92"/>
      <c r="X123" s="92"/>
      <c r="Y123" s="92"/>
      <c r="Z123" s="91"/>
    </row>
    <row r="124" spans="1:26" ht="14.2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4"/>
      <c r="O124" s="93"/>
      <c r="P124" s="93"/>
      <c r="Q124" s="93"/>
      <c r="R124" s="93"/>
      <c r="S124" s="93"/>
      <c r="T124" s="93"/>
      <c r="U124" s="93"/>
      <c r="V124" s="92"/>
      <c r="W124" s="92"/>
      <c r="X124" s="92"/>
      <c r="Y124" s="92"/>
      <c r="Z124" s="91"/>
    </row>
    <row r="125" spans="1:26" ht="14.2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4"/>
      <c r="O125" s="93"/>
      <c r="P125" s="93"/>
      <c r="Q125" s="93"/>
      <c r="R125" s="93"/>
      <c r="S125" s="93"/>
      <c r="T125" s="93"/>
      <c r="U125" s="93"/>
      <c r="V125" s="92"/>
      <c r="W125" s="92"/>
      <c r="X125" s="92"/>
      <c r="Y125" s="92"/>
      <c r="Z125" s="91"/>
    </row>
    <row r="126" spans="1:26" ht="14.2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4"/>
      <c r="O126" s="93"/>
      <c r="P126" s="93"/>
      <c r="Q126" s="93"/>
      <c r="R126" s="93"/>
      <c r="S126" s="93"/>
      <c r="T126" s="93"/>
      <c r="U126" s="93"/>
      <c r="V126" s="92"/>
      <c r="W126" s="92"/>
      <c r="X126" s="92"/>
      <c r="Y126" s="92"/>
      <c r="Z126" s="91"/>
    </row>
    <row r="127" spans="1:26" ht="14.2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4"/>
      <c r="O127" s="93"/>
      <c r="P127" s="93"/>
      <c r="Q127" s="93"/>
      <c r="R127" s="93"/>
      <c r="S127" s="93"/>
      <c r="T127" s="93"/>
      <c r="U127" s="93"/>
      <c r="V127" s="92"/>
      <c r="W127" s="92"/>
      <c r="X127" s="92"/>
      <c r="Y127" s="92"/>
      <c r="Z127" s="91"/>
    </row>
    <row r="128" spans="1:26" ht="14.2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4"/>
      <c r="O128" s="93"/>
      <c r="P128" s="93"/>
      <c r="Q128" s="93"/>
      <c r="R128" s="93"/>
      <c r="S128" s="93"/>
      <c r="T128" s="93"/>
      <c r="U128" s="93"/>
      <c r="V128" s="92"/>
      <c r="W128" s="92"/>
      <c r="X128" s="92"/>
      <c r="Y128" s="92"/>
      <c r="Z128" s="91"/>
    </row>
    <row r="129" spans="1:26" ht="14.2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4"/>
      <c r="O129" s="93"/>
      <c r="P129" s="93"/>
      <c r="Q129" s="93"/>
      <c r="R129" s="93"/>
      <c r="S129" s="93"/>
      <c r="T129" s="93"/>
      <c r="U129" s="93"/>
      <c r="V129" s="92"/>
      <c r="W129" s="92"/>
      <c r="X129" s="92"/>
      <c r="Y129" s="92"/>
      <c r="Z129" s="91"/>
    </row>
    <row r="130" spans="1:26" ht="14.2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4"/>
      <c r="O130" s="93"/>
      <c r="P130" s="93"/>
      <c r="Q130" s="93"/>
      <c r="R130" s="93"/>
      <c r="S130" s="93"/>
      <c r="T130" s="93"/>
      <c r="U130" s="93"/>
      <c r="V130" s="92"/>
      <c r="W130" s="92"/>
      <c r="X130" s="92"/>
      <c r="Y130" s="92"/>
      <c r="Z130" s="91"/>
    </row>
    <row r="131" spans="1:26" ht="14.2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4"/>
      <c r="O131" s="93"/>
      <c r="P131" s="93"/>
      <c r="Q131" s="93"/>
      <c r="R131" s="93"/>
      <c r="S131" s="93"/>
      <c r="T131" s="93"/>
      <c r="U131" s="93"/>
      <c r="V131" s="92"/>
      <c r="W131" s="92"/>
      <c r="X131" s="92"/>
      <c r="Y131" s="92"/>
      <c r="Z131" s="91"/>
    </row>
    <row r="132" spans="1:26" ht="14.2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4"/>
      <c r="O132" s="93"/>
      <c r="P132" s="93"/>
      <c r="Q132" s="93"/>
      <c r="R132" s="93"/>
      <c r="S132" s="93"/>
      <c r="T132" s="93"/>
      <c r="U132" s="93"/>
      <c r="V132" s="92"/>
      <c r="W132" s="92"/>
      <c r="X132" s="92"/>
      <c r="Y132" s="92"/>
      <c r="Z132" s="91"/>
    </row>
    <row r="133" spans="1:26" ht="14.2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4"/>
      <c r="O133" s="93"/>
      <c r="P133" s="93"/>
      <c r="Q133" s="93"/>
      <c r="R133" s="93"/>
      <c r="S133" s="93"/>
      <c r="T133" s="93"/>
      <c r="U133" s="93"/>
      <c r="V133" s="92"/>
      <c r="W133" s="92"/>
      <c r="X133" s="92"/>
      <c r="Y133" s="92"/>
      <c r="Z133" s="91"/>
    </row>
    <row r="134" spans="1:26" ht="14.2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4"/>
      <c r="O134" s="93"/>
      <c r="P134" s="93"/>
      <c r="Q134" s="93"/>
      <c r="R134" s="93"/>
      <c r="S134" s="93"/>
      <c r="T134" s="93"/>
      <c r="U134" s="93"/>
      <c r="V134" s="92"/>
      <c r="W134" s="92"/>
      <c r="X134" s="92"/>
      <c r="Y134" s="92"/>
      <c r="Z134" s="91"/>
    </row>
    <row r="135" spans="1:26" ht="14.2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4"/>
      <c r="O135" s="93"/>
      <c r="P135" s="93"/>
      <c r="Q135" s="93"/>
      <c r="R135" s="93"/>
      <c r="S135" s="93"/>
      <c r="T135" s="93"/>
      <c r="U135" s="93"/>
      <c r="V135" s="92"/>
      <c r="W135" s="92"/>
      <c r="X135" s="92"/>
      <c r="Y135" s="92"/>
      <c r="Z135" s="91"/>
    </row>
    <row r="136" spans="1:26" ht="14.2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4"/>
      <c r="O136" s="93"/>
      <c r="P136" s="93"/>
      <c r="Q136" s="93"/>
      <c r="R136" s="93"/>
      <c r="S136" s="93"/>
      <c r="T136" s="93"/>
      <c r="U136" s="93"/>
      <c r="V136" s="92"/>
      <c r="W136" s="92"/>
      <c r="X136" s="92"/>
      <c r="Y136" s="92"/>
      <c r="Z136" s="91"/>
    </row>
    <row r="137" spans="1:26" ht="14.2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4"/>
      <c r="O137" s="93"/>
      <c r="P137" s="93"/>
      <c r="Q137" s="93"/>
      <c r="R137" s="93"/>
      <c r="S137" s="93"/>
      <c r="T137" s="93"/>
      <c r="U137" s="93"/>
      <c r="V137" s="92"/>
      <c r="W137" s="92"/>
      <c r="X137" s="92"/>
      <c r="Y137" s="92"/>
      <c r="Z137" s="91"/>
    </row>
    <row r="138" spans="1:26" ht="14.2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4"/>
      <c r="O138" s="93"/>
      <c r="P138" s="93"/>
      <c r="Q138" s="93"/>
      <c r="R138" s="93"/>
      <c r="S138" s="93"/>
      <c r="T138" s="93"/>
      <c r="U138" s="93"/>
      <c r="V138" s="92"/>
      <c r="W138" s="92"/>
      <c r="X138" s="92"/>
      <c r="Y138" s="92"/>
      <c r="Z138" s="91"/>
    </row>
    <row r="139" spans="1:26" ht="14.2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4"/>
      <c r="O139" s="93"/>
      <c r="P139" s="93"/>
      <c r="Q139" s="93"/>
      <c r="R139" s="93"/>
      <c r="S139" s="93"/>
      <c r="T139" s="93"/>
      <c r="U139" s="93"/>
      <c r="V139" s="92"/>
      <c r="W139" s="92"/>
      <c r="X139" s="92"/>
      <c r="Y139" s="92"/>
      <c r="Z139" s="91"/>
    </row>
    <row r="140" spans="1:26" ht="14.2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4"/>
      <c r="O140" s="93"/>
      <c r="P140" s="93"/>
      <c r="Q140" s="93"/>
      <c r="R140" s="93"/>
      <c r="S140" s="93"/>
      <c r="T140" s="93"/>
      <c r="U140" s="93"/>
      <c r="V140" s="92"/>
      <c r="W140" s="92"/>
      <c r="X140" s="92"/>
      <c r="Y140" s="92"/>
      <c r="Z140" s="91"/>
    </row>
    <row r="141" spans="1:26" ht="14.2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4"/>
      <c r="O141" s="93"/>
      <c r="P141" s="93"/>
      <c r="Q141" s="93"/>
      <c r="R141" s="93"/>
      <c r="S141" s="93"/>
      <c r="T141" s="93"/>
      <c r="U141" s="93"/>
      <c r="V141" s="92"/>
      <c r="W141" s="92"/>
      <c r="X141" s="92"/>
      <c r="Y141" s="92"/>
      <c r="Z141" s="91"/>
    </row>
    <row r="142" spans="1:26" ht="14.2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4"/>
      <c r="O142" s="93"/>
      <c r="P142" s="93"/>
      <c r="Q142" s="93"/>
      <c r="R142" s="93"/>
      <c r="S142" s="93"/>
      <c r="T142" s="93"/>
      <c r="U142" s="93"/>
      <c r="V142" s="92"/>
      <c r="W142" s="92"/>
      <c r="X142" s="92"/>
      <c r="Y142" s="92"/>
      <c r="Z142" s="91"/>
    </row>
    <row r="143" spans="1:26" ht="14.2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4"/>
      <c r="O143" s="93"/>
      <c r="P143" s="93"/>
      <c r="Q143" s="93"/>
      <c r="R143" s="93"/>
      <c r="S143" s="93"/>
      <c r="T143" s="93"/>
      <c r="U143" s="93"/>
      <c r="V143" s="92"/>
      <c r="W143" s="92"/>
      <c r="X143" s="92"/>
      <c r="Y143" s="92"/>
      <c r="Z143" s="91"/>
    </row>
    <row r="144" spans="1:26" ht="14.2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4"/>
      <c r="O144" s="93"/>
      <c r="P144" s="93"/>
      <c r="Q144" s="93"/>
      <c r="R144" s="93"/>
      <c r="S144" s="93"/>
      <c r="T144" s="93"/>
      <c r="U144" s="93"/>
      <c r="V144" s="92"/>
      <c r="W144" s="92"/>
      <c r="X144" s="92"/>
      <c r="Y144" s="92"/>
      <c r="Z144" s="91"/>
    </row>
    <row r="145" spans="1:26" ht="14.2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4"/>
      <c r="O145" s="93"/>
      <c r="P145" s="93"/>
      <c r="Q145" s="93"/>
      <c r="R145" s="93"/>
      <c r="S145" s="93"/>
      <c r="T145" s="93"/>
      <c r="U145" s="93"/>
      <c r="V145" s="92"/>
      <c r="W145" s="92"/>
      <c r="X145" s="92"/>
      <c r="Y145" s="92"/>
      <c r="Z145" s="91"/>
    </row>
    <row r="146" spans="1:26" ht="14.2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4"/>
      <c r="O146" s="93"/>
      <c r="P146" s="93"/>
      <c r="Q146" s="93"/>
      <c r="R146" s="93"/>
      <c r="S146" s="93"/>
      <c r="T146" s="93"/>
      <c r="U146" s="93"/>
      <c r="V146" s="92"/>
      <c r="W146" s="92"/>
      <c r="X146" s="92"/>
      <c r="Y146" s="92"/>
      <c r="Z146" s="91"/>
    </row>
    <row r="147" spans="1:26" ht="14.2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4"/>
      <c r="O147" s="93"/>
      <c r="P147" s="93"/>
      <c r="Q147" s="93"/>
      <c r="R147" s="93"/>
      <c r="S147" s="93"/>
      <c r="T147" s="93"/>
      <c r="U147" s="93"/>
      <c r="V147" s="92"/>
      <c r="W147" s="92"/>
      <c r="X147" s="92"/>
      <c r="Y147" s="92"/>
      <c r="Z147" s="91"/>
    </row>
    <row r="148" spans="1:26" ht="14.2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4"/>
      <c r="O148" s="93"/>
      <c r="P148" s="93"/>
      <c r="Q148" s="93"/>
      <c r="R148" s="93"/>
      <c r="S148" s="93"/>
      <c r="T148" s="93"/>
      <c r="U148" s="93"/>
      <c r="V148" s="92"/>
      <c r="W148" s="92"/>
      <c r="X148" s="92"/>
      <c r="Y148" s="92"/>
      <c r="Z148" s="91"/>
    </row>
    <row r="149" spans="1:26" ht="14.2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4"/>
      <c r="O149" s="93"/>
      <c r="P149" s="93"/>
      <c r="Q149" s="93"/>
      <c r="R149" s="93"/>
      <c r="S149" s="93"/>
      <c r="T149" s="93"/>
      <c r="U149" s="93"/>
      <c r="V149" s="92"/>
      <c r="W149" s="92"/>
      <c r="X149" s="92"/>
      <c r="Y149" s="92"/>
      <c r="Z149" s="91"/>
    </row>
    <row r="150" spans="1:26" ht="14.2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4"/>
      <c r="O150" s="93"/>
      <c r="P150" s="93"/>
      <c r="Q150" s="93"/>
      <c r="R150" s="93"/>
      <c r="S150" s="93"/>
      <c r="T150" s="93"/>
      <c r="U150" s="93"/>
      <c r="V150" s="92"/>
      <c r="W150" s="92"/>
      <c r="X150" s="92"/>
      <c r="Y150" s="92"/>
      <c r="Z150" s="91"/>
    </row>
    <row r="151" spans="1:26" ht="14.2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4"/>
      <c r="O151" s="93"/>
      <c r="P151" s="93"/>
      <c r="Q151" s="93"/>
      <c r="R151" s="93"/>
      <c r="S151" s="93"/>
      <c r="T151" s="93"/>
      <c r="U151" s="93"/>
      <c r="V151" s="92"/>
      <c r="W151" s="92"/>
      <c r="X151" s="92"/>
      <c r="Y151" s="92"/>
      <c r="Z151" s="91"/>
    </row>
    <row r="152" spans="1:26" ht="14.2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4"/>
      <c r="O152" s="93"/>
      <c r="P152" s="93"/>
      <c r="Q152" s="93"/>
      <c r="R152" s="93"/>
      <c r="S152" s="93"/>
      <c r="T152" s="93"/>
      <c r="U152" s="93"/>
      <c r="V152" s="92"/>
      <c r="W152" s="92"/>
      <c r="X152" s="92"/>
      <c r="Y152" s="92"/>
      <c r="Z152" s="91"/>
    </row>
    <row r="153" spans="1:26" ht="14.2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4"/>
      <c r="O153" s="93"/>
      <c r="P153" s="93"/>
      <c r="Q153" s="93"/>
      <c r="R153" s="93"/>
      <c r="S153" s="93"/>
      <c r="T153" s="93"/>
      <c r="U153" s="93"/>
      <c r="V153" s="92"/>
      <c r="W153" s="92"/>
      <c r="X153" s="92"/>
      <c r="Y153" s="92"/>
      <c r="Z153" s="91"/>
    </row>
    <row r="154" spans="1:26" ht="14.2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4"/>
      <c r="O154" s="93"/>
      <c r="P154" s="93"/>
      <c r="Q154" s="93"/>
      <c r="R154" s="93"/>
      <c r="S154" s="93"/>
      <c r="T154" s="93"/>
      <c r="U154" s="93"/>
      <c r="V154" s="92"/>
      <c r="W154" s="92"/>
      <c r="X154" s="92"/>
      <c r="Y154" s="92"/>
      <c r="Z154" s="91"/>
    </row>
    <row r="155" spans="1:26" ht="14.2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4"/>
      <c r="O155" s="93"/>
      <c r="P155" s="93"/>
      <c r="Q155" s="93"/>
      <c r="R155" s="93"/>
      <c r="S155" s="93"/>
      <c r="T155" s="93"/>
      <c r="U155" s="93"/>
      <c r="V155" s="92"/>
      <c r="W155" s="92"/>
      <c r="X155" s="92"/>
      <c r="Y155" s="92"/>
      <c r="Z155" s="91"/>
    </row>
    <row r="156" spans="1:26" ht="14.2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4"/>
      <c r="O156" s="93"/>
      <c r="P156" s="93"/>
      <c r="Q156" s="93"/>
      <c r="R156" s="93"/>
      <c r="S156" s="93"/>
      <c r="T156" s="93"/>
      <c r="U156" s="93"/>
      <c r="V156" s="92"/>
      <c r="W156" s="92"/>
      <c r="X156" s="92"/>
      <c r="Y156" s="92"/>
      <c r="Z156" s="91"/>
    </row>
    <row r="157" spans="1:26" ht="14.2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4"/>
      <c r="O157" s="93"/>
      <c r="P157" s="93"/>
      <c r="Q157" s="93"/>
      <c r="R157" s="93"/>
      <c r="S157" s="93"/>
      <c r="T157" s="93"/>
      <c r="U157" s="93"/>
      <c r="V157" s="92"/>
      <c r="W157" s="92"/>
      <c r="X157" s="92"/>
      <c r="Y157" s="92"/>
      <c r="Z157" s="91"/>
    </row>
    <row r="158" spans="1:26" ht="14.2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4"/>
      <c r="O158" s="93"/>
      <c r="P158" s="93"/>
      <c r="Q158" s="93"/>
      <c r="R158" s="93"/>
      <c r="S158" s="93"/>
      <c r="T158" s="93"/>
      <c r="U158" s="93"/>
      <c r="V158" s="92"/>
      <c r="W158" s="92"/>
      <c r="X158" s="92"/>
      <c r="Y158" s="92"/>
      <c r="Z158" s="91"/>
    </row>
    <row r="159" spans="1:26" ht="14.2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4"/>
      <c r="O159" s="93"/>
      <c r="P159" s="93"/>
      <c r="Q159" s="93"/>
      <c r="R159" s="93"/>
      <c r="S159" s="93"/>
      <c r="T159" s="93"/>
      <c r="U159" s="93"/>
      <c r="V159" s="92"/>
      <c r="W159" s="92"/>
      <c r="X159" s="92"/>
      <c r="Y159" s="92"/>
      <c r="Z159" s="91"/>
    </row>
    <row r="160" spans="1:26" ht="14.2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4"/>
      <c r="O160" s="93"/>
      <c r="P160" s="93"/>
      <c r="Q160" s="93"/>
      <c r="R160" s="93"/>
      <c r="S160" s="93"/>
      <c r="T160" s="93"/>
      <c r="U160" s="93"/>
      <c r="V160" s="92"/>
      <c r="W160" s="92"/>
      <c r="X160" s="92"/>
      <c r="Y160" s="92"/>
      <c r="Z160" s="91"/>
    </row>
    <row r="161" spans="1:26" ht="14.2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4"/>
      <c r="O161" s="93"/>
      <c r="P161" s="93"/>
      <c r="Q161" s="93"/>
      <c r="R161" s="93"/>
      <c r="S161" s="93"/>
      <c r="T161" s="93"/>
      <c r="U161" s="93"/>
      <c r="V161" s="92"/>
      <c r="W161" s="92"/>
      <c r="X161" s="92"/>
      <c r="Y161" s="92"/>
      <c r="Z161" s="91"/>
    </row>
    <row r="162" spans="1:26" ht="14.2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4"/>
      <c r="O162" s="93"/>
      <c r="P162" s="93"/>
      <c r="Q162" s="93"/>
      <c r="R162" s="93"/>
      <c r="S162" s="93"/>
      <c r="T162" s="93"/>
      <c r="U162" s="93"/>
      <c r="V162" s="92"/>
      <c r="W162" s="92"/>
      <c r="X162" s="92"/>
      <c r="Y162" s="92"/>
      <c r="Z162" s="91"/>
    </row>
    <row r="163" spans="1:26" ht="14.2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4"/>
      <c r="O163" s="93"/>
      <c r="P163" s="93"/>
      <c r="Q163" s="93"/>
      <c r="R163" s="93"/>
      <c r="S163" s="93"/>
      <c r="T163" s="93"/>
      <c r="U163" s="93"/>
      <c r="V163" s="92"/>
      <c r="W163" s="92"/>
      <c r="X163" s="92"/>
      <c r="Y163" s="92"/>
      <c r="Z163" s="91"/>
    </row>
    <row r="164" spans="1:26" ht="14.2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4"/>
      <c r="O164" s="93"/>
      <c r="P164" s="93"/>
      <c r="Q164" s="93"/>
      <c r="R164" s="93"/>
      <c r="S164" s="93"/>
      <c r="T164" s="93"/>
      <c r="U164" s="93"/>
      <c r="V164" s="92"/>
      <c r="W164" s="92"/>
      <c r="X164" s="92"/>
      <c r="Y164" s="92"/>
      <c r="Z164" s="91"/>
    </row>
    <row r="165" spans="1:26" ht="14.2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4"/>
      <c r="O165" s="93"/>
      <c r="P165" s="93"/>
      <c r="Q165" s="93"/>
      <c r="R165" s="93"/>
      <c r="S165" s="93"/>
      <c r="T165" s="93"/>
      <c r="U165" s="93"/>
      <c r="V165" s="92"/>
      <c r="W165" s="92"/>
      <c r="X165" s="92"/>
      <c r="Y165" s="92"/>
      <c r="Z165" s="91"/>
    </row>
    <row r="166" spans="1:26" ht="14.2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4"/>
      <c r="O166" s="93"/>
      <c r="P166" s="93"/>
      <c r="Q166" s="93"/>
      <c r="R166" s="93"/>
      <c r="S166" s="93"/>
      <c r="T166" s="93"/>
      <c r="U166" s="93"/>
      <c r="V166" s="92"/>
      <c r="W166" s="92"/>
      <c r="X166" s="92"/>
      <c r="Y166" s="92"/>
      <c r="Z166" s="91"/>
    </row>
    <row r="167" spans="1:26" ht="14.2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4"/>
      <c r="O167" s="93"/>
      <c r="P167" s="93"/>
      <c r="Q167" s="93"/>
      <c r="R167" s="93"/>
      <c r="S167" s="93"/>
      <c r="T167" s="93"/>
      <c r="U167" s="93"/>
      <c r="V167" s="92"/>
      <c r="W167" s="92"/>
      <c r="X167" s="92"/>
      <c r="Y167" s="92"/>
      <c r="Z167" s="91"/>
    </row>
    <row r="168" spans="1:26" ht="14.2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4"/>
      <c r="O168" s="93"/>
      <c r="P168" s="93"/>
      <c r="Q168" s="93"/>
      <c r="R168" s="93"/>
      <c r="S168" s="93"/>
      <c r="T168" s="93"/>
      <c r="U168" s="93"/>
      <c r="V168" s="92"/>
      <c r="W168" s="92"/>
      <c r="X168" s="92"/>
      <c r="Y168" s="92"/>
      <c r="Z168" s="91"/>
    </row>
    <row r="169" spans="1:26" ht="14.2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4"/>
      <c r="O169" s="93"/>
      <c r="P169" s="93"/>
      <c r="Q169" s="93"/>
      <c r="R169" s="93"/>
      <c r="S169" s="93"/>
      <c r="T169" s="93"/>
      <c r="U169" s="93"/>
      <c r="V169" s="92"/>
      <c r="W169" s="92"/>
      <c r="X169" s="92"/>
      <c r="Y169" s="92"/>
      <c r="Z169" s="91"/>
    </row>
    <row r="170" spans="1:26" ht="14.2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4"/>
      <c r="O170" s="93"/>
      <c r="P170" s="93"/>
      <c r="Q170" s="93"/>
      <c r="R170" s="93"/>
      <c r="S170" s="93"/>
      <c r="T170" s="93"/>
      <c r="U170" s="93"/>
      <c r="V170" s="92"/>
      <c r="W170" s="92"/>
      <c r="X170" s="92"/>
      <c r="Y170" s="92"/>
      <c r="Z170" s="91"/>
    </row>
    <row r="171" spans="1:26" ht="14.2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4"/>
      <c r="O171" s="93"/>
      <c r="P171" s="93"/>
      <c r="Q171" s="93"/>
      <c r="R171" s="93"/>
      <c r="S171" s="93"/>
      <c r="T171" s="93"/>
      <c r="U171" s="93"/>
      <c r="V171" s="92"/>
      <c r="W171" s="92"/>
      <c r="X171" s="92"/>
      <c r="Y171" s="92"/>
      <c r="Z171" s="91"/>
    </row>
    <row r="172" spans="1:26" ht="14.2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4"/>
      <c r="O172" s="93"/>
      <c r="P172" s="93"/>
      <c r="Q172" s="93"/>
      <c r="R172" s="93"/>
      <c r="S172" s="93"/>
      <c r="T172" s="93"/>
      <c r="U172" s="93"/>
      <c r="V172" s="92"/>
      <c r="W172" s="92"/>
      <c r="X172" s="92"/>
      <c r="Y172" s="92"/>
      <c r="Z172" s="91"/>
    </row>
    <row r="173" spans="1:26" ht="14.2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4"/>
      <c r="O173" s="93"/>
      <c r="P173" s="93"/>
      <c r="Q173" s="93"/>
      <c r="R173" s="93"/>
      <c r="S173" s="93"/>
      <c r="T173" s="93"/>
      <c r="U173" s="93"/>
      <c r="V173" s="92"/>
      <c r="W173" s="92"/>
      <c r="X173" s="92"/>
      <c r="Y173" s="92"/>
      <c r="Z173" s="91"/>
    </row>
    <row r="174" spans="1:26" ht="14.2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4"/>
      <c r="O174" s="93"/>
      <c r="P174" s="93"/>
      <c r="Q174" s="93"/>
      <c r="R174" s="93"/>
      <c r="S174" s="93"/>
      <c r="T174" s="93"/>
      <c r="U174" s="93"/>
      <c r="V174" s="92"/>
      <c r="W174" s="92"/>
      <c r="X174" s="92"/>
      <c r="Y174" s="92"/>
      <c r="Z174" s="91"/>
    </row>
    <row r="175" spans="1:26" ht="14.2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4"/>
      <c r="O175" s="93"/>
      <c r="P175" s="93"/>
      <c r="Q175" s="93"/>
      <c r="R175" s="93"/>
      <c r="S175" s="93"/>
      <c r="T175" s="93"/>
      <c r="U175" s="93"/>
      <c r="V175" s="92"/>
      <c r="W175" s="92"/>
      <c r="X175" s="92"/>
      <c r="Y175" s="92"/>
      <c r="Z175" s="91"/>
    </row>
    <row r="176" spans="1:26" ht="14.2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4"/>
      <c r="O176" s="93"/>
      <c r="P176" s="93"/>
      <c r="Q176" s="93"/>
      <c r="R176" s="93"/>
      <c r="S176" s="93"/>
      <c r="T176" s="93"/>
      <c r="U176" s="93"/>
      <c r="V176" s="92"/>
      <c r="W176" s="92"/>
      <c r="X176" s="92"/>
      <c r="Y176" s="92"/>
      <c r="Z176" s="91"/>
    </row>
    <row r="177" spans="1:26" ht="14.2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4"/>
      <c r="O177" s="93"/>
      <c r="P177" s="93"/>
      <c r="Q177" s="93"/>
      <c r="R177" s="93"/>
      <c r="S177" s="93"/>
      <c r="T177" s="93"/>
      <c r="U177" s="93"/>
      <c r="V177" s="92"/>
      <c r="W177" s="92"/>
      <c r="X177" s="92"/>
      <c r="Y177" s="92"/>
      <c r="Z177" s="91"/>
    </row>
    <row r="178" spans="1:26" ht="14.2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4"/>
      <c r="O178" s="93"/>
      <c r="P178" s="93"/>
      <c r="Q178" s="93"/>
      <c r="R178" s="93"/>
      <c r="S178" s="93"/>
      <c r="T178" s="93"/>
      <c r="U178" s="93"/>
      <c r="V178" s="92"/>
      <c r="W178" s="92"/>
      <c r="X178" s="92"/>
      <c r="Y178" s="92"/>
      <c r="Z178" s="91"/>
    </row>
    <row r="179" spans="1:26" ht="14.2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4"/>
      <c r="O179" s="93"/>
      <c r="P179" s="93"/>
      <c r="Q179" s="93"/>
      <c r="R179" s="93"/>
      <c r="S179" s="93"/>
      <c r="T179" s="93"/>
      <c r="U179" s="93"/>
      <c r="V179" s="92"/>
      <c r="W179" s="92"/>
      <c r="X179" s="92"/>
      <c r="Y179" s="92"/>
      <c r="Z179" s="91"/>
    </row>
    <row r="180" spans="1:26" ht="14.2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4"/>
      <c r="O180" s="93"/>
      <c r="P180" s="93"/>
      <c r="Q180" s="93"/>
      <c r="R180" s="93"/>
      <c r="S180" s="93"/>
      <c r="T180" s="93"/>
      <c r="U180" s="93"/>
      <c r="V180" s="92"/>
      <c r="W180" s="92"/>
      <c r="X180" s="92"/>
      <c r="Y180" s="92"/>
      <c r="Z180" s="91"/>
    </row>
    <row r="181" spans="1:26" ht="14.2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4"/>
      <c r="O181" s="93"/>
      <c r="P181" s="93"/>
      <c r="Q181" s="93"/>
      <c r="R181" s="93"/>
      <c r="S181" s="93"/>
      <c r="T181" s="93"/>
      <c r="U181" s="93"/>
      <c r="V181" s="92"/>
      <c r="W181" s="92"/>
      <c r="X181" s="92"/>
      <c r="Y181" s="92"/>
      <c r="Z181" s="91"/>
    </row>
    <row r="182" spans="1:26" ht="14.2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4"/>
      <c r="O182" s="93"/>
      <c r="P182" s="93"/>
      <c r="Q182" s="93"/>
      <c r="R182" s="93"/>
      <c r="S182" s="93"/>
      <c r="T182" s="93"/>
      <c r="U182" s="93"/>
      <c r="V182" s="92"/>
      <c r="W182" s="92"/>
      <c r="X182" s="92"/>
      <c r="Y182" s="92"/>
      <c r="Z182" s="91"/>
    </row>
    <row r="183" spans="1:26" ht="14.2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4"/>
      <c r="O183" s="93"/>
      <c r="P183" s="93"/>
      <c r="Q183" s="93"/>
      <c r="R183" s="93"/>
      <c r="S183" s="93"/>
      <c r="T183" s="93"/>
      <c r="U183" s="93"/>
      <c r="V183" s="92"/>
      <c r="W183" s="92"/>
      <c r="X183" s="92"/>
      <c r="Y183" s="92"/>
      <c r="Z183" s="91"/>
    </row>
    <row r="184" spans="1:26" ht="14.2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4"/>
      <c r="O184" s="93"/>
      <c r="P184" s="93"/>
      <c r="Q184" s="93"/>
      <c r="R184" s="93"/>
      <c r="S184" s="93"/>
      <c r="T184" s="93"/>
      <c r="U184" s="93"/>
      <c r="V184" s="92"/>
      <c r="W184" s="92"/>
      <c r="X184" s="92"/>
      <c r="Y184" s="92"/>
      <c r="Z184" s="91"/>
    </row>
    <row r="185" spans="1:26" ht="14.2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4"/>
      <c r="O185" s="93"/>
      <c r="P185" s="93"/>
      <c r="Q185" s="93"/>
      <c r="R185" s="93"/>
      <c r="S185" s="93"/>
      <c r="T185" s="93"/>
      <c r="U185" s="93"/>
      <c r="V185" s="92"/>
      <c r="W185" s="92"/>
      <c r="X185" s="92"/>
      <c r="Y185" s="92"/>
      <c r="Z185" s="91"/>
    </row>
    <row r="186" spans="1:26" ht="14.2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4"/>
      <c r="O186" s="93"/>
      <c r="P186" s="93"/>
      <c r="Q186" s="93"/>
      <c r="R186" s="93"/>
      <c r="S186" s="93"/>
      <c r="T186" s="93"/>
      <c r="U186" s="93"/>
      <c r="V186" s="92"/>
      <c r="W186" s="92"/>
      <c r="X186" s="92"/>
      <c r="Y186" s="92"/>
      <c r="Z186" s="91"/>
    </row>
    <row r="187" spans="1:26" ht="14.2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4"/>
      <c r="O187" s="93"/>
      <c r="P187" s="93"/>
      <c r="Q187" s="93"/>
      <c r="R187" s="93"/>
      <c r="S187" s="93"/>
      <c r="T187" s="93"/>
      <c r="U187" s="93"/>
      <c r="V187" s="92"/>
      <c r="W187" s="92"/>
      <c r="X187" s="92"/>
      <c r="Y187" s="92"/>
      <c r="Z187" s="91"/>
    </row>
    <row r="188" spans="1:26" ht="14.2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4"/>
      <c r="O188" s="93"/>
      <c r="P188" s="93"/>
      <c r="Q188" s="93"/>
      <c r="R188" s="93"/>
      <c r="S188" s="93"/>
      <c r="T188" s="93"/>
      <c r="U188" s="93"/>
      <c r="V188" s="92"/>
      <c r="W188" s="92"/>
      <c r="X188" s="92"/>
      <c r="Y188" s="92"/>
      <c r="Z188" s="91"/>
    </row>
    <row r="189" spans="1:26" ht="14.2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4"/>
      <c r="O189" s="93"/>
      <c r="P189" s="93"/>
      <c r="Q189" s="93"/>
      <c r="R189" s="93"/>
      <c r="S189" s="93"/>
      <c r="T189" s="93"/>
      <c r="U189" s="93"/>
      <c r="V189" s="92"/>
      <c r="W189" s="92"/>
      <c r="X189" s="92"/>
      <c r="Y189" s="92"/>
      <c r="Z189" s="91"/>
    </row>
    <row r="190" spans="1:26" ht="14.2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4"/>
      <c r="O190" s="93"/>
      <c r="P190" s="93"/>
      <c r="Q190" s="93"/>
      <c r="R190" s="93"/>
      <c r="S190" s="93"/>
      <c r="T190" s="93"/>
      <c r="U190" s="93"/>
      <c r="V190" s="92"/>
      <c r="W190" s="92"/>
      <c r="X190" s="92"/>
      <c r="Y190" s="92"/>
      <c r="Z190" s="91"/>
    </row>
    <row r="191" spans="1:26" ht="14.2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4"/>
      <c r="O191" s="93"/>
      <c r="P191" s="93"/>
      <c r="Q191" s="93"/>
      <c r="R191" s="93"/>
      <c r="S191" s="93"/>
      <c r="T191" s="93"/>
      <c r="U191" s="93"/>
      <c r="V191" s="92"/>
      <c r="W191" s="92"/>
      <c r="X191" s="92"/>
      <c r="Y191" s="92"/>
      <c r="Z191" s="91"/>
    </row>
    <row r="192" spans="1:26" ht="14.2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4"/>
      <c r="O192" s="93"/>
      <c r="P192" s="93"/>
      <c r="Q192" s="93"/>
      <c r="R192" s="93"/>
      <c r="S192" s="93"/>
      <c r="T192" s="93"/>
      <c r="U192" s="93"/>
      <c r="V192" s="92"/>
      <c r="W192" s="92"/>
      <c r="X192" s="92"/>
      <c r="Y192" s="92"/>
      <c r="Z192" s="91"/>
    </row>
    <row r="193" spans="1:26" ht="14.2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4"/>
      <c r="O193" s="93"/>
      <c r="P193" s="93"/>
      <c r="Q193" s="93"/>
      <c r="R193" s="93"/>
      <c r="S193" s="93"/>
      <c r="T193" s="93"/>
      <c r="U193" s="93"/>
      <c r="V193" s="92"/>
      <c r="W193" s="92"/>
      <c r="X193" s="92"/>
      <c r="Y193" s="92"/>
      <c r="Z193" s="91"/>
    </row>
    <row r="194" spans="1:26" ht="14.2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4"/>
      <c r="O194" s="93"/>
      <c r="P194" s="93"/>
      <c r="Q194" s="93"/>
      <c r="R194" s="93"/>
      <c r="S194" s="93"/>
      <c r="T194" s="93"/>
      <c r="U194" s="93"/>
      <c r="V194" s="92"/>
      <c r="W194" s="92"/>
      <c r="X194" s="92"/>
      <c r="Y194" s="92"/>
      <c r="Z194" s="91"/>
    </row>
    <row r="195" spans="1:26" ht="14.2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4"/>
      <c r="O195" s="93"/>
      <c r="P195" s="93"/>
      <c r="Q195" s="93"/>
      <c r="R195" s="93"/>
      <c r="S195" s="93"/>
      <c r="T195" s="93"/>
      <c r="U195" s="93"/>
      <c r="V195" s="92"/>
      <c r="W195" s="92"/>
      <c r="X195" s="92"/>
      <c r="Y195" s="92"/>
      <c r="Z195" s="91"/>
    </row>
    <row r="196" spans="1:26" ht="14.2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4"/>
      <c r="O196" s="93"/>
      <c r="P196" s="93"/>
      <c r="Q196" s="93"/>
      <c r="R196" s="93"/>
      <c r="S196" s="93"/>
      <c r="T196" s="93"/>
      <c r="U196" s="93"/>
      <c r="V196" s="92"/>
      <c r="W196" s="92"/>
      <c r="X196" s="92"/>
      <c r="Y196" s="92"/>
      <c r="Z196" s="91"/>
    </row>
    <row r="197" spans="1:26" ht="14.2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4"/>
      <c r="O197" s="93"/>
      <c r="P197" s="93"/>
      <c r="Q197" s="93"/>
      <c r="R197" s="93"/>
      <c r="S197" s="93"/>
      <c r="T197" s="93"/>
      <c r="U197" s="93"/>
      <c r="V197" s="92"/>
      <c r="W197" s="92"/>
      <c r="X197" s="92"/>
      <c r="Y197" s="92"/>
      <c r="Z197" s="91"/>
    </row>
    <row r="198" spans="1:26" ht="14.2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4"/>
      <c r="O198" s="93"/>
      <c r="P198" s="93"/>
      <c r="Q198" s="93"/>
      <c r="R198" s="93"/>
      <c r="S198" s="93"/>
      <c r="T198" s="93"/>
      <c r="U198" s="93"/>
      <c r="V198" s="92"/>
      <c r="W198" s="92"/>
      <c r="X198" s="92"/>
      <c r="Y198" s="92"/>
      <c r="Z198" s="91"/>
    </row>
    <row r="199" spans="1:26" ht="14.2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4"/>
      <c r="O199" s="93"/>
      <c r="P199" s="93"/>
      <c r="Q199" s="93"/>
      <c r="R199" s="93"/>
      <c r="S199" s="93"/>
      <c r="T199" s="93"/>
      <c r="U199" s="93"/>
      <c r="V199" s="92"/>
      <c r="W199" s="92"/>
      <c r="X199" s="92"/>
      <c r="Y199" s="92"/>
      <c r="Z199" s="91"/>
    </row>
    <row r="200" spans="1:26" ht="14.2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4"/>
      <c r="O200" s="93"/>
      <c r="P200" s="93"/>
      <c r="Q200" s="93"/>
      <c r="R200" s="93"/>
      <c r="S200" s="93"/>
      <c r="T200" s="93"/>
      <c r="U200" s="93"/>
      <c r="V200" s="92"/>
      <c r="W200" s="92"/>
      <c r="X200" s="92"/>
      <c r="Y200" s="92"/>
      <c r="Z200" s="91"/>
    </row>
    <row r="201" spans="1:26" ht="14.2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4"/>
      <c r="O201" s="93"/>
      <c r="P201" s="93"/>
      <c r="Q201" s="93"/>
      <c r="R201" s="93"/>
      <c r="S201" s="93"/>
      <c r="T201" s="93"/>
      <c r="U201" s="93"/>
      <c r="V201" s="92"/>
      <c r="W201" s="92"/>
      <c r="X201" s="92"/>
      <c r="Y201" s="92"/>
      <c r="Z201" s="91"/>
    </row>
    <row r="202" spans="1:26" ht="14.2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4"/>
      <c r="O202" s="93"/>
      <c r="P202" s="93"/>
      <c r="Q202" s="93"/>
      <c r="R202" s="93"/>
      <c r="S202" s="93"/>
      <c r="T202" s="93"/>
      <c r="U202" s="93"/>
      <c r="V202" s="92"/>
      <c r="W202" s="92"/>
      <c r="X202" s="92"/>
      <c r="Y202" s="92"/>
      <c r="Z202" s="91"/>
    </row>
    <row r="203" spans="1:26" ht="14.2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4"/>
      <c r="O203" s="93"/>
      <c r="P203" s="93"/>
      <c r="Q203" s="93"/>
      <c r="R203" s="93"/>
      <c r="S203" s="93"/>
      <c r="T203" s="93"/>
      <c r="U203" s="93"/>
      <c r="V203" s="92"/>
      <c r="W203" s="92"/>
      <c r="X203" s="92"/>
      <c r="Y203" s="92"/>
      <c r="Z203" s="91"/>
    </row>
    <row r="204" spans="1:26" ht="14.2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4"/>
      <c r="O204" s="93"/>
      <c r="P204" s="93"/>
      <c r="Q204" s="93"/>
      <c r="R204" s="93"/>
      <c r="S204" s="93"/>
      <c r="T204" s="93"/>
      <c r="U204" s="93"/>
      <c r="V204" s="92"/>
      <c r="W204" s="92"/>
      <c r="X204" s="92"/>
      <c r="Y204" s="92"/>
      <c r="Z204" s="91"/>
    </row>
    <row r="205" spans="1:26" ht="14.2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4"/>
      <c r="O205" s="93"/>
      <c r="P205" s="93"/>
      <c r="Q205" s="93"/>
      <c r="R205" s="93"/>
      <c r="S205" s="93"/>
      <c r="T205" s="93"/>
      <c r="U205" s="93"/>
      <c r="V205" s="92"/>
      <c r="W205" s="92"/>
      <c r="X205" s="92"/>
      <c r="Y205" s="92"/>
      <c r="Z205" s="91"/>
    </row>
    <row r="206" spans="1:26" ht="14.2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4"/>
      <c r="O206" s="93"/>
      <c r="P206" s="93"/>
      <c r="Q206" s="93"/>
      <c r="R206" s="93"/>
      <c r="S206" s="93"/>
      <c r="T206" s="93"/>
      <c r="U206" s="93"/>
      <c r="V206" s="92"/>
      <c r="W206" s="92"/>
      <c r="X206" s="92"/>
      <c r="Y206" s="92"/>
      <c r="Z206" s="91"/>
    </row>
    <row r="207" spans="1:26" ht="14.2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4"/>
      <c r="O207" s="93"/>
      <c r="P207" s="93"/>
      <c r="Q207" s="93"/>
      <c r="R207" s="93"/>
      <c r="S207" s="93"/>
      <c r="T207" s="93"/>
      <c r="U207" s="93"/>
      <c r="V207" s="92"/>
      <c r="W207" s="92"/>
      <c r="X207" s="92"/>
      <c r="Y207" s="92"/>
      <c r="Z207" s="91"/>
    </row>
    <row r="208" spans="1:26" ht="14.2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4"/>
      <c r="O208" s="93"/>
      <c r="P208" s="93"/>
      <c r="Q208" s="93"/>
      <c r="R208" s="93"/>
      <c r="S208" s="93"/>
      <c r="T208" s="93"/>
      <c r="U208" s="93"/>
      <c r="V208" s="92"/>
      <c r="W208" s="92"/>
      <c r="X208" s="92"/>
      <c r="Y208" s="92"/>
      <c r="Z208" s="91"/>
    </row>
    <row r="209" spans="1:26" ht="14.2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4"/>
      <c r="O209" s="93"/>
      <c r="P209" s="93"/>
      <c r="Q209" s="93"/>
      <c r="R209" s="93"/>
      <c r="S209" s="93"/>
      <c r="T209" s="93"/>
      <c r="U209" s="93"/>
      <c r="V209" s="92"/>
      <c r="W209" s="92"/>
      <c r="X209" s="92"/>
      <c r="Y209" s="92"/>
      <c r="Z209" s="91"/>
    </row>
    <row r="210" spans="1:26" ht="14.2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4"/>
      <c r="O210" s="93"/>
      <c r="P210" s="93"/>
      <c r="Q210" s="93"/>
      <c r="R210" s="93"/>
      <c r="S210" s="93"/>
      <c r="T210" s="93"/>
      <c r="U210" s="93"/>
      <c r="V210" s="92"/>
      <c r="W210" s="92"/>
      <c r="X210" s="92"/>
      <c r="Y210" s="92"/>
      <c r="Z210" s="91"/>
    </row>
    <row r="211" spans="1:26" ht="14.2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4"/>
      <c r="O211" s="93"/>
      <c r="P211" s="93"/>
      <c r="Q211" s="93"/>
      <c r="R211" s="93"/>
      <c r="S211" s="93"/>
      <c r="T211" s="93"/>
      <c r="U211" s="93"/>
      <c r="V211" s="92"/>
      <c r="W211" s="92"/>
      <c r="X211" s="92"/>
      <c r="Y211" s="92"/>
      <c r="Z211" s="91"/>
    </row>
    <row r="212" spans="1:26" ht="14.2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4"/>
      <c r="O212" s="93"/>
      <c r="P212" s="93"/>
      <c r="Q212" s="93"/>
      <c r="R212" s="93"/>
      <c r="S212" s="93"/>
      <c r="T212" s="93"/>
      <c r="U212" s="93"/>
      <c r="V212" s="92"/>
      <c r="W212" s="92"/>
      <c r="X212" s="92"/>
      <c r="Y212" s="92"/>
      <c r="Z212" s="91"/>
    </row>
    <row r="213" spans="1:26" ht="14.2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4"/>
      <c r="O213" s="93"/>
      <c r="P213" s="93"/>
      <c r="Q213" s="93"/>
      <c r="R213" s="93"/>
      <c r="S213" s="93"/>
      <c r="T213" s="93"/>
      <c r="U213" s="93"/>
      <c r="V213" s="92"/>
      <c r="W213" s="92"/>
      <c r="X213" s="92"/>
      <c r="Y213" s="92"/>
      <c r="Z213" s="91"/>
    </row>
    <row r="214" spans="1:26" ht="14.2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4"/>
      <c r="O214" s="93"/>
      <c r="P214" s="93"/>
      <c r="Q214" s="93"/>
      <c r="R214" s="93"/>
      <c r="S214" s="93"/>
      <c r="T214" s="93"/>
      <c r="U214" s="93"/>
      <c r="V214" s="92"/>
      <c r="W214" s="92"/>
      <c r="X214" s="92"/>
      <c r="Y214" s="92"/>
      <c r="Z214" s="91"/>
    </row>
    <row r="215" spans="1:26" ht="14.2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4"/>
      <c r="O215" s="93"/>
      <c r="P215" s="93"/>
      <c r="Q215" s="93"/>
      <c r="R215" s="93"/>
      <c r="S215" s="93"/>
      <c r="T215" s="93"/>
      <c r="U215" s="93"/>
      <c r="V215" s="92"/>
      <c r="W215" s="92"/>
      <c r="X215" s="92"/>
      <c r="Y215" s="92"/>
      <c r="Z215" s="91"/>
    </row>
    <row r="216" spans="1:26" ht="14.2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4"/>
      <c r="O216" s="93"/>
      <c r="P216" s="93"/>
      <c r="Q216" s="93"/>
      <c r="R216" s="93"/>
      <c r="S216" s="93"/>
      <c r="T216" s="93"/>
      <c r="U216" s="93"/>
      <c r="V216" s="92"/>
      <c r="W216" s="92"/>
      <c r="X216" s="92"/>
      <c r="Y216" s="92"/>
      <c r="Z216" s="91"/>
    </row>
    <row r="217" spans="1:26" ht="14.2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4"/>
      <c r="O217" s="93"/>
      <c r="P217" s="93"/>
      <c r="Q217" s="93"/>
      <c r="R217" s="93"/>
      <c r="S217" s="93"/>
      <c r="T217" s="93"/>
      <c r="U217" s="93"/>
      <c r="V217" s="92"/>
      <c r="W217" s="92"/>
      <c r="X217" s="92"/>
      <c r="Y217" s="92"/>
      <c r="Z217" s="91"/>
    </row>
    <row r="218" spans="1:26" ht="14.2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4"/>
      <c r="O218" s="93"/>
      <c r="P218" s="93"/>
      <c r="Q218" s="93"/>
      <c r="R218" s="93"/>
      <c r="S218" s="93"/>
      <c r="T218" s="93"/>
      <c r="U218" s="93"/>
      <c r="V218" s="92"/>
      <c r="W218" s="92"/>
      <c r="X218" s="92"/>
      <c r="Y218" s="92"/>
      <c r="Z218" s="91"/>
    </row>
    <row r="219" spans="1:26" ht="14.2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4"/>
      <c r="O219" s="93"/>
      <c r="P219" s="93"/>
      <c r="Q219" s="93"/>
      <c r="R219" s="93"/>
      <c r="S219" s="93"/>
      <c r="T219" s="93"/>
      <c r="U219" s="93"/>
      <c r="V219" s="92"/>
      <c r="W219" s="92"/>
      <c r="X219" s="92"/>
      <c r="Y219" s="92"/>
      <c r="Z219" s="91"/>
    </row>
    <row r="220" spans="1:26" ht="14.2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4"/>
      <c r="O220" s="93"/>
      <c r="P220" s="93"/>
      <c r="Q220" s="93"/>
      <c r="R220" s="93"/>
      <c r="S220" s="93"/>
      <c r="T220" s="93"/>
      <c r="U220" s="93"/>
      <c r="V220" s="92"/>
      <c r="W220" s="92"/>
      <c r="X220" s="92"/>
      <c r="Y220" s="92"/>
      <c r="Z220" s="91"/>
    </row>
    <row r="221" spans="1:26" ht="14.2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4"/>
      <c r="O221" s="93"/>
      <c r="P221" s="93"/>
      <c r="Q221" s="93"/>
      <c r="R221" s="93"/>
      <c r="S221" s="93"/>
      <c r="T221" s="93"/>
      <c r="U221" s="93"/>
      <c r="V221" s="92"/>
      <c r="W221" s="92"/>
      <c r="X221" s="92"/>
      <c r="Y221" s="92"/>
      <c r="Z221" s="91"/>
    </row>
    <row r="222" spans="1:26" ht="14.2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4"/>
      <c r="O222" s="93"/>
      <c r="P222" s="93"/>
      <c r="Q222" s="93"/>
      <c r="R222" s="93"/>
      <c r="S222" s="93"/>
      <c r="T222" s="93"/>
      <c r="U222" s="93"/>
      <c r="V222" s="92"/>
      <c r="W222" s="92"/>
      <c r="X222" s="92"/>
      <c r="Y222" s="92"/>
      <c r="Z222" s="91"/>
    </row>
    <row r="223" spans="1:26" ht="14.2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4"/>
      <c r="O223" s="93"/>
      <c r="P223" s="93"/>
      <c r="Q223" s="93"/>
      <c r="R223" s="93"/>
      <c r="S223" s="93"/>
      <c r="T223" s="93"/>
      <c r="U223" s="93"/>
      <c r="V223" s="92"/>
      <c r="W223" s="92"/>
      <c r="X223" s="92"/>
      <c r="Y223" s="92"/>
      <c r="Z223" s="91"/>
    </row>
    <row r="224" spans="1:26" ht="14.2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4"/>
      <c r="O224" s="93"/>
      <c r="P224" s="93"/>
      <c r="Q224" s="93"/>
      <c r="R224" s="93"/>
      <c r="S224" s="93"/>
      <c r="T224" s="93"/>
      <c r="U224" s="93"/>
      <c r="V224" s="92"/>
      <c r="W224" s="92"/>
      <c r="X224" s="92"/>
      <c r="Y224" s="92"/>
      <c r="Z224" s="91"/>
    </row>
    <row r="225" spans="1:26" ht="14.2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4"/>
      <c r="O225" s="93"/>
      <c r="P225" s="93"/>
      <c r="Q225" s="93"/>
      <c r="R225" s="93"/>
      <c r="S225" s="93"/>
      <c r="T225" s="93"/>
      <c r="U225" s="93"/>
      <c r="V225" s="92"/>
      <c r="W225" s="92"/>
      <c r="X225" s="92"/>
      <c r="Y225" s="92"/>
      <c r="Z225" s="91"/>
    </row>
    <row r="226" spans="1:26" ht="14.2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4"/>
      <c r="O226" s="93"/>
      <c r="P226" s="93"/>
      <c r="Q226" s="93"/>
      <c r="R226" s="93"/>
      <c r="S226" s="93"/>
      <c r="T226" s="93"/>
      <c r="U226" s="93"/>
      <c r="V226" s="92"/>
      <c r="W226" s="92"/>
      <c r="X226" s="92"/>
      <c r="Y226" s="92"/>
      <c r="Z226" s="91"/>
    </row>
    <row r="227" spans="1:26" ht="14.2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4"/>
      <c r="O227" s="93"/>
      <c r="P227" s="93"/>
      <c r="Q227" s="93"/>
      <c r="R227" s="93"/>
      <c r="S227" s="93"/>
      <c r="T227" s="93"/>
      <c r="U227" s="93"/>
      <c r="V227" s="92"/>
      <c r="W227" s="92"/>
      <c r="X227" s="92"/>
      <c r="Y227" s="92"/>
      <c r="Z227" s="91"/>
    </row>
    <row r="228" spans="1:26" ht="14.2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4"/>
      <c r="O228" s="93"/>
      <c r="P228" s="93"/>
      <c r="Q228" s="93"/>
      <c r="R228" s="93"/>
      <c r="S228" s="93"/>
      <c r="T228" s="93"/>
      <c r="U228" s="93"/>
      <c r="V228" s="92"/>
      <c r="W228" s="92"/>
      <c r="X228" s="92"/>
      <c r="Y228" s="92"/>
      <c r="Z228" s="91"/>
    </row>
    <row r="229" spans="1:26" ht="14.2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4"/>
      <c r="O229" s="93"/>
      <c r="P229" s="93"/>
      <c r="Q229" s="93"/>
      <c r="R229" s="93"/>
      <c r="S229" s="93"/>
      <c r="T229" s="93"/>
      <c r="U229" s="93"/>
      <c r="V229" s="92"/>
      <c r="W229" s="92"/>
      <c r="X229" s="92"/>
      <c r="Y229" s="92"/>
      <c r="Z229" s="91"/>
    </row>
    <row r="230" spans="1:26" ht="14.2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4"/>
      <c r="O230" s="93"/>
      <c r="P230" s="93"/>
      <c r="Q230" s="93"/>
      <c r="R230" s="93"/>
      <c r="S230" s="93"/>
      <c r="T230" s="93"/>
      <c r="U230" s="93"/>
      <c r="V230" s="92"/>
      <c r="W230" s="92"/>
      <c r="X230" s="92"/>
      <c r="Y230" s="92"/>
      <c r="Z230" s="91"/>
    </row>
    <row r="231" spans="1:26" ht="14.2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4"/>
      <c r="O231" s="93"/>
      <c r="P231" s="93"/>
      <c r="Q231" s="93"/>
      <c r="R231" s="93"/>
      <c r="S231" s="93"/>
      <c r="T231" s="93"/>
      <c r="U231" s="93"/>
      <c r="V231" s="92"/>
      <c r="W231" s="92"/>
      <c r="X231" s="92"/>
      <c r="Y231" s="92"/>
      <c r="Z231" s="91"/>
    </row>
    <row r="232" spans="1:26" ht="14.2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4"/>
      <c r="O232" s="93"/>
      <c r="P232" s="93"/>
      <c r="Q232" s="93"/>
      <c r="R232" s="93"/>
      <c r="S232" s="93"/>
      <c r="T232" s="93"/>
      <c r="U232" s="93"/>
      <c r="V232" s="92"/>
      <c r="W232" s="92"/>
      <c r="X232" s="92"/>
      <c r="Y232" s="92"/>
      <c r="Z232" s="91"/>
    </row>
    <row r="233" spans="1:26" ht="14.2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4"/>
      <c r="O233" s="93"/>
      <c r="P233" s="93"/>
      <c r="Q233" s="93"/>
      <c r="R233" s="93"/>
      <c r="S233" s="93"/>
      <c r="T233" s="93"/>
      <c r="U233" s="93"/>
      <c r="V233" s="92"/>
      <c r="W233" s="92"/>
      <c r="X233" s="92"/>
      <c r="Y233" s="92"/>
      <c r="Z233" s="91"/>
    </row>
    <row r="234" spans="1:26" ht="14.2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4"/>
      <c r="O234" s="93"/>
      <c r="P234" s="93"/>
      <c r="Q234" s="93"/>
      <c r="R234" s="93"/>
      <c r="S234" s="93"/>
      <c r="T234" s="93"/>
      <c r="U234" s="93"/>
      <c r="V234" s="92"/>
      <c r="W234" s="92"/>
      <c r="X234" s="92"/>
      <c r="Y234" s="92"/>
      <c r="Z234" s="91"/>
    </row>
    <row r="235" spans="1:26" ht="14.2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4"/>
      <c r="O235" s="93"/>
      <c r="P235" s="93"/>
      <c r="Q235" s="93"/>
      <c r="R235" s="93"/>
      <c r="S235" s="93"/>
      <c r="T235" s="93"/>
      <c r="U235" s="93"/>
      <c r="V235" s="92"/>
      <c r="W235" s="92"/>
      <c r="X235" s="92"/>
      <c r="Y235" s="92"/>
      <c r="Z235" s="91"/>
    </row>
    <row r="236" spans="1:26" ht="14.2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4"/>
      <c r="O236" s="93"/>
      <c r="P236" s="93"/>
      <c r="Q236" s="93"/>
      <c r="R236" s="93"/>
      <c r="S236" s="93"/>
      <c r="T236" s="93"/>
      <c r="U236" s="93"/>
      <c r="V236" s="92"/>
      <c r="W236" s="92"/>
      <c r="X236" s="92"/>
      <c r="Y236" s="92"/>
      <c r="Z236" s="91"/>
    </row>
    <row r="237" spans="1:26" ht="14.2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4"/>
      <c r="O237" s="93"/>
      <c r="P237" s="93"/>
      <c r="Q237" s="93"/>
      <c r="R237" s="93"/>
      <c r="S237" s="93"/>
      <c r="T237" s="93"/>
      <c r="U237" s="93"/>
      <c r="V237" s="92"/>
      <c r="W237" s="92"/>
      <c r="X237" s="92"/>
      <c r="Y237" s="92"/>
      <c r="Z237" s="91"/>
    </row>
    <row r="238" spans="1:26" ht="14.2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4"/>
      <c r="O238" s="93"/>
      <c r="P238" s="93"/>
      <c r="Q238" s="93"/>
      <c r="R238" s="93"/>
      <c r="S238" s="93"/>
      <c r="T238" s="93"/>
      <c r="U238" s="93"/>
      <c r="V238" s="92"/>
      <c r="W238" s="92"/>
      <c r="X238" s="92"/>
      <c r="Y238" s="92"/>
      <c r="Z238" s="91"/>
    </row>
    <row r="239" spans="1:26" ht="14.2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4"/>
      <c r="O239" s="93"/>
      <c r="P239" s="93"/>
      <c r="Q239" s="93"/>
      <c r="R239" s="93"/>
      <c r="S239" s="93"/>
      <c r="T239" s="93"/>
      <c r="U239" s="93"/>
      <c r="V239" s="92"/>
      <c r="W239" s="92"/>
      <c r="X239" s="92"/>
      <c r="Y239" s="92"/>
      <c r="Z239" s="91"/>
    </row>
    <row r="240" spans="1:26" ht="14.2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4"/>
      <c r="O240" s="93"/>
      <c r="P240" s="93"/>
      <c r="Q240" s="93"/>
      <c r="R240" s="93"/>
      <c r="S240" s="93"/>
      <c r="T240" s="93"/>
      <c r="U240" s="93"/>
      <c r="V240" s="92"/>
      <c r="W240" s="92"/>
      <c r="X240" s="92"/>
      <c r="Y240" s="92"/>
      <c r="Z240" s="91"/>
    </row>
    <row r="241" spans="1:26" ht="14.2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4"/>
      <c r="O241" s="93"/>
      <c r="P241" s="93"/>
      <c r="Q241" s="93"/>
      <c r="R241" s="93"/>
      <c r="S241" s="93"/>
      <c r="T241" s="93"/>
      <c r="U241" s="93"/>
      <c r="V241" s="92"/>
      <c r="W241" s="92"/>
      <c r="X241" s="92"/>
      <c r="Y241" s="92"/>
      <c r="Z241" s="91"/>
    </row>
    <row r="242" spans="1:26" ht="14.2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4"/>
      <c r="O242" s="93"/>
      <c r="P242" s="93"/>
      <c r="Q242" s="93"/>
      <c r="R242" s="93"/>
      <c r="S242" s="93"/>
      <c r="T242" s="93"/>
      <c r="U242" s="93"/>
      <c r="V242" s="92"/>
      <c r="W242" s="92"/>
      <c r="X242" s="92"/>
      <c r="Y242" s="92"/>
      <c r="Z242" s="91"/>
    </row>
    <row r="243" spans="1:26" ht="14.2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4"/>
      <c r="O243" s="93"/>
      <c r="P243" s="93"/>
      <c r="Q243" s="93"/>
      <c r="R243" s="93"/>
      <c r="S243" s="93"/>
      <c r="T243" s="93"/>
      <c r="U243" s="93"/>
      <c r="V243" s="92"/>
      <c r="W243" s="92"/>
      <c r="X243" s="92"/>
      <c r="Y243" s="92"/>
      <c r="Z243" s="91"/>
    </row>
    <row r="244" spans="1:26" ht="14.2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4"/>
      <c r="O244" s="93"/>
      <c r="P244" s="93"/>
      <c r="Q244" s="93"/>
      <c r="R244" s="93"/>
      <c r="S244" s="93"/>
      <c r="T244" s="93"/>
      <c r="U244" s="93"/>
      <c r="V244" s="92"/>
      <c r="W244" s="92"/>
      <c r="X244" s="92"/>
      <c r="Y244" s="92"/>
      <c r="Z244" s="91"/>
    </row>
    <row r="245" spans="1:26" ht="14.2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4"/>
      <c r="O245" s="93"/>
      <c r="P245" s="93"/>
      <c r="Q245" s="93"/>
      <c r="R245" s="93"/>
      <c r="S245" s="93"/>
      <c r="T245" s="93"/>
      <c r="U245" s="93"/>
      <c r="V245" s="92"/>
      <c r="W245" s="92"/>
      <c r="X245" s="92"/>
      <c r="Y245" s="92"/>
      <c r="Z245" s="91"/>
    </row>
    <row r="246" spans="1:26" ht="14.2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4"/>
      <c r="O246" s="93"/>
      <c r="P246" s="93"/>
      <c r="Q246" s="93"/>
      <c r="R246" s="93"/>
      <c r="S246" s="93"/>
      <c r="T246" s="93"/>
      <c r="U246" s="93"/>
      <c r="V246" s="92"/>
      <c r="W246" s="92"/>
      <c r="X246" s="92"/>
      <c r="Y246" s="92"/>
      <c r="Z246" s="91"/>
    </row>
    <row r="247" spans="1:26" ht="14.2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4"/>
      <c r="O247" s="93"/>
      <c r="P247" s="93"/>
      <c r="Q247" s="93"/>
      <c r="R247" s="93"/>
      <c r="S247" s="93"/>
      <c r="T247" s="93"/>
      <c r="U247" s="93"/>
      <c r="V247" s="92"/>
      <c r="W247" s="92"/>
      <c r="X247" s="92"/>
      <c r="Y247" s="92"/>
      <c r="Z247" s="91"/>
    </row>
    <row r="248" spans="1:26" ht="14.2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4"/>
      <c r="O248" s="93"/>
      <c r="P248" s="93"/>
      <c r="Q248" s="93"/>
      <c r="R248" s="93"/>
      <c r="S248" s="93"/>
      <c r="T248" s="93"/>
      <c r="U248" s="93"/>
      <c r="V248" s="92"/>
      <c r="W248" s="92"/>
      <c r="X248" s="92"/>
      <c r="Y248" s="92"/>
      <c r="Z248" s="91"/>
    </row>
    <row r="249" spans="1:26" ht="14.2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4"/>
      <c r="O249" s="93"/>
      <c r="P249" s="93"/>
      <c r="Q249" s="93"/>
      <c r="R249" s="93"/>
      <c r="S249" s="93"/>
      <c r="T249" s="93"/>
      <c r="U249" s="93"/>
      <c r="V249" s="92"/>
      <c r="W249" s="92"/>
      <c r="X249" s="92"/>
      <c r="Y249" s="92"/>
      <c r="Z249" s="91"/>
    </row>
    <row r="250" spans="1:26" ht="14.2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4"/>
      <c r="O250" s="93"/>
      <c r="P250" s="93"/>
      <c r="Q250" s="93"/>
      <c r="R250" s="93"/>
      <c r="S250" s="93"/>
      <c r="T250" s="93"/>
      <c r="U250" s="93"/>
      <c r="V250" s="92"/>
      <c r="W250" s="92"/>
      <c r="X250" s="92"/>
      <c r="Y250" s="92"/>
      <c r="Z250" s="91"/>
    </row>
    <row r="251" spans="1:26" ht="14.2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4"/>
      <c r="O251" s="93"/>
      <c r="P251" s="93"/>
      <c r="Q251" s="93"/>
      <c r="R251" s="93"/>
      <c r="S251" s="93"/>
      <c r="T251" s="93"/>
      <c r="U251" s="93"/>
      <c r="V251" s="92"/>
      <c r="W251" s="92"/>
      <c r="X251" s="92"/>
      <c r="Y251" s="92"/>
      <c r="Z251" s="91"/>
    </row>
    <row r="252" spans="1:26" ht="14.2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4"/>
      <c r="O252" s="93"/>
      <c r="P252" s="93"/>
      <c r="Q252" s="93"/>
      <c r="R252" s="93"/>
      <c r="S252" s="93"/>
      <c r="T252" s="93"/>
      <c r="U252" s="93"/>
      <c r="V252" s="92"/>
      <c r="W252" s="92"/>
      <c r="X252" s="92"/>
      <c r="Y252" s="92"/>
      <c r="Z252" s="91"/>
    </row>
    <row r="253" spans="1:26" ht="14.2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4"/>
      <c r="O253" s="93"/>
      <c r="P253" s="93"/>
      <c r="Q253" s="93"/>
      <c r="R253" s="93"/>
      <c r="S253" s="93"/>
      <c r="T253" s="93"/>
      <c r="U253" s="93"/>
      <c r="V253" s="92"/>
      <c r="W253" s="92"/>
      <c r="X253" s="92"/>
      <c r="Y253" s="92"/>
      <c r="Z253" s="91"/>
    </row>
    <row r="254" spans="1:26" ht="14.2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4"/>
      <c r="O254" s="93"/>
      <c r="P254" s="93"/>
      <c r="Q254" s="93"/>
      <c r="R254" s="93"/>
      <c r="S254" s="93"/>
      <c r="T254" s="93"/>
      <c r="U254" s="93"/>
      <c r="V254" s="92"/>
      <c r="W254" s="92"/>
      <c r="X254" s="92"/>
      <c r="Y254" s="92"/>
      <c r="Z254" s="91"/>
    </row>
    <row r="255" spans="1:26" ht="14.2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4"/>
      <c r="O255" s="93"/>
      <c r="P255" s="93"/>
      <c r="Q255" s="93"/>
      <c r="R255" s="93"/>
      <c r="S255" s="93"/>
      <c r="T255" s="93"/>
      <c r="U255" s="93"/>
      <c r="V255" s="92"/>
      <c r="W255" s="92"/>
      <c r="X255" s="92"/>
      <c r="Y255" s="92"/>
      <c r="Z255" s="91"/>
    </row>
    <row r="256" spans="1:26" ht="14.2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4"/>
      <c r="O256" s="93"/>
      <c r="P256" s="93"/>
      <c r="Q256" s="93"/>
      <c r="R256" s="93"/>
      <c r="S256" s="93"/>
      <c r="T256" s="93"/>
      <c r="U256" s="93"/>
      <c r="V256" s="92"/>
      <c r="W256" s="92"/>
      <c r="X256" s="92"/>
      <c r="Y256" s="92"/>
      <c r="Z256" s="91"/>
    </row>
    <row r="257" spans="1:26" ht="14.2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4"/>
      <c r="O257" s="93"/>
      <c r="P257" s="93"/>
      <c r="Q257" s="93"/>
      <c r="R257" s="93"/>
      <c r="S257" s="93"/>
      <c r="T257" s="93"/>
      <c r="U257" s="93"/>
      <c r="V257" s="92"/>
      <c r="W257" s="92"/>
      <c r="X257" s="92"/>
      <c r="Y257" s="92"/>
      <c r="Z257" s="91"/>
    </row>
    <row r="258" spans="1:26" ht="14.2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4"/>
      <c r="O258" s="93"/>
      <c r="P258" s="93"/>
      <c r="Q258" s="93"/>
      <c r="R258" s="93"/>
      <c r="S258" s="93"/>
      <c r="T258" s="93"/>
      <c r="U258" s="93"/>
      <c r="V258" s="92"/>
      <c r="W258" s="92"/>
      <c r="X258" s="92"/>
      <c r="Y258" s="92"/>
      <c r="Z258" s="91"/>
    </row>
    <row r="259" spans="1:26" ht="14.2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4"/>
      <c r="O259" s="93"/>
      <c r="P259" s="93"/>
      <c r="Q259" s="93"/>
      <c r="R259" s="93"/>
      <c r="S259" s="93"/>
      <c r="T259" s="93"/>
      <c r="U259" s="93"/>
      <c r="V259" s="92"/>
      <c r="W259" s="92"/>
      <c r="X259" s="92"/>
      <c r="Y259" s="92"/>
      <c r="Z259" s="91"/>
    </row>
    <row r="260" spans="1:26" ht="14.2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4"/>
      <c r="O260" s="93"/>
      <c r="P260" s="93"/>
      <c r="Q260" s="93"/>
      <c r="R260" s="93"/>
      <c r="S260" s="93"/>
      <c r="T260" s="93"/>
      <c r="U260" s="93"/>
      <c r="V260" s="92"/>
      <c r="W260" s="92"/>
      <c r="X260" s="92"/>
      <c r="Y260" s="92"/>
      <c r="Z260" s="91"/>
    </row>
    <row r="261" spans="1:26" ht="14.2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4"/>
      <c r="O261" s="93"/>
      <c r="P261" s="93"/>
      <c r="Q261" s="93"/>
      <c r="R261" s="93"/>
      <c r="S261" s="93"/>
      <c r="T261" s="93"/>
      <c r="U261" s="93"/>
      <c r="V261" s="92"/>
      <c r="W261" s="92"/>
      <c r="X261" s="92"/>
      <c r="Y261" s="92"/>
      <c r="Z261" s="91"/>
    </row>
    <row r="262" spans="1:26" ht="14.2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4"/>
      <c r="O262" s="93"/>
      <c r="P262" s="93"/>
      <c r="Q262" s="93"/>
      <c r="R262" s="93"/>
      <c r="S262" s="93"/>
      <c r="T262" s="93"/>
      <c r="U262" s="93"/>
      <c r="V262" s="92"/>
      <c r="W262" s="92"/>
      <c r="X262" s="92"/>
      <c r="Y262" s="92"/>
      <c r="Z262" s="91"/>
    </row>
    <row r="263" spans="1:26" ht="14.2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4"/>
      <c r="O263" s="93"/>
      <c r="P263" s="93"/>
      <c r="Q263" s="93"/>
      <c r="R263" s="93"/>
      <c r="S263" s="93"/>
      <c r="T263" s="93"/>
      <c r="U263" s="93"/>
      <c r="V263" s="92"/>
      <c r="W263" s="92"/>
      <c r="X263" s="92"/>
      <c r="Y263" s="92"/>
      <c r="Z263" s="91"/>
    </row>
    <row r="264" spans="1:26" ht="14.2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4"/>
      <c r="O264" s="93"/>
      <c r="P264" s="93"/>
      <c r="Q264" s="93"/>
      <c r="R264" s="93"/>
      <c r="S264" s="93"/>
      <c r="T264" s="93"/>
      <c r="U264" s="93"/>
      <c r="V264" s="92"/>
      <c r="W264" s="92"/>
      <c r="X264" s="92"/>
      <c r="Y264" s="92"/>
      <c r="Z264" s="91"/>
    </row>
    <row r="265" spans="1:26" ht="14.2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4"/>
      <c r="O265" s="93"/>
      <c r="P265" s="93"/>
      <c r="Q265" s="93"/>
      <c r="R265" s="93"/>
      <c r="S265" s="93"/>
      <c r="T265" s="93"/>
      <c r="U265" s="93"/>
      <c r="V265" s="92"/>
      <c r="W265" s="92"/>
      <c r="X265" s="92"/>
      <c r="Y265" s="92"/>
      <c r="Z265" s="91"/>
    </row>
    <row r="266" spans="1:26" ht="14.2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4"/>
      <c r="O266" s="93"/>
      <c r="P266" s="93"/>
      <c r="Q266" s="93"/>
      <c r="R266" s="93"/>
      <c r="S266" s="93"/>
      <c r="T266" s="93"/>
      <c r="U266" s="93"/>
      <c r="V266" s="92"/>
      <c r="W266" s="92"/>
      <c r="X266" s="92"/>
      <c r="Y266" s="92"/>
      <c r="Z266" s="91"/>
    </row>
    <row r="267" spans="1:26" ht="14.2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4"/>
      <c r="O267" s="93"/>
      <c r="P267" s="93"/>
      <c r="Q267" s="93"/>
      <c r="R267" s="93"/>
      <c r="S267" s="93"/>
      <c r="T267" s="93"/>
      <c r="U267" s="93"/>
      <c r="V267" s="92"/>
      <c r="W267" s="92"/>
      <c r="X267" s="92"/>
      <c r="Y267" s="92"/>
      <c r="Z267" s="91"/>
    </row>
    <row r="268" spans="1:26" ht="14.2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4"/>
      <c r="O268" s="93"/>
      <c r="P268" s="93"/>
      <c r="Q268" s="93"/>
      <c r="R268" s="93"/>
      <c r="S268" s="93"/>
      <c r="T268" s="93"/>
      <c r="U268" s="93"/>
      <c r="V268" s="92"/>
      <c r="W268" s="92"/>
      <c r="X268" s="92"/>
      <c r="Y268" s="92"/>
      <c r="Z268" s="91"/>
    </row>
    <row r="269" spans="1:26" ht="14.2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4"/>
      <c r="O269" s="93"/>
      <c r="P269" s="93"/>
      <c r="Q269" s="93"/>
      <c r="R269" s="93"/>
      <c r="S269" s="93"/>
      <c r="T269" s="93"/>
      <c r="U269" s="93"/>
      <c r="V269" s="92"/>
      <c r="W269" s="92"/>
      <c r="X269" s="92"/>
      <c r="Y269" s="92"/>
      <c r="Z269" s="91"/>
    </row>
    <row r="270" spans="1:26" ht="14.2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4"/>
      <c r="O270" s="93"/>
      <c r="P270" s="93"/>
      <c r="Q270" s="93"/>
      <c r="R270" s="93"/>
      <c r="S270" s="93"/>
      <c r="T270" s="93"/>
      <c r="U270" s="93"/>
      <c r="V270" s="92"/>
      <c r="W270" s="92"/>
      <c r="X270" s="92"/>
      <c r="Y270" s="92"/>
      <c r="Z270" s="91"/>
    </row>
    <row r="271" spans="1:26" ht="14.2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4"/>
      <c r="O271" s="93"/>
      <c r="P271" s="93"/>
      <c r="Q271" s="93"/>
      <c r="R271" s="93"/>
      <c r="S271" s="93"/>
      <c r="T271" s="93"/>
      <c r="U271" s="93"/>
      <c r="V271" s="92"/>
      <c r="W271" s="92"/>
      <c r="X271" s="92"/>
      <c r="Y271" s="92"/>
      <c r="Z271" s="91"/>
    </row>
    <row r="272" spans="1:26" ht="14.2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4"/>
      <c r="O272" s="93"/>
      <c r="P272" s="93"/>
      <c r="Q272" s="93"/>
      <c r="R272" s="93"/>
      <c r="S272" s="93"/>
      <c r="T272" s="93"/>
      <c r="U272" s="93"/>
      <c r="V272" s="92"/>
      <c r="W272" s="92"/>
      <c r="X272" s="92"/>
      <c r="Y272" s="92"/>
      <c r="Z272" s="91"/>
    </row>
    <row r="273" spans="1:26" ht="14.2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4"/>
      <c r="O273" s="93"/>
      <c r="P273" s="93"/>
      <c r="Q273" s="93"/>
      <c r="R273" s="93"/>
      <c r="S273" s="93"/>
      <c r="T273" s="93"/>
      <c r="U273" s="93"/>
      <c r="V273" s="92"/>
      <c r="W273" s="92"/>
      <c r="X273" s="92"/>
      <c r="Y273" s="92"/>
      <c r="Z273" s="91"/>
    </row>
    <row r="274" spans="1:26" ht="14.2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4"/>
      <c r="O274" s="93"/>
      <c r="P274" s="93"/>
      <c r="Q274" s="93"/>
      <c r="R274" s="93"/>
      <c r="S274" s="93"/>
      <c r="T274" s="93"/>
      <c r="U274" s="93"/>
      <c r="V274" s="92"/>
      <c r="W274" s="92"/>
      <c r="X274" s="92"/>
      <c r="Y274" s="92"/>
      <c r="Z274" s="91"/>
    </row>
    <row r="275" spans="1:26" ht="14.2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4"/>
      <c r="O275" s="93"/>
      <c r="P275" s="93"/>
      <c r="Q275" s="93"/>
      <c r="R275" s="93"/>
      <c r="S275" s="93"/>
      <c r="T275" s="93"/>
      <c r="U275" s="93"/>
      <c r="V275" s="92"/>
      <c r="W275" s="92"/>
      <c r="X275" s="92"/>
      <c r="Y275" s="92"/>
      <c r="Z275" s="91"/>
    </row>
    <row r="276" spans="1:26" ht="14.2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4"/>
      <c r="O276" s="93"/>
      <c r="P276" s="93"/>
      <c r="Q276" s="93"/>
      <c r="R276" s="93"/>
      <c r="S276" s="93"/>
      <c r="T276" s="93"/>
      <c r="U276" s="93"/>
      <c r="V276" s="92"/>
      <c r="W276" s="92"/>
      <c r="X276" s="92"/>
      <c r="Y276" s="92"/>
      <c r="Z276" s="91"/>
    </row>
    <row r="277" spans="1:26" ht="14.2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4"/>
      <c r="O277" s="93"/>
      <c r="P277" s="93"/>
      <c r="Q277" s="93"/>
      <c r="R277" s="93"/>
      <c r="S277" s="93"/>
      <c r="T277" s="93"/>
      <c r="U277" s="93"/>
      <c r="V277" s="92"/>
      <c r="W277" s="92"/>
      <c r="X277" s="92"/>
      <c r="Y277" s="92"/>
      <c r="Z277" s="91"/>
    </row>
    <row r="278" spans="1:26" ht="14.2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4"/>
      <c r="O278" s="93"/>
      <c r="P278" s="93"/>
      <c r="Q278" s="93"/>
      <c r="R278" s="93"/>
      <c r="S278" s="93"/>
      <c r="T278" s="93"/>
      <c r="U278" s="93"/>
      <c r="V278" s="92"/>
      <c r="W278" s="92"/>
      <c r="X278" s="92"/>
      <c r="Y278" s="92"/>
      <c r="Z278" s="91"/>
    </row>
    <row r="279" spans="1:26" ht="14.2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4"/>
      <c r="O279" s="93"/>
      <c r="P279" s="93"/>
      <c r="Q279" s="93"/>
      <c r="R279" s="93"/>
      <c r="S279" s="93"/>
      <c r="T279" s="93"/>
      <c r="U279" s="93"/>
      <c r="V279" s="92"/>
      <c r="W279" s="92"/>
      <c r="X279" s="92"/>
      <c r="Y279" s="92"/>
      <c r="Z279" s="91"/>
    </row>
    <row r="280" spans="1:26" ht="14.2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4"/>
      <c r="O280" s="93"/>
      <c r="P280" s="93"/>
      <c r="Q280" s="93"/>
      <c r="R280" s="93"/>
      <c r="S280" s="93"/>
      <c r="T280" s="93"/>
      <c r="U280" s="93"/>
      <c r="V280" s="92"/>
      <c r="W280" s="92"/>
      <c r="X280" s="92"/>
      <c r="Y280" s="92"/>
      <c r="Z280" s="91"/>
    </row>
    <row r="281" spans="1:26" ht="14.2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4"/>
      <c r="O281" s="93"/>
      <c r="P281" s="93"/>
      <c r="Q281" s="93"/>
      <c r="R281" s="93"/>
      <c r="S281" s="93"/>
      <c r="T281" s="93"/>
      <c r="U281" s="93"/>
      <c r="V281" s="92"/>
      <c r="W281" s="92"/>
      <c r="X281" s="92"/>
      <c r="Y281" s="92"/>
      <c r="Z281" s="91"/>
    </row>
    <row r="282" spans="1:26" ht="14.2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4"/>
      <c r="O282" s="93"/>
      <c r="P282" s="93"/>
      <c r="Q282" s="93"/>
      <c r="R282" s="93"/>
      <c r="S282" s="93"/>
      <c r="T282" s="93"/>
      <c r="U282" s="93"/>
      <c r="V282" s="92"/>
      <c r="W282" s="92"/>
      <c r="X282" s="92"/>
      <c r="Y282" s="92"/>
      <c r="Z282" s="91"/>
    </row>
    <row r="283" spans="1:26" ht="14.2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4"/>
      <c r="O283" s="93"/>
      <c r="P283" s="93"/>
      <c r="Q283" s="93"/>
      <c r="R283" s="93"/>
      <c r="S283" s="93"/>
      <c r="T283" s="93"/>
      <c r="U283" s="93"/>
      <c r="V283" s="92"/>
      <c r="W283" s="92"/>
      <c r="X283" s="92"/>
      <c r="Y283" s="92"/>
      <c r="Z283" s="91"/>
    </row>
    <row r="284" spans="1:26" ht="14.2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4"/>
      <c r="O284" s="93"/>
      <c r="P284" s="93"/>
      <c r="Q284" s="93"/>
      <c r="R284" s="93"/>
      <c r="S284" s="93"/>
      <c r="T284" s="93"/>
      <c r="U284" s="93"/>
      <c r="V284" s="92"/>
      <c r="W284" s="92"/>
      <c r="X284" s="92"/>
      <c r="Y284" s="92"/>
      <c r="Z284" s="91"/>
    </row>
    <row r="285" spans="1:26" ht="14.2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4"/>
      <c r="O285" s="93"/>
      <c r="P285" s="93"/>
      <c r="Q285" s="93"/>
      <c r="R285" s="93"/>
      <c r="S285" s="93"/>
      <c r="T285" s="93"/>
      <c r="U285" s="93"/>
      <c r="V285" s="92"/>
      <c r="W285" s="92"/>
      <c r="X285" s="92"/>
      <c r="Y285" s="92"/>
      <c r="Z285" s="91"/>
    </row>
    <row r="286" spans="1:26" ht="14.2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4"/>
      <c r="O286" s="93"/>
      <c r="P286" s="93"/>
      <c r="Q286" s="93"/>
      <c r="R286" s="93"/>
      <c r="S286" s="93"/>
      <c r="T286" s="93"/>
      <c r="U286" s="93"/>
      <c r="V286" s="92"/>
      <c r="W286" s="92"/>
      <c r="X286" s="92"/>
      <c r="Y286" s="92"/>
      <c r="Z286" s="91"/>
    </row>
    <row r="287" spans="1:26" ht="14.2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4"/>
      <c r="O287" s="93"/>
      <c r="P287" s="93"/>
      <c r="Q287" s="93"/>
      <c r="R287" s="93"/>
      <c r="S287" s="93"/>
      <c r="T287" s="93"/>
      <c r="U287" s="93"/>
      <c r="V287" s="92"/>
      <c r="W287" s="92"/>
      <c r="X287" s="92"/>
      <c r="Y287" s="92"/>
      <c r="Z287" s="91"/>
    </row>
    <row r="288" spans="1:26" ht="14.2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4"/>
      <c r="O288" s="93"/>
      <c r="P288" s="93"/>
      <c r="Q288" s="93"/>
      <c r="R288" s="93"/>
      <c r="S288" s="93"/>
      <c r="T288" s="93"/>
      <c r="U288" s="93"/>
      <c r="V288" s="92"/>
      <c r="W288" s="92"/>
      <c r="X288" s="92"/>
      <c r="Y288" s="92"/>
      <c r="Z288" s="91"/>
    </row>
    <row r="289" spans="1:26" ht="14.2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4"/>
      <c r="O289" s="93"/>
      <c r="P289" s="93"/>
      <c r="Q289" s="93"/>
      <c r="R289" s="93"/>
      <c r="S289" s="93"/>
      <c r="T289" s="93"/>
      <c r="U289" s="93"/>
      <c r="V289" s="92"/>
      <c r="W289" s="92"/>
      <c r="X289" s="92"/>
      <c r="Y289" s="92"/>
      <c r="Z289" s="91"/>
    </row>
    <row r="290" spans="1:26" ht="14.2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4"/>
      <c r="O290" s="93"/>
      <c r="P290" s="93"/>
      <c r="Q290" s="93"/>
      <c r="R290" s="93"/>
      <c r="S290" s="93"/>
      <c r="T290" s="93"/>
      <c r="U290" s="93"/>
      <c r="V290" s="92"/>
      <c r="W290" s="92"/>
      <c r="X290" s="92"/>
      <c r="Y290" s="92"/>
      <c r="Z290" s="91"/>
    </row>
    <row r="291" spans="1:26" ht="14.2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4"/>
      <c r="O291" s="93"/>
      <c r="P291" s="93"/>
      <c r="Q291" s="93"/>
      <c r="R291" s="93"/>
      <c r="S291" s="93"/>
      <c r="T291" s="93"/>
      <c r="U291" s="93"/>
      <c r="V291" s="92"/>
      <c r="W291" s="92"/>
      <c r="X291" s="92"/>
      <c r="Y291" s="92"/>
      <c r="Z291" s="91"/>
    </row>
    <row r="292" spans="1:26" ht="14.2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4"/>
      <c r="O292" s="93"/>
      <c r="P292" s="93"/>
      <c r="Q292" s="93"/>
      <c r="R292" s="93"/>
      <c r="S292" s="93"/>
      <c r="T292" s="93"/>
      <c r="U292" s="93"/>
      <c r="V292" s="92"/>
      <c r="W292" s="92"/>
      <c r="X292" s="92"/>
      <c r="Y292" s="92"/>
      <c r="Z292" s="91"/>
    </row>
    <row r="293" spans="1:26" ht="14.2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4"/>
      <c r="O293" s="93"/>
      <c r="P293" s="93"/>
      <c r="Q293" s="93"/>
      <c r="R293" s="93"/>
      <c r="S293" s="93"/>
      <c r="T293" s="93"/>
      <c r="U293" s="93"/>
      <c r="V293" s="92"/>
      <c r="W293" s="92"/>
      <c r="X293" s="92"/>
      <c r="Y293" s="92"/>
      <c r="Z293" s="91"/>
    </row>
    <row r="294" spans="1:26" ht="14.2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4"/>
      <c r="O294" s="93"/>
      <c r="P294" s="93"/>
      <c r="Q294" s="93"/>
      <c r="R294" s="93"/>
      <c r="S294" s="93"/>
      <c r="T294" s="93"/>
      <c r="U294" s="93"/>
      <c r="V294" s="92"/>
      <c r="W294" s="92"/>
      <c r="X294" s="92"/>
      <c r="Y294" s="92"/>
      <c r="Z294" s="91"/>
    </row>
    <row r="295" spans="1:26" ht="14.2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4"/>
      <c r="O295" s="93"/>
      <c r="P295" s="93"/>
      <c r="Q295" s="93"/>
      <c r="R295" s="93"/>
      <c r="S295" s="93"/>
      <c r="T295" s="93"/>
      <c r="U295" s="93"/>
      <c r="V295" s="92"/>
      <c r="W295" s="92"/>
      <c r="X295" s="92"/>
      <c r="Y295" s="92"/>
      <c r="Z295" s="91"/>
    </row>
    <row r="296" spans="1:26" ht="14.2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4"/>
      <c r="O296" s="93"/>
      <c r="P296" s="93"/>
      <c r="Q296" s="93"/>
      <c r="R296" s="93"/>
      <c r="S296" s="93"/>
      <c r="T296" s="93"/>
      <c r="U296" s="93"/>
      <c r="V296" s="92"/>
      <c r="W296" s="92"/>
      <c r="X296" s="92"/>
      <c r="Y296" s="92"/>
      <c r="Z296" s="91"/>
    </row>
    <row r="297" spans="1:26" ht="14.2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4"/>
      <c r="O297" s="93"/>
      <c r="P297" s="93"/>
      <c r="Q297" s="93"/>
      <c r="R297" s="93"/>
      <c r="S297" s="93"/>
      <c r="T297" s="93"/>
      <c r="U297" s="93"/>
      <c r="V297" s="92"/>
      <c r="W297" s="92"/>
      <c r="X297" s="92"/>
      <c r="Y297" s="92"/>
      <c r="Z297" s="91"/>
    </row>
    <row r="298" spans="1:26" ht="14.2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4"/>
      <c r="O298" s="93"/>
      <c r="P298" s="93"/>
      <c r="Q298" s="93"/>
      <c r="R298" s="93"/>
      <c r="S298" s="93"/>
      <c r="T298" s="93"/>
      <c r="U298" s="93"/>
      <c r="V298" s="92"/>
      <c r="W298" s="92"/>
      <c r="X298" s="92"/>
      <c r="Y298" s="92"/>
      <c r="Z298" s="91"/>
    </row>
    <row r="299" spans="1:26" ht="14.2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4"/>
      <c r="O299" s="93"/>
      <c r="P299" s="93"/>
      <c r="Q299" s="93"/>
      <c r="R299" s="93"/>
      <c r="S299" s="93"/>
      <c r="T299" s="93"/>
      <c r="U299" s="93"/>
      <c r="V299" s="92"/>
      <c r="W299" s="92"/>
      <c r="X299" s="92"/>
      <c r="Y299" s="92"/>
      <c r="Z299" s="91"/>
    </row>
    <row r="300" spans="1:26" ht="14.2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4"/>
      <c r="O300" s="93"/>
      <c r="P300" s="93"/>
      <c r="Q300" s="93"/>
      <c r="R300" s="93"/>
      <c r="S300" s="93"/>
      <c r="T300" s="93"/>
      <c r="U300" s="93"/>
      <c r="V300" s="92"/>
      <c r="W300" s="92"/>
      <c r="X300" s="92"/>
      <c r="Y300" s="92"/>
      <c r="Z300" s="91"/>
    </row>
    <row r="301" spans="1:26" ht="14.2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4"/>
      <c r="O301" s="93"/>
      <c r="P301" s="93"/>
      <c r="Q301" s="93"/>
      <c r="R301" s="93"/>
      <c r="S301" s="93"/>
      <c r="T301" s="93"/>
      <c r="U301" s="93"/>
      <c r="V301" s="92"/>
      <c r="W301" s="92"/>
      <c r="X301" s="92"/>
      <c r="Y301" s="92"/>
      <c r="Z301" s="91"/>
    </row>
    <row r="302" spans="1:26" ht="14.2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4"/>
      <c r="O302" s="93"/>
      <c r="P302" s="93"/>
      <c r="Q302" s="93"/>
      <c r="R302" s="93"/>
      <c r="S302" s="93"/>
      <c r="T302" s="93"/>
      <c r="U302" s="93"/>
      <c r="V302" s="92"/>
      <c r="W302" s="92"/>
      <c r="X302" s="92"/>
      <c r="Y302" s="92"/>
      <c r="Z302" s="91"/>
    </row>
    <row r="303" spans="1:26" ht="14.2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4"/>
      <c r="O303" s="93"/>
      <c r="P303" s="93"/>
      <c r="Q303" s="93"/>
      <c r="R303" s="93"/>
      <c r="S303" s="93"/>
      <c r="T303" s="93"/>
      <c r="U303" s="93"/>
      <c r="V303" s="92"/>
      <c r="W303" s="92"/>
      <c r="X303" s="92"/>
      <c r="Y303" s="92"/>
      <c r="Z303" s="91"/>
    </row>
    <row r="304" spans="1:26" ht="14.2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4"/>
      <c r="O304" s="93"/>
      <c r="P304" s="93"/>
      <c r="Q304" s="93"/>
      <c r="R304" s="93"/>
      <c r="S304" s="93"/>
      <c r="T304" s="93"/>
      <c r="U304" s="93"/>
      <c r="V304" s="92"/>
      <c r="W304" s="92"/>
      <c r="X304" s="92"/>
      <c r="Y304" s="92"/>
      <c r="Z304" s="91"/>
    </row>
    <row r="305" spans="1:26" ht="14.2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4"/>
      <c r="O305" s="93"/>
      <c r="P305" s="93"/>
      <c r="Q305" s="93"/>
      <c r="R305" s="93"/>
      <c r="S305" s="93"/>
      <c r="T305" s="93"/>
      <c r="U305" s="93"/>
      <c r="V305" s="92"/>
      <c r="W305" s="92"/>
      <c r="X305" s="92"/>
      <c r="Y305" s="92"/>
      <c r="Z305" s="91"/>
    </row>
    <row r="306" spans="1:26" ht="14.2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4"/>
      <c r="O306" s="93"/>
      <c r="P306" s="93"/>
      <c r="Q306" s="93"/>
      <c r="R306" s="93"/>
      <c r="S306" s="93"/>
      <c r="T306" s="93"/>
      <c r="U306" s="93"/>
      <c r="V306" s="92"/>
      <c r="W306" s="92"/>
      <c r="X306" s="92"/>
      <c r="Y306" s="92"/>
      <c r="Z306" s="91"/>
    </row>
    <row r="307" spans="1:26" ht="14.2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4"/>
      <c r="O307" s="93"/>
      <c r="P307" s="93"/>
      <c r="Q307" s="93"/>
      <c r="R307" s="93"/>
      <c r="S307" s="93"/>
      <c r="T307" s="93"/>
      <c r="U307" s="93"/>
      <c r="V307" s="92"/>
      <c r="W307" s="92"/>
      <c r="X307" s="92"/>
      <c r="Y307" s="92"/>
      <c r="Z307" s="91"/>
    </row>
    <row r="308" spans="1:26" ht="14.2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4"/>
      <c r="O308" s="93"/>
      <c r="P308" s="93"/>
      <c r="Q308" s="93"/>
      <c r="R308" s="93"/>
      <c r="S308" s="93"/>
      <c r="T308" s="93"/>
      <c r="U308" s="93"/>
      <c r="V308" s="92"/>
      <c r="W308" s="92"/>
      <c r="X308" s="92"/>
      <c r="Y308" s="92"/>
      <c r="Z308" s="91"/>
    </row>
    <row r="309" spans="1:26" ht="14.2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4"/>
      <c r="O309" s="93"/>
      <c r="P309" s="93"/>
      <c r="Q309" s="93"/>
      <c r="R309" s="93"/>
      <c r="S309" s="93"/>
      <c r="T309" s="93"/>
      <c r="U309" s="93"/>
      <c r="V309" s="92"/>
      <c r="W309" s="92"/>
      <c r="X309" s="92"/>
      <c r="Y309" s="92"/>
      <c r="Z309" s="91"/>
    </row>
    <row r="310" spans="1:26" ht="14.2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4"/>
      <c r="O310" s="93"/>
      <c r="P310" s="93"/>
      <c r="Q310" s="93"/>
      <c r="R310" s="93"/>
      <c r="S310" s="93"/>
      <c r="T310" s="93"/>
      <c r="U310" s="93"/>
      <c r="V310" s="92"/>
      <c r="W310" s="92"/>
      <c r="X310" s="92"/>
      <c r="Y310" s="92"/>
      <c r="Z310" s="91"/>
    </row>
    <row r="311" spans="1:26" ht="14.2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4"/>
      <c r="O311" s="93"/>
      <c r="P311" s="93"/>
      <c r="Q311" s="93"/>
      <c r="R311" s="93"/>
      <c r="S311" s="93"/>
      <c r="T311" s="93"/>
      <c r="U311" s="93"/>
      <c r="V311" s="92"/>
      <c r="W311" s="92"/>
      <c r="X311" s="92"/>
      <c r="Y311" s="92"/>
      <c r="Z311" s="91"/>
    </row>
    <row r="312" spans="1:26" ht="14.2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4"/>
      <c r="O312" s="93"/>
      <c r="P312" s="93"/>
      <c r="Q312" s="93"/>
      <c r="R312" s="93"/>
      <c r="S312" s="93"/>
      <c r="T312" s="93"/>
      <c r="U312" s="93"/>
      <c r="V312" s="92"/>
      <c r="W312" s="92"/>
      <c r="X312" s="92"/>
      <c r="Y312" s="92"/>
      <c r="Z312" s="91"/>
    </row>
    <row r="313" spans="1:26" ht="14.2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4"/>
      <c r="O313" s="93"/>
      <c r="P313" s="93"/>
      <c r="Q313" s="93"/>
      <c r="R313" s="93"/>
      <c r="S313" s="93"/>
      <c r="T313" s="93"/>
      <c r="U313" s="93"/>
      <c r="V313" s="92"/>
      <c r="W313" s="92"/>
      <c r="X313" s="92"/>
      <c r="Y313" s="92"/>
      <c r="Z313" s="91"/>
    </row>
    <row r="314" spans="1:26" ht="14.2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4"/>
      <c r="O314" s="93"/>
      <c r="P314" s="93"/>
      <c r="Q314" s="93"/>
      <c r="R314" s="93"/>
      <c r="S314" s="93"/>
      <c r="T314" s="93"/>
      <c r="U314" s="93"/>
      <c r="V314" s="92"/>
      <c r="W314" s="92"/>
      <c r="X314" s="92"/>
      <c r="Y314" s="92"/>
      <c r="Z314" s="91"/>
    </row>
    <row r="315" spans="1:26" ht="14.2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4"/>
      <c r="O315" s="93"/>
      <c r="P315" s="93"/>
      <c r="Q315" s="93"/>
      <c r="R315" s="93"/>
      <c r="S315" s="93"/>
      <c r="T315" s="93"/>
      <c r="U315" s="93"/>
      <c r="V315" s="92"/>
      <c r="W315" s="92"/>
      <c r="X315" s="92"/>
      <c r="Y315" s="92"/>
      <c r="Z315" s="91"/>
    </row>
    <row r="316" spans="1:26" ht="14.2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4"/>
      <c r="O316" s="93"/>
      <c r="P316" s="93"/>
      <c r="Q316" s="93"/>
      <c r="R316" s="93"/>
      <c r="S316" s="93"/>
      <c r="T316" s="93"/>
      <c r="U316" s="93"/>
      <c r="V316" s="92"/>
      <c r="W316" s="92"/>
      <c r="X316" s="92"/>
      <c r="Y316" s="92"/>
      <c r="Z316" s="91"/>
    </row>
    <row r="317" spans="1:26" ht="14.2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4"/>
      <c r="O317" s="93"/>
      <c r="P317" s="93"/>
      <c r="Q317" s="93"/>
      <c r="R317" s="93"/>
      <c r="S317" s="93"/>
      <c r="T317" s="93"/>
      <c r="U317" s="93"/>
      <c r="V317" s="92"/>
      <c r="W317" s="92"/>
      <c r="X317" s="92"/>
      <c r="Y317" s="92"/>
      <c r="Z317" s="91"/>
    </row>
    <row r="318" spans="1:26" ht="14.2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4"/>
      <c r="O318" s="93"/>
      <c r="P318" s="93"/>
      <c r="Q318" s="93"/>
      <c r="R318" s="93"/>
      <c r="S318" s="93"/>
      <c r="T318" s="93"/>
      <c r="U318" s="93"/>
      <c r="V318" s="92"/>
      <c r="W318" s="92"/>
      <c r="X318" s="92"/>
      <c r="Y318" s="92"/>
      <c r="Z318" s="91"/>
    </row>
    <row r="319" spans="1:26" ht="14.2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4"/>
      <c r="O319" s="93"/>
      <c r="P319" s="93"/>
      <c r="Q319" s="93"/>
      <c r="R319" s="93"/>
      <c r="S319" s="93"/>
      <c r="T319" s="93"/>
      <c r="U319" s="93"/>
      <c r="V319" s="92"/>
      <c r="W319" s="92"/>
      <c r="X319" s="92"/>
      <c r="Y319" s="92"/>
      <c r="Z319" s="91"/>
    </row>
    <row r="320" spans="1:26" ht="14.2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4"/>
      <c r="O320" s="93"/>
      <c r="P320" s="93"/>
      <c r="Q320" s="93"/>
      <c r="R320" s="93"/>
      <c r="S320" s="93"/>
      <c r="T320" s="93"/>
      <c r="U320" s="93"/>
      <c r="V320" s="92"/>
      <c r="W320" s="92"/>
      <c r="X320" s="92"/>
      <c r="Y320" s="92"/>
      <c r="Z320" s="91"/>
    </row>
    <row r="321" spans="1:26" ht="14.2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4"/>
      <c r="O321" s="93"/>
      <c r="P321" s="93"/>
      <c r="Q321" s="93"/>
      <c r="R321" s="93"/>
      <c r="S321" s="93"/>
      <c r="T321" s="93"/>
      <c r="U321" s="93"/>
      <c r="V321" s="92"/>
      <c r="W321" s="92"/>
      <c r="X321" s="92"/>
      <c r="Y321" s="92"/>
      <c r="Z321" s="91"/>
    </row>
    <row r="322" spans="1:26" ht="14.2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4"/>
      <c r="O322" s="93"/>
      <c r="P322" s="93"/>
      <c r="Q322" s="93"/>
      <c r="R322" s="93"/>
      <c r="S322" s="93"/>
      <c r="T322" s="93"/>
      <c r="U322" s="93"/>
      <c r="V322" s="92"/>
      <c r="W322" s="92"/>
      <c r="X322" s="92"/>
      <c r="Y322" s="92"/>
      <c r="Z322" s="91"/>
    </row>
    <row r="323" spans="1:26" ht="14.2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4"/>
      <c r="O323" s="93"/>
      <c r="P323" s="93"/>
      <c r="Q323" s="93"/>
      <c r="R323" s="93"/>
      <c r="S323" s="93"/>
      <c r="T323" s="93"/>
      <c r="U323" s="93"/>
      <c r="V323" s="92"/>
      <c r="W323" s="92"/>
      <c r="X323" s="92"/>
      <c r="Y323" s="92"/>
      <c r="Z323" s="91"/>
    </row>
    <row r="324" spans="1:26" ht="14.2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4"/>
      <c r="O324" s="93"/>
      <c r="P324" s="93"/>
      <c r="Q324" s="93"/>
      <c r="R324" s="93"/>
      <c r="S324" s="93"/>
      <c r="T324" s="93"/>
      <c r="U324" s="93"/>
      <c r="V324" s="92"/>
      <c r="W324" s="92"/>
      <c r="X324" s="92"/>
      <c r="Y324" s="92"/>
      <c r="Z324" s="91"/>
    </row>
    <row r="325" spans="1:26" ht="14.2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4"/>
      <c r="O325" s="93"/>
      <c r="P325" s="93"/>
      <c r="Q325" s="93"/>
      <c r="R325" s="93"/>
      <c r="S325" s="93"/>
      <c r="T325" s="93"/>
      <c r="U325" s="93"/>
      <c r="V325" s="92"/>
      <c r="W325" s="92"/>
      <c r="X325" s="92"/>
      <c r="Y325" s="92"/>
      <c r="Z325" s="91"/>
    </row>
    <row r="326" spans="1:26" ht="14.2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4"/>
      <c r="O326" s="93"/>
      <c r="P326" s="93"/>
      <c r="Q326" s="93"/>
      <c r="R326" s="93"/>
      <c r="S326" s="93"/>
      <c r="T326" s="93"/>
      <c r="U326" s="93"/>
      <c r="V326" s="92"/>
      <c r="W326" s="92"/>
      <c r="X326" s="92"/>
      <c r="Y326" s="92"/>
      <c r="Z326" s="91"/>
    </row>
    <row r="327" spans="1:26" ht="14.2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4"/>
      <c r="O327" s="93"/>
      <c r="P327" s="93"/>
      <c r="Q327" s="93"/>
      <c r="R327" s="93"/>
      <c r="S327" s="93"/>
      <c r="T327" s="93"/>
      <c r="U327" s="93"/>
      <c r="V327" s="92"/>
      <c r="W327" s="92"/>
      <c r="X327" s="92"/>
      <c r="Y327" s="92"/>
      <c r="Z327" s="91"/>
    </row>
    <row r="328" spans="1:26" ht="14.2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4"/>
      <c r="O328" s="93"/>
      <c r="P328" s="93"/>
      <c r="Q328" s="93"/>
      <c r="R328" s="93"/>
      <c r="S328" s="93"/>
      <c r="T328" s="93"/>
      <c r="U328" s="93"/>
      <c r="V328" s="92"/>
      <c r="W328" s="92"/>
      <c r="X328" s="92"/>
      <c r="Y328" s="92"/>
      <c r="Z328" s="91"/>
    </row>
    <row r="329" spans="1:26" ht="14.2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4"/>
      <c r="O329" s="93"/>
      <c r="P329" s="93"/>
      <c r="Q329" s="93"/>
      <c r="R329" s="93"/>
      <c r="S329" s="93"/>
      <c r="T329" s="93"/>
      <c r="U329" s="93"/>
      <c r="V329" s="92"/>
      <c r="W329" s="92"/>
      <c r="X329" s="92"/>
      <c r="Y329" s="92"/>
      <c r="Z329" s="91"/>
    </row>
    <row r="330" spans="1:26" ht="14.2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4"/>
      <c r="O330" s="93"/>
      <c r="P330" s="93"/>
      <c r="Q330" s="93"/>
      <c r="R330" s="93"/>
      <c r="S330" s="93"/>
      <c r="T330" s="93"/>
      <c r="U330" s="93"/>
      <c r="V330" s="92"/>
      <c r="W330" s="92"/>
      <c r="X330" s="92"/>
      <c r="Y330" s="92"/>
      <c r="Z330" s="91"/>
    </row>
    <row r="331" spans="1:26" ht="14.2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4"/>
      <c r="O331" s="93"/>
      <c r="P331" s="93"/>
      <c r="Q331" s="93"/>
      <c r="R331" s="93"/>
      <c r="S331" s="93"/>
      <c r="T331" s="93"/>
      <c r="U331" s="93"/>
      <c r="V331" s="92"/>
      <c r="W331" s="92"/>
      <c r="X331" s="92"/>
      <c r="Y331" s="92"/>
      <c r="Z331" s="91"/>
    </row>
    <row r="332" spans="1:26" ht="14.2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4"/>
      <c r="O332" s="93"/>
      <c r="P332" s="93"/>
      <c r="Q332" s="93"/>
      <c r="R332" s="93"/>
      <c r="S332" s="93"/>
      <c r="T332" s="93"/>
      <c r="U332" s="93"/>
      <c r="V332" s="92"/>
      <c r="W332" s="92"/>
      <c r="X332" s="92"/>
      <c r="Y332" s="92"/>
      <c r="Z332" s="91"/>
    </row>
    <row r="333" spans="1:26" ht="14.2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4"/>
      <c r="O333" s="93"/>
      <c r="P333" s="93"/>
      <c r="Q333" s="93"/>
      <c r="R333" s="93"/>
      <c r="S333" s="93"/>
      <c r="T333" s="93"/>
      <c r="U333" s="93"/>
      <c r="V333" s="92"/>
      <c r="W333" s="92"/>
      <c r="X333" s="92"/>
      <c r="Y333" s="92"/>
      <c r="Z333" s="91"/>
    </row>
    <row r="334" spans="1:26" ht="14.2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4"/>
      <c r="O334" s="93"/>
      <c r="P334" s="93"/>
      <c r="Q334" s="93"/>
      <c r="R334" s="93"/>
      <c r="S334" s="93"/>
      <c r="T334" s="93"/>
      <c r="U334" s="93"/>
      <c r="V334" s="92"/>
      <c r="W334" s="92"/>
      <c r="X334" s="92"/>
      <c r="Y334" s="92"/>
      <c r="Z334" s="91"/>
    </row>
    <row r="335" spans="1:26" ht="14.2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4"/>
      <c r="O335" s="93"/>
      <c r="P335" s="93"/>
      <c r="Q335" s="93"/>
      <c r="R335" s="93"/>
      <c r="S335" s="93"/>
      <c r="T335" s="93"/>
      <c r="U335" s="93"/>
      <c r="V335" s="92"/>
      <c r="W335" s="92"/>
      <c r="X335" s="92"/>
      <c r="Y335" s="92"/>
      <c r="Z335" s="91"/>
    </row>
    <row r="336" spans="1:26" ht="14.2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4"/>
      <c r="O336" s="93"/>
      <c r="P336" s="93"/>
      <c r="Q336" s="93"/>
      <c r="R336" s="93"/>
      <c r="S336" s="93"/>
      <c r="T336" s="93"/>
      <c r="U336" s="93"/>
      <c r="V336" s="92"/>
      <c r="W336" s="92"/>
      <c r="X336" s="92"/>
      <c r="Y336" s="92"/>
      <c r="Z336" s="91"/>
    </row>
    <row r="337" spans="1:26" ht="14.2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4"/>
      <c r="O337" s="93"/>
      <c r="P337" s="93"/>
      <c r="Q337" s="93"/>
      <c r="R337" s="93"/>
      <c r="S337" s="93"/>
      <c r="T337" s="93"/>
      <c r="U337" s="93"/>
      <c r="V337" s="92"/>
      <c r="W337" s="92"/>
      <c r="X337" s="92"/>
      <c r="Y337" s="92"/>
      <c r="Z337" s="91"/>
    </row>
    <row r="338" spans="1:26" ht="14.2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4"/>
      <c r="O338" s="93"/>
      <c r="P338" s="93"/>
      <c r="Q338" s="93"/>
      <c r="R338" s="93"/>
      <c r="S338" s="93"/>
      <c r="T338" s="93"/>
      <c r="U338" s="93"/>
      <c r="V338" s="92"/>
      <c r="W338" s="92"/>
      <c r="X338" s="92"/>
      <c r="Y338" s="92"/>
      <c r="Z338" s="91"/>
    </row>
    <row r="339" spans="1:26" ht="14.2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4"/>
      <c r="O339" s="93"/>
      <c r="P339" s="93"/>
      <c r="Q339" s="93"/>
      <c r="R339" s="93"/>
      <c r="S339" s="93"/>
      <c r="T339" s="93"/>
      <c r="U339" s="93"/>
      <c r="V339" s="92"/>
      <c r="W339" s="92"/>
      <c r="X339" s="92"/>
      <c r="Y339" s="92"/>
      <c r="Z339" s="91"/>
    </row>
    <row r="340" spans="1:26" ht="14.2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4"/>
      <c r="O340" s="93"/>
      <c r="P340" s="93"/>
      <c r="Q340" s="93"/>
      <c r="R340" s="93"/>
      <c r="S340" s="93"/>
      <c r="T340" s="93"/>
      <c r="U340" s="93"/>
      <c r="V340" s="92"/>
      <c r="W340" s="92"/>
      <c r="X340" s="92"/>
      <c r="Y340" s="92"/>
      <c r="Z340" s="91"/>
    </row>
    <row r="341" spans="1:26" ht="14.2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4"/>
      <c r="O341" s="93"/>
      <c r="P341" s="93"/>
      <c r="Q341" s="93"/>
      <c r="R341" s="93"/>
      <c r="S341" s="93"/>
      <c r="T341" s="93"/>
      <c r="U341" s="93"/>
      <c r="V341" s="92"/>
      <c r="W341" s="92"/>
      <c r="X341" s="92"/>
      <c r="Y341" s="92"/>
      <c r="Z341" s="91"/>
    </row>
    <row r="342" spans="1:26" ht="14.2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4"/>
      <c r="O342" s="93"/>
      <c r="P342" s="93"/>
      <c r="Q342" s="93"/>
      <c r="R342" s="93"/>
      <c r="S342" s="93"/>
      <c r="T342" s="93"/>
      <c r="U342" s="93"/>
      <c r="V342" s="92"/>
      <c r="W342" s="92"/>
      <c r="X342" s="92"/>
      <c r="Y342" s="92"/>
      <c r="Z342" s="91"/>
    </row>
    <row r="343" spans="1:26" ht="14.2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4"/>
      <c r="O343" s="93"/>
      <c r="P343" s="93"/>
      <c r="Q343" s="93"/>
      <c r="R343" s="93"/>
      <c r="S343" s="93"/>
      <c r="T343" s="93"/>
      <c r="U343" s="93"/>
      <c r="V343" s="92"/>
      <c r="W343" s="92"/>
      <c r="X343" s="92"/>
      <c r="Y343" s="92"/>
      <c r="Z343" s="91"/>
    </row>
    <row r="344" spans="1:26" ht="14.2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4"/>
      <c r="O344" s="93"/>
      <c r="P344" s="93"/>
      <c r="Q344" s="93"/>
      <c r="R344" s="93"/>
      <c r="S344" s="93"/>
      <c r="T344" s="93"/>
      <c r="U344" s="93"/>
      <c r="V344" s="92"/>
      <c r="W344" s="92"/>
      <c r="X344" s="92"/>
      <c r="Y344" s="92"/>
      <c r="Z344" s="91"/>
    </row>
    <row r="345" spans="1:26" ht="14.2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4"/>
      <c r="O345" s="93"/>
      <c r="P345" s="93"/>
      <c r="Q345" s="93"/>
      <c r="R345" s="93"/>
      <c r="S345" s="93"/>
      <c r="T345" s="93"/>
      <c r="U345" s="93"/>
      <c r="V345" s="92"/>
      <c r="W345" s="92"/>
      <c r="X345" s="92"/>
      <c r="Y345" s="92"/>
      <c r="Z345" s="91"/>
    </row>
    <row r="346" spans="1:26" ht="14.25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4"/>
      <c r="O346" s="93"/>
      <c r="P346" s="93"/>
      <c r="Q346" s="93"/>
      <c r="R346" s="93"/>
      <c r="S346" s="93"/>
      <c r="T346" s="93"/>
      <c r="U346" s="93"/>
      <c r="V346" s="92"/>
      <c r="W346" s="92"/>
      <c r="X346" s="92"/>
      <c r="Y346" s="92"/>
      <c r="Z346" s="91"/>
    </row>
    <row r="347" spans="1:26" ht="14.25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4"/>
      <c r="O347" s="93"/>
      <c r="P347" s="93"/>
      <c r="Q347" s="93"/>
      <c r="R347" s="93"/>
      <c r="S347" s="93"/>
      <c r="T347" s="93"/>
      <c r="U347" s="93"/>
      <c r="V347" s="92"/>
      <c r="W347" s="92"/>
      <c r="X347" s="92"/>
      <c r="Y347" s="92"/>
      <c r="Z347" s="91"/>
    </row>
    <row r="348" spans="1:26" ht="14.25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4"/>
      <c r="O348" s="93"/>
      <c r="P348" s="93"/>
      <c r="Q348" s="93"/>
      <c r="R348" s="93"/>
      <c r="S348" s="93"/>
      <c r="T348" s="93"/>
      <c r="U348" s="93"/>
      <c r="V348" s="92"/>
      <c r="W348" s="92"/>
      <c r="X348" s="92"/>
      <c r="Y348" s="92"/>
      <c r="Z348" s="91"/>
    </row>
    <row r="349" spans="1:26" ht="14.25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4"/>
      <c r="O349" s="93"/>
      <c r="P349" s="93"/>
      <c r="Q349" s="93"/>
      <c r="R349" s="93"/>
      <c r="S349" s="93"/>
      <c r="T349" s="93"/>
      <c r="U349" s="93"/>
      <c r="V349" s="92"/>
      <c r="W349" s="92"/>
      <c r="X349" s="92"/>
      <c r="Y349" s="92"/>
      <c r="Z349" s="91"/>
    </row>
    <row r="350" spans="1:26" ht="14.25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4"/>
      <c r="O350" s="93"/>
      <c r="P350" s="93"/>
      <c r="Q350" s="93"/>
      <c r="R350" s="93"/>
      <c r="S350" s="93"/>
      <c r="T350" s="93"/>
      <c r="U350" s="93"/>
      <c r="V350" s="92"/>
      <c r="W350" s="92"/>
      <c r="X350" s="92"/>
      <c r="Y350" s="92"/>
      <c r="Z350" s="91"/>
    </row>
    <row r="351" spans="1:26" ht="14.25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4"/>
      <c r="O351" s="93"/>
      <c r="P351" s="93"/>
      <c r="Q351" s="93"/>
      <c r="R351" s="93"/>
      <c r="S351" s="93"/>
      <c r="T351" s="93"/>
      <c r="U351" s="93"/>
      <c r="V351" s="92"/>
      <c r="W351" s="92"/>
      <c r="X351" s="92"/>
      <c r="Y351" s="92"/>
      <c r="Z351" s="91"/>
    </row>
    <row r="352" spans="1:26" ht="14.25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4"/>
      <c r="O352" s="93"/>
      <c r="P352" s="93"/>
      <c r="Q352" s="93"/>
      <c r="R352" s="93"/>
      <c r="S352" s="93"/>
      <c r="T352" s="93"/>
      <c r="U352" s="93"/>
      <c r="V352" s="92"/>
      <c r="W352" s="92"/>
      <c r="X352" s="92"/>
      <c r="Y352" s="92"/>
      <c r="Z352" s="91"/>
    </row>
    <row r="353" spans="1:26" ht="14.25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4"/>
      <c r="O353" s="93"/>
      <c r="P353" s="93"/>
      <c r="Q353" s="93"/>
      <c r="R353" s="93"/>
      <c r="S353" s="93"/>
      <c r="T353" s="93"/>
      <c r="U353" s="93"/>
      <c r="V353" s="92"/>
      <c r="W353" s="92"/>
      <c r="X353" s="92"/>
      <c r="Y353" s="92"/>
      <c r="Z353" s="91"/>
    </row>
    <row r="354" spans="1:26" ht="14.25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4"/>
      <c r="O354" s="93"/>
      <c r="P354" s="93"/>
      <c r="Q354" s="93"/>
      <c r="R354" s="93"/>
      <c r="S354" s="93"/>
      <c r="T354" s="93"/>
      <c r="U354" s="93"/>
      <c r="V354" s="92"/>
      <c r="W354" s="92"/>
      <c r="X354" s="92"/>
      <c r="Y354" s="92"/>
      <c r="Z354" s="91"/>
    </row>
    <row r="355" spans="1:26" ht="14.25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4"/>
      <c r="O355" s="93"/>
      <c r="P355" s="93"/>
      <c r="Q355" s="93"/>
      <c r="R355" s="93"/>
      <c r="S355" s="93"/>
      <c r="T355" s="93"/>
      <c r="U355" s="93"/>
      <c r="V355" s="92"/>
      <c r="W355" s="92"/>
      <c r="X355" s="92"/>
      <c r="Y355" s="92"/>
      <c r="Z355" s="91"/>
    </row>
    <row r="356" spans="1:26" ht="14.25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4"/>
      <c r="O356" s="93"/>
      <c r="P356" s="93"/>
      <c r="Q356" s="93"/>
      <c r="R356" s="93"/>
      <c r="S356" s="93"/>
      <c r="T356" s="93"/>
      <c r="U356" s="93"/>
      <c r="V356" s="92"/>
      <c r="W356" s="92"/>
      <c r="X356" s="92"/>
      <c r="Y356" s="92"/>
      <c r="Z356" s="91"/>
    </row>
    <row r="357" spans="1:26" ht="14.25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4"/>
      <c r="O357" s="93"/>
      <c r="P357" s="93"/>
      <c r="Q357" s="93"/>
      <c r="R357" s="93"/>
      <c r="S357" s="93"/>
      <c r="T357" s="93"/>
      <c r="U357" s="93"/>
      <c r="V357" s="92"/>
      <c r="W357" s="92"/>
      <c r="X357" s="92"/>
      <c r="Y357" s="92"/>
      <c r="Z357" s="91"/>
    </row>
    <row r="358" spans="1:26" ht="14.25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4"/>
      <c r="O358" s="93"/>
      <c r="P358" s="93"/>
      <c r="Q358" s="93"/>
      <c r="R358" s="93"/>
      <c r="S358" s="93"/>
      <c r="T358" s="93"/>
      <c r="U358" s="93"/>
      <c r="V358" s="92"/>
      <c r="W358" s="92"/>
      <c r="X358" s="92"/>
      <c r="Y358" s="92"/>
      <c r="Z358" s="91"/>
    </row>
    <row r="359" spans="1:26" ht="14.25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4"/>
      <c r="O359" s="93"/>
      <c r="P359" s="93"/>
      <c r="Q359" s="93"/>
      <c r="R359" s="93"/>
      <c r="S359" s="93"/>
      <c r="T359" s="93"/>
      <c r="U359" s="93"/>
      <c r="V359" s="92"/>
      <c r="W359" s="92"/>
      <c r="X359" s="92"/>
      <c r="Y359" s="92"/>
      <c r="Z359" s="91"/>
    </row>
    <row r="360" spans="1:26" ht="14.25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4"/>
      <c r="O360" s="93"/>
      <c r="P360" s="93"/>
      <c r="Q360" s="93"/>
      <c r="R360" s="93"/>
      <c r="S360" s="93"/>
      <c r="T360" s="93"/>
      <c r="U360" s="93"/>
      <c r="V360" s="92"/>
      <c r="W360" s="92"/>
      <c r="X360" s="92"/>
      <c r="Y360" s="92"/>
      <c r="Z360" s="91"/>
    </row>
    <row r="361" spans="1:26" ht="14.2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4"/>
      <c r="O361" s="93"/>
      <c r="P361" s="93"/>
      <c r="Q361" s="93"/>
      <c r="R361" s="93"/>
      <c r="S361" s="93"/>
      <c r="T361" s="93"/>
      <c r="U361" s="93"/>
      <c r="V361" s="92"/>
      <c r="W361" s="92"/>
      <c r="X361" s="92"/>
      <c r="Y361" s="92"/>
      <c r="Z361" s="91"/>
    </row>
    <row r="362" spans="1:26" ht="14.2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4"/>
      <c r="O362" s="93"/>
      <c r="P362" s="93"/>
      <c r="Q362" s="93"/>
      <c r="R362" s="93"/>
      <c r="S362" s="93"/>
      <c r="T362" s="93"/>
      <c r="U362" s="93"/>
      <c r="V362" s="92"/>
      <c r="W362" s="92"/>
      <c r="X362" s="92"/>
      <c r="Y362" s="92"/>
      <c r="Z362" s="91"/>
    </row>
    <row r="363" spans="1:26" ht="14.2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4"/>
      <c r="O363" s="93"/>
      <c r="P363" s="93"/>
      <c r="Q363" s="93"/>
      <c r="R363" s="93"/>
      <c r="S363" s="93"/>
      <c r="T363" s="93"/>
      <c r="U363" s="93"/>
      <c r="V363" s="92"/>
      <c r="W363" s="92"/>
      <c r="X363" s="92"/>
      <c r="Y363" s="92"/>
      <c r="Z363" s="91"/>
    </row>
    <row r="364" spans="1:26" ht="14.2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4"/>
      <c r="O364" s="93"/>
      <c r="P364" s="93"/>
      <c r="Q364" s="93"/>
      <c r="R364" s="93"/>
      <c r="S364" s="93"/>
      <c r="T364" s="93"/>
      <c r="U364" s="93"/>
      <c r="V364" s="92"/>
      <c r="W364" s="92"/>
      <c r="X364" s="92"/>
      <c r="Y364" s="92"/>
      <c r="Z364" s="91"/>
    </row>
    <row r="365" spans="1:26" ht="14.2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4"/>
      <c r="O365" s="93"/>
      <c r="P365" s="93"/>
      <c r="Q365" s="93"/>
      <c r="R365" s="93"/>
      <c r="S365" s="93"/>
      <c r="T365" s="93"/>
      <c r="U365" s="93"/>
      <c r="V365" s="92"/>
      <c r="W365" s="92"/>
      <c r="X365" s="92"/>
      <c r="Y365" s="92"/>
      <c r="Z365" s="91"/>
    </row>
    <row r="366" spans="1:26" ht="14.2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4"/>
      <c r="O366" s="93"/>
      <c r="P366" s="93"/>
      <c r="Q366" s="93"/>
      <c r="R366" s="93"/>
      <c r="S366" s="93"/>
      <c r="T366" s="93"/>
      <c r="U366" s="93"/>
      <c r="V366" s="92"/>
      <c r="W366" s="92"/>
      <c r="X366" s="92"/>
      <c r="Y366" s="92"/>
      <c r="Z366" s="91"/>
    </row>
    <row r="367" spans="1:26" ht="14.2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4"/>
      <c r="O367" s="93"/>
      <c r="P367" s="93"/>
      <c r="Q367" s="93"/>
      <c r="R367" s="93"/>
      <c r="S367" s="93"/>
      <c r="T367" s="93"/>
      <c r="U367" s="93"/>
      <c r="V367" s="92"/>
      <c r="W367" s="92"/>
      <c r="X367" s="92"/>
      <c r="Y367" s="92"/>
      <c r="Z367" s="91"/>
    </row>
    <row r="368" spans="1:26" ht="14.2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4"/>
      <c r="O368" s="93"/>
      <c r="P368" s="93"/>
      <c r="Q368" s="93"/>
      <c r="R368" s="93"/>
      <c r="S368" s="93"/>
      <c r="T368" s="93"/>
      <c r="U368" s="93"/>
      <c r="V368" s="92"/>
      <c r="W368" s="92"/>
      <c r="X368" s="92"/>
      <c r="Y368" s="92"/>
      <c r="Z368" s="91"/>
    </row>
    <row r="369" spans="1:26" ht="14.2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4"/>
      <c r="O369" s="93"/>
      <c r="P369" s="93"/>
      <c r="Q369" s="93"/>
      <c r="R369" s="93"/>
      <c r="S369" s="93"/>
      <c r="T369" s="93"/>
      <c r="U369" s="93"/>
      <c r="V369" s="92"/>
      <c r="W369" s="92"/>
      <c r="X369" s="92"/>
      <c r="Y369" s="92"/>
      <c r="Z369" s="91"/>
    </row>
    <row r="370" spans="1:26" ht="14.2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4"/>
      <c r="O370" s="93"/>
      <c r="P370" s="93"/>
      <c r="Q370" s="93"/>
      <c r="R370" s="93"/>
      <c r="S370" s="93"/>
      <c r="T370" s="93"/>
      <c r="U370" s="93"/>
      <c r="V370" s="92"/>
      <c r="W370" s="92"/>
      <c r="X370" s="92"/>
      <c r="Y370" s="92"/>
      <c r="Z370" s="91"/>
    </row>
    <row r="371" spans="1:26" ht="14.2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4"/>
      <c r="O371" s="93"/>
      <c r="P371" s="93"/>
      <c r="Q371" s="93"/>
      <c r="R371" s="93"/>
      <c r="S371" s="93"/>
      <c r="T371" s="93"/>
      <c r="U371" s="93"/>
      <c r="V371" s="92"/>
      <c r="W371" s="92"/>
      <c r="X371" s="92"/>
      <c r="Y371" s="92"/>
      <c r="Z371" s="91"/>
    </row>
    <row r="372" spans="1:26" ht="14.2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4"/>
      <c r="O372" s="93"/>
      <c r="P372" s="93"/>
      <c r="Q372" s="93"/>
      <c r="R372" s="93"/>
      <c r="S372" s="93"/>
      <c r="T372" s="93"/>
      <c r="U372" s="93"/>
      <c r="V372" s="92"/>
      <c r="W372" s="92"/>
      <c r="X372" s="92"/>
      <c r="Y372" s="92"/>
      <c r="Z372" s="91"/>
    </row>
    <row r="373" spans="1:26" ht="14.2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4"/>
      <c r="O373" s="93"/>
      <c r="P373" s="93"/>
      <c r="Q373" s="93"/>
      <c r="R373" s="93"/>
      <c r="S373" s="93"/>
      <c r="T373" s="93"/>
      <c r="U373" s="93"/>
      <c r="V373" s="92"/>
      <c r="W373" s="92"/>
      <c r="X373" s="92"/>
      <c r="Y373" s="92"/>
      <c r="Z373" s="91"/>
    </row>
    <row r="374" spans="1:26" ht="14.2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4"/>
      <c r="O374" s="93"/>
      <c r="P374" s="93"/>
      <c r="Q374" s="93"/>
      <c r="R374" s="93"/>
      <c r="S374" s="93"/>
      <c r="T374" s="93"/>
      <c r="U374" s="93"/>
      <c r="V374" s="92"/>
      <c r="W374" s="92"/>
      <c r="X374" s="92"/>
      <c r="Y374" s="92"/>
      <c r="Z374" s="91"/>
    </row>
    <row r="375" spans="1:26" ht="14.2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4"/>
      <c r="O375" s="93"/>
      <c r="P375" s="93"/>
      <c r="Q375" s="93"/>
      <c r="R375" s="93"/>
      <c r="S375" s="93"/>
      <c r="T375" s="93"/>
      <c r="U375" s="93"/>
      <c r="V375" s="92"/>
      <c r="W375" s="92"/>
      <c r="X375" s="92"/>
      <c r="Y375" s="92"/>
      <c r="Z375" s="91"/>
    </row>
    <row r="376" spans="1:26" ht="14.2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4"/>
      <c r="O376" s="93"/>
      <c r="P376" s="93"/>
      <c r="Q376" s="93"/>
      <c r="R376" s="93"/>
      <c r="S376" s="93"/>
      <c r="T376" s="93"/>
      <c r="U376" s="93"/>
      <c r="V376" s="92"/>
      <c r="W376" s="92"/>
      <c r="X376" s="92"/>
      <c r="Y376" s="92"/>
      <c r="Z376" s="91"/>
    </row>
    <row r="377" spans="1:26" ht="14.2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4"/>
      <c r="O377" s="93"/>
      <c r="P377" s="93"/>
      <c r="Q377" s="93"/>
      <c r="R377" s="93"/>
      <c r="S377" s="93"/>
      <c r="T377" s="93"/>
      <c r="U377" s="93"/>
      <c r="V377" s="92"/>
      <c r="W377" s="92"/>
      <c r="X377" s="92"/>
      <c r="Y377" s="92"/>
      <c r="Z377" s="91"/>
    </row>
    <row r="378" spans="1:26" ht="14.2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4"/>
      <c r="O378" s="93"/>
      <c r="P378" s="93"/>
      <c r="Q378" s="93"/>
      <c r="R378" s="93"/>
      <c r="S378" s="93"/>
      <c r="T378" s="93"/>
      <c r="U378" s="93"/>
      <c r="V378" s="92"/>
      <c r="W378" s="92"/>
      <c r="X378" s="92"/>
      <c r="Y378" s="92"/>
      <c r="Z378" s="91"/>
    </row>
    <row r="379" spans="1:26" ht="14.2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4"/>
      <c r="O379" s="93"/>
      <c r="P379" s="93"/>
      <c r="Q379" s="93"/>
      <c r="R379" s="93"/>
      <c r="S379" s="93"/>
      <c r="T379" s="93"/>
      <c r="U379" s="93"/>
      <c r="V379" s="92"/>
      <c r="W379" s="92"/>
      <c r="X379" s="92"/>
      <c r="Y379" s="92"/>
      <c r="Z379" s="91"/>
    </row>
    <row r="380" spans="1:26" ht="14.2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4"/>
      <c r="O380" s="93"/>
      <c r="P380" s="93"/>
      <c r="Q380" s="93"/>
      <c r="R380" s="93"/>
      <c r="S380" s="93"/>
      <c r="T380" s="93"/>
      <c r="U380" s="93"/>
      <c r="V380" s="92"/>
      <c r="W380" s="92"/>
      <c r="X380" s="92"/>
      <c r="Y380" s="92"/>
      <c r="Z380" s="91"/>
    </row>
    <row r="381" spans="1:26" ht="14.2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4"/>
      <c r="O381" s="93"/>
      <c r="P381" s="93"/>
      <c r="Q381" s="93"/>
      <c r="R381" s="93"/>
      <c r="S381" s="93"/>
      <c r="T381" s="93"/>
      <c r="U381" s="93"/>
      <c r="V381" s="92"/>
      <c r="W381" s="92"/>
      <c r="X381" s="92"/>
      <c r="Y381" s="92"/>
      <c r="Z381" s="91"/>
    </row>
    <row r="382" spans="1:26" ht="14.2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4"/>
      <c r="O382" s="93"/>
      <c r="P382" s="93"/>
      <c r="Q382" s="93"/>
      <c r="R382" s="93"/>
      <c r="S382" s="93"/>
      <c r="T382" s="93"/>
      <c r="U382" s="93"/>
      <c r="V382" s="92"/>
      <c r="W382" s="92"/>
      <c r="X382" s="92"/>
      <c r="Y382" s="92"/>
      <c r="Z382" s="91"/>
    </row>
    <row r="383" spans="1:26" ht="14.2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4"/>
      <c r="O383" s="93"/>
      <c r="P383" s="93"/>
      <c r="Q383" s="93"/>
      <c r="R383" s="93"/>
      <c r="S383" s="93"/>
      <c r="T383" s="93"/>
      <c r="U383" s="93"/>
      <c r="V383" s="92"/>
      <c r="W383" s="92"/>
      <c r="X383" s="92"/>
      <c r="Y383" s="92"/>
      <c r="Z383" s="91"/>
    </row>
    <row r="384" spans="1:26" ht="14.2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4"/>
      <c r="O384" s="93"/>
      <c r="P384" s="93"/>
      <c r="Q384" s="93"/>
      <c r="R384" s="93"/>
      <c r="S384" s="93"/>
      <c r="T384" s="93"/>
      <c r="U384" s="93"/>
      <c r="V384" s="92"/>
      <c r="W384" s="92"/>
      <c r="X384" s="92"/>
      <c r="Y384" s="92"/>
      <c r="Z384" s="91"/>
    </row>
    <row r="385" spans="1:26" ht="14.2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4"/>
      <c r="O385" s="93"/>
      <c r="P385" s="93"/>
      <c r="Q385" s="93"/>
      <c r="R385" s="93"/>
      <c r="S385" s="93"/>
      <c r="T385" s="93"/>
      <c r="U385" s="93"/>
      <c r="V385" s="92"/>
      <c r="W385" s="92"/>
      <c r="X385" s="92"/>
      <c r="Y385" s="92"/>
      <c r="Z385" s="91"/>
    </row>
    <row r="386" spans="1:26" ht="14.2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4"/>
      <c r="O386" s="93"/>
      <c r="P386" s="93"/>
      <c r="Q386" s="93"/>
      <c r="R386" s="93"/>
      <c r="S386" s="93"/>
      <c r="T386" s="93"/>
      <c r="U386" s="93"/>
      <c r="V386" s="92"/>
      <c r="W386" s="92"/>
      <c r="X386" s="92"/>
      <c r="Y386" s="92"/>
      <c r="Z386" s="91"/>
    </row>
    <row r="387" spans="1:26" ht="14.2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4"/>
      <c r="O387" s="93"/>
      <c r="P387" s="93"/>
      <c r="Q387" s="93"/>
      <c r="R387" s="93"/>
      <c r="S387" s="93"/>
      <c r="T387" s="93"/>
      <c r="U387" s="93"/>
      <c r="V387" s="92"/>
      <c r="W387" s="92"/>
      <c r="X387" s="92"/>
      <c r="Y387" s="92"/>
      <c r="Z387" s="91"/>
    </row>
    <row r="388" spans="1:26" ht="14.2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4"/>
      <c r="O388" s="93"/>
      <c r="P388" s="93"/>
      <c r="Q388" s="93"/>
      <c r="R388" s="93"/>
      <c r="S388" s="93"/>
      <c r="T388" s="93"/>
      <c r="U388" s="93"/>
      <c r="V388" s="92"/>
      <c r="W388" s="92"/>
      <c r="X388" s="92"/>
      <c r="Y388" s="92"/>
      <c r="Z388" s="91"/>
    </row>
    <row r="389" spans="1:26" ht="14.2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4"/>
      <c r="O389" s="93"/>
      <c r="P389" s="93"/>
      <c r="Q389" s="93"/>
      <c r="R389" s="93"/>
      <c r="S389" s="93"/>
      <c r="T389" s="93"/>
      <c r="U389" s="93"/>
      <c r="V389" s="92"/>
      <c r="W389" s="92"/>
      <c r="X389" s="92"/>
      <c r="Y389" s="92"/>
      <c r="Z389" s="91"/>
    </row>
    <row r="390" spans="1:26" ht="14.2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4"/>
      <c r="O390" s="93"/>
      <c r="P390" s="93"/>
      <c r="Q390" s="93"/>
      <c r="R390" s="93"/>
      <c r="S390" s="93"/>
      <c r="T390" s="93"/>
      <c r="U390" s="93"/>
      <c r="V390" s="92"/>
      <c r="W390" s="92"/>
      <c r="X390" s="92"/>
      <c r="Y390" s="92"/>
      <c r="Z390" s="91"/>
    </row>
    <row r="391" spans="1:26" ht="14.2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4"/>
      <c r="O391" s="93"/>
      <c r="P391" s="93"/>
      <c r="Q391" s="93"/>
      <c r="R391" s="93"/>
      <c r="S391" s="93"/>
      <c r="T391" s="93"/>
      <c r="U391" s="93"/>
      <c r="V391" s="92"/>
      <c r="W391" s="92"/>
      <c r="X391" s="92"/>
      <c r="Y391" s="92"/>
      <c r="Z391" s="91"/>
    </row>
    <row r="392" spans="1:26" ht="14.2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4"/>
      <c r="O392" s="93"/>
      <c r="P392" s="93"/>
      <c r="Q392" s="93"/>
      <c r="R392" s="93"/>
      <c r="S392" s="93"/>
      <c r="T392" s="93"/>
      <c r="U392" s="93"/>
      <c r="V392" s="92"/>
      <c r="W392" s="92"/>
      <c r="X392" s="92"/>
      <c r="Y392" s="92"/>
      <c r="Z392" s="91"/>
    </row>
    <row r="393" spans="1:26" ht="14.2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4"/>
      <c r="O393" s="93"/>
      <c r="P393" s="93"/>
      <c r="Q393" s="93"/>
      <c r="R393" s="93"/>
      <c r="S393" s="93"/>
      <c r="T393" s="93"/>
      <c r="U393" s="93"/>
      <c r="V393" s="92"/>
      <c r="W393" s="92"/>
      <c r="X393" s="92"/>
      <c r="Y393" s="92"/>
      <c r="Z393" s="91"/>
    </row>
    <row r="394" spans="1:26" ht="14.2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4"/>
      <c r="O394" s="93"/>
      <c r="P394" s="93"/>
      <c r="Q394" s="93"/>
      <c r="R394" s="93"/>
      <c r="S394" s="93"/>
      <c r="T394" s="93"/>
      <c r="U394" s="93"/>
      <c r="V394" s="92"/>
      <c r="W394" s="92"/>
      <c r="X394" s="92"/>
      <c r="Y394" s="92"/>
      <c r="Z394" s="91"/>
    </row>
    <row r="395" spans="1:26" ht="14.2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4"/>
      <c r="O395" s="93"/>
      <c r="P395" s="93"/>
      <c r="Q395" s="93"/>
      <c r="R395" s="93"/>
      <c r="S395" s="93"/>
      <c r="T395" s="93"/>
      <c r="U395" s="93"/>
      <c r="V395" s="92"/>
      <c r="W395" s="92"/>
      <c r="X395" s="92"/>
      <c r="Y395" s="92"/>
      <c r="Z395" s="91"/>
    </row>
    <row r="396" spans="1:26" ht="14.2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4"/>
      <c r="O396" s="93"/>
      <c r="P396" s="93"/>
      <c r="Q396" s="93"/>
      <c r="R396" s="93"/>
      <c r="S396" s="93"/>
      <c r="T396" s="93"/>
      <c r="U396" s="93"/>
      <c r="V396" s="92"/>
      <c r="W396" s="92"/>
      <c r="X396" s="92"/>
      <c r="Y396" s="92"/>
      <c r="Z396" s="91"/>
    </row>
    <row r="397" spans="1:26" ht="14.2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4"/>
      <c r="O397" s="93"/>
      <c r="P397" s="93"/>
      <c r="Q397" s="93"/>
      <c r="R397" s="93"/>
      <c r="S397" s="93"/>
      <c r="T397" s="93"/>
      <c r="U397" s="93"/>
      <c r="V397" s="92"/>
      <c r="W397" s="92"/>
      <c r="X397" s="92"/>
      <c r="Y397" s="92"/>
      <c r="Z397" s="91"/>
    </row>
    <row r="398" spans="1:26" ht="14.2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4"/>
      <c r="O398" s="93"/>
      <c r="P398" s="93"/>
      <c r="Q398" s="93"/>
      <c r="R398" s="93"/>
      <c r="S398" s="93"/>
      <c r="T398" s="93"/>
      <c r="U398" s="93"/>
      <c r="V398" s="92"/>
      <c r="W398" s="92"/>
      <c r="X398" s="92"/>
      <c r="Y398" s="92"/>
      <c r="Z398" s="91"/>
    </row>
    <row r="399" spans="1:26" ht="14.2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4"/>
      <c r="O399" s="93"/>
      <c r="P399" s="93"/>
      <c r="Q399" s="93"/>
      <c r="R399" s="93"/>
      <c r="S399" s="93"/>
      <c r="T399" s="93"/>
      <c r="U399" s="93"/>
      <c r="V399" s="92"/>
      <c r="W399" s="92"/>
      <c r="X399" s="92"/>
      <c r="Y399" s="92"/>
      <c r="Z399" s="91"/>
    </row>
    <row r="400" spans="1:26" ht="14.2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4"/>
      <c r="O400" s="93"/>
      <c r="P400" s="93"/>
      <c r="Q400" s="93"/>
      <c r="R400" s="93"/>
      <c r="S400" s="93"/>
      <c r="T400" s="93"/>
      <c r="U400" s="93"/>
      <c r="V400" s="92"/>
      <c r="W400" s="92"/>
      <c r="X400" s="92"/>
      <c r="Y400" s="92"/>
      <c r="Z400" s="91"/>
    </row>
    <row r="401" spans="1:26" ht="14.2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4"/>
      <c r="O401" s="93"/>
      <c r="P401" s="93"/>
      <c r="Q401" s="93"/>
      <c r="R401" s="93"/>
      <c r="S401" s="93"/>
      <c r="T401" s="93"/>
      <c r="U401" s="93"/>
      <c r="V401" s="92"/>
      <c r="W401" s="92"/>
      <c r="X401" s="92"/>
      <c r="Y401" s="92"/>
      <c r="Z401" s="91"/>
    </row>
    <row r="402" spans="1:26" ht="14.2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4"/>
      <c r="O402" s="93"/>
      <c r="P402" s="93"/>
      <c r="Q402" s="93"/>
      <c r="R402" s="93"/>
      <c r="S402" s="93"/>
      <c r="T402" s="93"/>
      <c r="U402" s="93"/>
      <c r="V402" s="92"/>
      <c r="W402" s="92"/>
      <c r="X402" s="92"/>
      <c r="Y402" s="92"/>
      <c r="Z402" s="91"/>
    </row>
    <row r="403" spans="1:26" ht="14.2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4"/>
      <c r="O403" s="93"/>
      <c r="P403" s="93"/>
      <c r="Q403" s="93"/>
      <c r="R403" s="93"/>
      <c r="S403" s="93"/>
      <c r="T403" s="93"/>
      <c r="U403" s="93"/>
      <c r="V403" s="92"/>
      <c r="W403" s="92"/>
      <c r="X403" s="92"/>
      <c r="Y403" s="92"/>
      <c r="Z403" s="91"/>
    </row>
    <row r="404" spans="1:26" ht="14.2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4"/>
      <c r="O404" s="93"/>
      <c r="P404" s="93"/>
      <c r="Q404" s="93"/>
      <c r="R404" s="93"/>
      <c r="S404" s="93"/>
      <c r="T404" s="93"/>
      <c r="U404" s="93"/>
      <c r="V404" s="92"/>
      <c r="W404" s="92"/>
      <c r="X404" s="92"/>
      <c r="Y404" s="92"/>
      <c r="Z404" s="91"/>
    </row>
    <row r="405" spans="1:26" ht="14.2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4"/>
      <c r="O405" s="93"/>
      <c r="P405" s="93"/>
      <c r="Q405" s="93"/>
      <c r="R405" s="93"/>
      <c r="S405" s="93"/>
      <c r="T405" s="93"/>
      <c r="U405" s="93"/>
      <c r="V405" s="92"/>
      <c r="W405" s="92"/>
      <c r="X405" s="92"/>
      <c r="Y405" s="92"/>
      <c r="Z405" s="91"/>
    </row>
    <row r="406" spans="1:26" ht="14.2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4"/>
      <c r="O406" s="93"/>
      <c r="P406" s="93"/>
      <c r="Q406" s="93"/>
      <c r="R406" s="93"/>
      <c r="S406" s="93"/>
      <c r="T406" s="93"/>
      <c r="U406" s="93"/>
      <c r="V406" s="92"/>
      <c r="W406" s="92"/>
      <c r="X406" s="92"/>
      <c r="Y406" s="92"/>
      <c r="Z406" s="91"/>
    </row>
    <row r="407" spans="1:26" ht="14.2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4"/>
      <c r="O407" s="93"/>
      <c r="P407" s="93"/>
      <c r="Q407" s="93"/>
      <c r="R407" s="93"/>
      <c r="S407" s="93"/>
      <c r="T407" s="93"/>
      <c r="U407" s="93"/>
      <c r="V407" s="92"/>
      <c r="W407" s="92"/>
      <c r="X407" s="92"/>
      <c r="Y407" s="92"/>
      <c r="Z407" s="91"/>
    </row>
    <row r="408" spans="1:26" ht="14.2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4"/>
      <c r="O408" s="93"/>
      <c r="P408" s="93"/>
      <c r="Q408" s="93"/>
      <c r="R408" s="93"/>
      <c r="S408" s="93"/>
      <c r="T408" s="93"/>
      <c r="U408" s="93"/>
      <c r="V408" s="92"/>
      <c r="W408" s="92"/>
      <c r="X408" s="92"/>
      <c r="Y408" s="92"/>
      <c r="Z408" s="91"/>
    </row>
    <row r="409" spans="1:26" ht="14.2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4"/>
      <c r="O409" s="93"/>
      <c r="P409" s="93"/>
      <c r="Q409" s="93"/>
      <c r="R409" s="93"/>
      <c r="S409" s="93"/>
      <c r="T409" s="93"/>
      <c r="U409" s="93"/>
      <c r="V409" s="92"/>
      <c r="W409" s="92"/>
      <c r="X409" s="92"/>
      <c r="Y409" s="92"/>
      <c r="Z409" s="91"/>
    </row>
    <row r="410" spans="1:26" ht="14.2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4"/>
      <c r="O410" s="93"/>
      <c r="P410" s="93"/>
      <c r="Q410" s="93"/>
      <c r="R410" s="93"/>
      <c r="S410" s="93"/>
      <c r="T410" s="93"/>
      <c r="U410" s="93"/>
      <c r="V410" s="92"/>
      <c r="W410" s="92"/>
      <c r="X410" s="92"/>
      <c r="Y410" s="92"/>
      <c r="Z410" s="91"/>
    </row>
    <row r="411" spans="1:26" ht="14.2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4"/>
      <c r="O411" s="93"/>
      <c r="P411" s="93"/>
      <c r="Q411" s="93"/>
      <c r="R411" s="93"/>
      <c r="S411" s="93"/>
      <c r="T411" s="93"/>
      <c r="U411" s="93"/>
      <c r="V411" s="92"/>
      <c r="W411" s="92"/>
      <c r="X411" s="92"/>
      <c r="Y411" s="92"/>
      <c r="Z411" s="91"/>
    </row>
    <row r="412" spans="1:26" ht="14.2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4"/>
      <c r="O412" s="93"/>
      <c r="P412" s="93"/>
      <c r="Q412" s="93"/>
      <c r="R412" s="93"/>
      <c r="S412" s="93"/>
      <c r="T412" s="93"/>
      <c r="U412" s="93"/>
      <c r="V412" s="92"/>
      <c r="W412" s="92"/>
      <c r="X412" s="92"/>
      <c r="Y412" s="92"/>
      <c r="Z412" s="91"/>
    </row>
    <row r="413" spans="1:26" ht="14.2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4"/>
      <c r="O413" s="93"/>
      <c r="P413" s="93"/>
      <c r="Q413" s="93"/>
      <c r="R413" s="93"/>
      <c r="S413" s="93"/>
      <c r="T413" s="93"/>
      <c r="U413" s="93"/>
      <c r="V413" s="92"/>
      <c r="W413" s="92"/>
      <c r="X413" s="92"/>
      <c r="Y413" s="92"/>
      <c r="Z413" s="91"/>
    </row>
    <row r="414" spans="1:26" ht="14.2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4"/>
      <c r="O414" s="93"/>
      <c r="P414" s="93"/>
      <c r="Q414" s="93"/>
      <c r="R414" s="93"/>
      <c r="S414" s="93"/>
      <c r="T414" s="93"/>
      <c r="U414" s="93"/>
      <c r="V414" s="92"/>
      <c r="W414" s="92"/>
      <c r="X414" s="92"/>
      <c r="Y414" s="92"/>
      <c r="Z414" s="91"/>
    </row>
    <row r="415" spans="1:26" ht="14.2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4"/>
      <c r="O415" s="93"/>
      <c r="P415" s="93"/>
      <c r="Q415" s="93"/>
      <c r="R415" s="93"/>
      <c r="S415" s="93"/>
      <c r="T415" s="93"/>
      <c r="U415" s="93"/>
      <c r="V415" s="92"/>
      <c r="W415" s="92"/>
      <c r="X415" s="92"/>
      <c r="Y415" s="92"/>
      <c r="Z415" s="91"/>
    </row>
    <row r="416" spans="1:26" ht="14.2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4"/>
      <c r="O416" s="93"/>
      <c r="P416" s="93"/>
      <c r="Q416" s="93"/>
      <c r="R416" s="93"/>
      <c r="S416" s="93"/>
      <c r="T416" s="93"/>
      <c r="U416" s="93"/>
      <c r="V416" s="92"/>
      <c r="W416" s="92"/>
      <c r="X416" s="92"/>
      <c r="Y416" s="92"/>
      <c r="Z416" s="91"/>
    </row>
    <row r="417" spans="1:26" ht="14.2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4"/>
      <c r="O417" s="93"/>
      <c r="P417" s="93"/>
      <c r="Q417" s="93"/>
      <c r="R417" s="93"/>
      <c r="S417" s="93"/>
      <c r="T417" s="93"/>
      <c r="U417" s="93"/>
      <c r="V417" s="92"/>
      <c r="W417" s="92"/>
      <c r="X417" s="92"/>
      <c r="Y417" s="92"/>
      <c r="Z417" s="91"/>
    </row>
    <row r="418" spans="1:26" ht="14.2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4"/>
      <c r="O418" s="93"/>
      <c r="P418" s="93"/>
      <c r="Q418" s="93"/>
      <c r="R418" s="93"/>
      <c r="S418" s="93"/>
      <c r="T418" s="93"/>
      <c r="U418" s="93"/>
      <c r="V418" s="92"/>
      <c r="W418" s="92"/>
      <c r="X418" s="92"/>
      <c r="Y418" s="92"/>
      <c r="Z418" s="91"/>
    </row>
    <row r="419" spans="1:26" ht="14.2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4"/>
      <c r="O419" s="93"/>
      <c r="P419" s="93"/>
      <c r="Q419" s="93"/>
      <c r="R419" s="93"/>
      <c r="S419" s="93"/>
      <c r="T419" s="93"/>
      <c r="U419" s="93"/>
      <c r="V419" s="92"/>
      <c r="W419" s="92"/>
      <c r="X419" s="92"/>
      <c r="Y419" s="92"/>
      <c r="Z419" s="91"/>
    </row>
    <row r="420" spans="1:26" ht="14.2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4"/>
      <c r="O420" s="93"/>
      <c r="P420" s="93"/>
      <c r="Q420" s="93"/>
      <c r="R420" s="93"/>
      <c r="S420" s="93"/>
      <c r="T420" s="93"/>
      <c r="U420" s="93"/>
      <c r="V420" s="92"/>
      <c r="W420" s="92"/>
      <c r="X420" s="92"/>
      <c r="Y420" s="92"/>
      <c r="Z420" s="91"/>
    </row>
    <row r="421" spans="1:26" ht="14.2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4"/>
      <c r="O421" s="93"/>
      <c r="P421" s="93"/>
      <c r="Q421" s="93"/>
      <c r="R421" s="93"/>
      <c r="S421" s="93"/>
      <c r="T421" s="93"/>
      <c r="U421" s="93"/>
      <c r="V421" s="92"/>
      <c r="W421" s="92"/>
      <c r="X421" s="92"/>
      <c r="Y421" s="92"/>
      <c r="Z421" s="91"/>
    </row>
    <row r="422" spans="1:26" ht="14.2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4"/>
      <c r="O422" s="93"/>
      <c r="P422" s="93"/>
      <c r="Q422" s="93"/>
      <c r="R422" s="93"/>
      <c r="S422" s="93"/>
      <c r="T422" s="93"/>
      <c r="U422" s="93"/>
      <c r="V422" s="92"/>
      <c r="W422" s="92"/>
      <c r="X422" s="92"/>
      <c r="Y422" s="92"/>
      <c r="Z422" s="91"/>
    </row>
    <row r="423" spans="1:26" ht="14.2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4"/>
      <c r="O423" s="93"/>
      <c r="P423" s="93"/>
      <c r="Q423" s="93"/>
      <c r="R423" s="93"/>
      <c r="S423" s="93"/>
      <c r="T423" s="93"/>
      <c r="U423" s="93"/>
      <c r="V423" s="92"/>
      <c r="W423" s="92"/>
      <c r="X423" s="92"/>
      <c r="Y423" s="92"/>
      <c r="Z423" s="91"/>
    </row>
    <row r="424" spans="1:26" ht="14.2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4"/>
      <c r="O424" s="93"/>
      <c r="P424" s="93"/>
      <c r="Q424" s="93"/>
      <c r="R424" s="93"/>
      <c r="S424" s="93"/>
      <c r="T424" s="93"/>
      <c r="U424" s="93"/>
      <c r="V424" s="92"/>
      <c r="W424" s="92"/>
      <c r="X424" s="92"/>
      <c r="Y424" s="92"/>
      <c r="Z424" s="91"/>
    </row>
    <row r="425" spans="1:26" ht="14.2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4"/>
      <c r="O425" s="93"/>
      <c r="P425" s="93"/>
      <c r="Q425" s="93"/>
      <c r="R425" s="93"/>
      <c r="S425" s="93"/>
      <c r="T425" s="93"/>
      <c r="U425" s="93"/>
      <c r="V425" s="92"/>
      <c r="W425" s="92"/>
      <c r="X425" s="92"/>
      <c r="Y425" s="92"/>
      <c r="Z425" s="91"/>
    </row>
    <row r="426" spans="1:26" ht="14.2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4"/>
      <c r="O426" s="93"/>
      <c r="P426" s="93"/>
      <c r="Q426" s="93"/>
      <c r="R426" s="93"/>
      <c r="S426" s="93"/>
      <c r="T426" s="93"/>
      <c r="U426" s="93"/>
      <c r="V426" s="92"/>
      <c r="W426" s="92"/>
      <c r="X426" s="92"/>
      <c r="Y426" s="92"/>
      <c r="Z426" s="91"/>
    </row>
    <row r="427" spans="1:26" ht="14.2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4"/>
      <c r="O427" s="93"/>
      <c r="P427" s="93"/>
      <c r="Q427" s="93"/>
      <c r="R427" s="93"/>
      <c r="S427" s="93"/>
      <c r="T427" s="93"/>
      <c r="U427" s="93"/>
      <c r="V427" s="92"/>
      <c r="W427" s="92"/>
      <c r="X427" s="92"/>
      <c r="Y427" s="92"/>
      <c r="Z427" s="91"/>
    </row>
    <row r="428" spans="1:26" ht="14.2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4"/>
      <c r="O428" s="93"/>
      <c r="P428" s="93"/>
      <c r="Q428" s="93"/>
      <c r="R428" s="93"/>
      <c r="S428" s="93"/>
      <c r="T428" s="93"/>
      <c r="U428" s="93"/>
      <c r="V428" s="92"/>
      <c r="W428" s="92"/>
      <c r="X428" s="92"/>
      <c r="Y428" s="92"/>
      <c r="Z428" s="91"/>
    </row>
    <row r="429" spans="1:26" ht="14.2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4"/>
      <c r="O429" s="93"/>
      <c r="P429" s="93"/>
      <c r="Q429" s="93"/>
      <c r="R429" s="93"/>
      <c r="S429" s="93"/>
      <c r="T429" s="93"/>
      <c r="U429" s="93"/>
      <c r="V429" s="92"/>
      <c r="W429" s="92"/>
      <c r="X429" s="92"/>
      <c r="Y429" s="92"/>
      <c r="Z429" s="91"/>
    </row>
    <row r="430" spans="1:26" ht="14.2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4"/>
      <c r="O430" s="93"/>
      <c r="P430" s="93"/>
      <c r="Q430" s="93"/>
      <c r="R430" s="93"/>
      <c r="S430" s="93"/>
      <c r="T430" s="93"/>
      <c r="U430" s="93"/>
      <c r="V430" s="92"/>
      <c r="W430" s="92"/>
      <c r="X430" s="92"/>
      <c r="Y430" s="92"/>
      <c r="Z430" s="91"/>
    </row>
    <row r="431" spans="1:26" ht="14.2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4"/>
      <c r="O431" s="93"/>
      <c r="P431" s="93"/>
      <c r="Q431" s="93"/>
      <c r="R431" s="93"/>
      <c r="S431" s="93"/>
      <c r="T431" s="93"/>
      <c r="U431" s="93"/>
      <c r="V431" s="92"/>
      <c r="W431" s="92"/>
      <c r="X431" s="92"/>
      <c r="Y431" s="92"/>
      <c r="Z431" s="91"/>
    </row>
    <row r="432" spans="1:26" ht="14.2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4"/>
      <c r="O432" s="93"/>
      <c r="P432" s="93"/>
      <c r="Q432" s="93"/>
      <c r="R432" s="93"/>
      <c r="S432" s="93"/>
      <c r="T432" s="93"/>
      <c r="U432" s="93"/>
      <c r="V432" s="92"/>
      <c r="W432" s="92"/>
      <c r="X432" s="92"/>
      <c r="Y432" s="92"/>
      <c r="Z432" s="91"/>
    </row>
    <row r="433" spans="1:26" ht="14.2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4"/>
      <c r="O433" s="93"/>
      <c r="P433" s="93"/>
      <c r="Q433" s="93"/>
      <c r="R433" s="93"/>
      <c r="S433" s="93"/>
      <c r="T433" s="93"/>
      <c r="U433" s="93"/>
      <c r="V433" s="92"/>
      <c r="W433" s="92"/>
      <c r="X433" s="92"/>
      <c r="Y433" s="92"/>
      <c r="Z433" s="91"/>
    </row>
    <row r="434" spans="1:26" ht="14.2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4"/>
      <c r="O434" s="93"/>
      <c r="P434" s="93"/>
      <c r="Q434" s="93"/>
      <c r="R434" s="93"/>
      <c r="S434" s="93"/>
      <c r="T434" s="93"/>
      <c r="U434" s="93"/>
      <c r="V434" s="92"/>
      <c r="W434" s="92"/>
      <c r="X434" s="92"/>
      <c r="Y434" s="92"/>
      <c r="Z434" s="91"/>
    </row>
    <row r="435" spans="1:26" ht="14.25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4"/>
      <c r="O435" s="93"/>
      <c r="P435" s="93"/>
      <c r="Q435" s="93"/>
      <c r="R435" s="93"/>
      <c r="S435" s="93"/>
      <c r="T435" s="93"/>
      <c r="U435" s="93"/>
      <c r="V435" s="92"/>
      <c r="W435" s="92"/>
      <c r="X435" s="92"/>
      <c r="Y435" s="92"/>
      <c r="Z435" s="91"/>
    </row>
    <row r="436" spans="1:26" ht="14.25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4"/>
      <c r="O436" s="93"/>
      <c r="P436" s="93"/>
      <c r="Q436" s="93"/>
      <c r="R436" s="93"/>
      <c r="S436" s="93"/>
      <c r="T436" s="93"/>
      <c r="U436" s="93"/>
      <c r="V436" s="92"/>
      <c r="W436" s="92"/>
      <c r="X436" s="92"/>
      <c r="Y436" s="92"/>
      <c r="Z436" s="91"/>
    </row>
    <row r="437" spans="1:26" ht="14.25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4"/>
      <c r="O437" s="93"/>
      <c r="P437" s="93"/>
      <c r="Q437" s="93"/>
      <c r="R437" s="93"/>
      <c r="S437" s="93"/>
      <c r="T437" s="93"/>
      <c r="U437" s="93"/>
      <c r="V437" s="92"/>
      <c r="W437" s="92"/>
      <c r="X437" s="92"/>
      <c r="Y437" s="92"/>
      <c r="Z437" s="91"/>
    </row>
    <row r="438" spans="1:26" ht="14.25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4"/>
      <c r="O438" s="93"/>
      <c r="P438" s="93"/>
      <c r="Q438" s="93"/>
      <c r="R438" s="93"/>
      <c r="S438" s="93"/>
      <c r="T438" s="93"/>
      <c r="U438" s="93"/>
      <c r="V438" s="92"/>
      <c r="W438" s="92"/>
      <c r="X438" s="92"/>
      <c r="Y438" s="92"/>
      <c r="Z438" s="91"/>
    </row>
    <row r="439" spans="1:26" ht="14.25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4"/>
      <c r="O439" s="93"/>
      <c r="P439" s="93"/>
      <c r="Q439" s="93"/>
      <c r="R439" s="93"/>
      <c r="S439" s="93"/>
      <c r="T439" s="93"/>
      <c r="U439" s="93"/>
      <c r="V439" s="92"/>
      <c r="W439" s="92"/>
      <c r="X439" s="92"/>
      <c r="Y439" s="92"/>
      <c r="Z439" s="91"/>
    </row>
    <row r="440" spans="1:26" ht="14.25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4"/>
      <c r="O440" s="93"/>
      <c r="P440" s="93"/>
      <c r="Q440" s="93"/>
      <c r="R440" s="93"/>
      <c r="S440" s="93"/>
      <c r="T440" s="93"/>
      <c r="U440" s="93"/>
      <c r="V440" s="92"/>
      <c r="W440" s="92"/>
      <c r="X440" s="92"/>
      <c r="Y440" s="92"/>
      <c r="Z440" s="91"/>
    </row>
    <row r="441" spans="1:26" ht="14.25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4"/>
      <c r="O441" s="93"/>
      <c r="P441" s="93"/>
      <c r="Q441" s="93"/>
      <c r="R441" s="93"/>
      <c r="S441" s="93"/>
      <c r="T441" s="93"/>
      <c r="U441" s="93"/>
      <c r="V441" s="92"/>
      <c r="W441" s="92"/>
      <c r="X441" s="92"/>
      <c r="Y441" s="92"/>
      <c r="Z441" s="91"/>
    </row>
    <row r="442" spans="1:26" ht="14.25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4"/>
      <c r="O442" s="93"/>
      <c r="P442" s="93"/>
      <c r="Q442" s="93"/>
      <c r="R442" s="93"/>
      <c r="S442" s="93"/>
      <c r="T442" s="93"/>
      <c r="U442" s="93"/>
      <c r="V442" s="92"/>
      <c r="W442" s="92"/>
      <c r="X442" s="92"/>
      <c r="Y442" s="92"/>
      <c r="Z442" s="91"/>
    </row>
    <row r="443" spans="1:26" ht="14.25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4"/>
      <c r="O443" s="93"/>
      <c r="P443" s="93"/>
      <c r="Q443" s="93"/>
      <c r="R443" s="93"/>
      <c r="S443" s="93"/>
      <c r="T443" s="93"/>
      <c r="U443" s="93"/>
      <c r="V443" s="92"/>
      <c r="W443" s="92"/>
      <c r="X443" s="92"/>
      <c r="Y443" s="92"/>
      <c r="Z443" s="91"/>
    </row>
    <row r="444" spans="1:26" ht="14.25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4"/>
      <c r="O444" s="93"/>
      <c r="P444" s="93"/>
      <c r="Q444" s="93"/>
      <c r="R444" s="93"/>
      <c r="S444" s="93"/>
      <c r="T444" s="93"/>
      <c r="U444" s="93"/>
      <c r="V444" s="92"/>
      <c r="W444" s="92"/>
      <c r="X444" s="92"/>
      <c r="Y444" s="92"/>
      <c r="Z444" s="91"/>
    </row>
    <row r="445" spans="1:26" ht="14.25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4"/>
      <c r="O445" s="93"/>
      <c r="P445" s="93"/>
      <c r="Q445" s="93"/>
      <c r="R445" s="93"/>
      <c r="S445" s="93"/>
      <c r="T445" s="93"/>
      <c r="U445" s="93"/>
      <c r="V445" s="92"/>
      <c r="W445" s="92"/>
      <c r="X445" s="92"/>
      <c r="Y445" s="92"/>
      <c r="Z445" s="91"/>
    </row>
    <row r="446" spans="1:26" ht="14.25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4"/>
      <c r="O446" s="93"/>
      <c r="P446" s="93"/>
      <c r="Q446" s="93"/>
      <c r="R446" s="93"/>
      <c r="S446" s="93"/>
      <c r="T446" s="93"/>
      <c r="U446" s="93"/>
      <c r="V446" s="92"/>
      <c r="W446" s="92"/>
      <c r="X446" s="92"/>
      <c r="Y446" s="92"/>
      <c r="Z446" s="91"/>
    </row>
    <row r="447" spans="1:26" ht="14.25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4"/>
      <c r="O447" s="93"/>
      <c r="P447" s="93"/>
      <c r="Q447" s="93"/>
      <c r="R447" s="93"/>
      <c r="S447" s="93"/>
      <c r="T447" s="93"/>
      <c r="U447" s="93"/>
      <c r="V447" s="92"/>
      <c r="W447" s="92"/>
      <c r="X447" s="92"/>
      <c r="Y447" s="92"/>
      <c r="Z447" s="91"/>
    </row>
    <row r="448" spans="1:26" ht="14.25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4"/>
      <c r="O448" s="93"/>
      <c r="P448" s="93"/>
      <c r="Q448" s="93"/>
      <c r="R448" s="93"/>
      <c r="S448" s="93"/>
      <c r="T448" s="93"/>
      <c r="U448" s="93"/>
      <c r="V448" s="92"/>
      <c r="W448" s="92"/>
      <c r="X448" s="92"/>
      <c r="Y448" s="92"/>
      <c r="Z448" s="91"/>
    </row>
    <row r="449" spans="1:26" ht="14.25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4"/>
      <c r="O449" s="93"/>
      <c r="P449" s="93"/>
      <c r="Q449" s="93"/>
      <c r="R449" s="93"/>
      <c r="S449" s="93"/>
      <c r="T449" s="93"/>
      <c r="U449" s="93"/>
      <c r="V449" s="92"/>
      <c r="W449" s="92"/>
      <c r="X449" s="92"/>
      <c r="Y449" s="92"/>
      <c r="Z449" s="91"/>
    </row>
    <row r="450" spans="1:26" ht="14.25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4"/>
      <c r="O450" s="93"/>
      <c r="P450" s="93"/>
      <c r="Q450" s="93"/>
      <c r="R450" s="93"/>
      <c r="S450" s="93"/>
      <c r="T450" s="93"/>
      <c r="U450" s="93"/>
      <c r="V450" s="92"/>
      <c r="W450" s="92"/>
      <c r="X450" s="92"/>
      <c r="Y450" s="92"/>
      <c r="Z450" s="91"/>
    </row>
    <row r="451" spans="1:26" ht="14.25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4"/>
      <c r="O451" s="93"/>
      <c r="P451" s="93"/>
      <c r="Q451" s="93"/>
      <c r="R451" s="93"/>
      <c r="S451" s="93"/>
      <c r="T451" s="93"/>
      <c r="U451" s="93"/>
      <c r="V451" s="92"/>
      <c r="W451" s="92"/>
      <c r="X451" s="92"/>
      <c r="Y451" s="92"/>
      <c r="Z451" s="91"/>
    </row>
    <row r="452" spans="1:26" ht="14.25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4"/>
      <c r="O452" s="93"/>
      <c r="P452" s="93"/>
      <c r="Q452" s="93"/>
      <c r="R452" s="93"/>
      <c r="S452" s="93"/>
      <c r="T452" s="93"/>
      <c r="U452" s="93"/>
      <c r="V452" s="92"/>
      <c r="W452" s="92"/>
      <c r="X452" s="92"/>
      <c r="Y452" s="92"/>
      <c r="Z452" s="91"/>
    </row>
    <row r="453" spans="1:26" ht="14.25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4"/>
      <c r="O453" s="93"/>
      <c r="P453" s="93"/>
      <c r="Q453" s="93"/>
      <c r="R453" s="93"/>
      <c r="S453" s="93"/>
      <c r="T453" s="93"/>
      <c r="U453" s="93"/>
      <c r="V453" s="92"/>
      <c r="W453" s="92"/>
      <c r="X453" s="92"/>
      <c r="Y453" s="92"/>
      <c r="Z453" s="91"/>
    </row>
    <row r="454" spans="1:26" ht="14.25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4"/>
      <c r="O454" s="93"/>
      <c r="P454" s="93"/>
      <c r="Q454" s="93"/>
      <c r="R454" s="93"/>
      <c r="S454" s="93"/>
      <c r="T454" s="93"/>
      <c r="U454" s="93"/>
      <c r="V454" s="92"/>
      <c r="W454" s="92"/>
      <c r="X454" s="92"/>
      <c r="Y454" s="92"/>
      <c r="Z454" s="91"/>
    </row>
    <row r="455" spans="1:26" ht="14.25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4"/>
      <c r="O455" s="93"/>
      <c r="P455" s="93"/>
      <c r="Q455" s="93"/>
      <c r="R455" s="93"/>
      <c r="S455" s="93"/>
      <c r="T455" s="93"/>
      <c r="U455" s="93"/>
      <c r="V455" s="92"/>
      <c r="W455" s="92"/>
      <c r="X455" s="92"/>
      <c r="Y455" s="92"/>
      <c r="Z455" s="91"/>
    </row>
    <row r="456" spans="1:26" ht="14.25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4"/>
      <c r="O456" s="93"/>
      <c r="P456" s="93"/>
      <c r="Q456" s="93"/>
      <c r="R456" s="93"/>
      <c r="S456" s="93"/>
      <c r="T456" s="93"/>
      <c r="U456" s="93"/>
      <c r="V456" s="92"/>
      <c r="W456" s="92"/>
      <c r="X456" s="92"/>
      <c r="Y456" s="92"/>
      <c r="Z456" s="91"/>
    </row>
    <row r="457" spans="1:26" ht="14.25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4"/>
      <c r="O457" s="93"/>
      <c r="P457" s="93"/>
      <c r="Q457" s="93"/>
      <c r="R457" s="93"/>
      <c r="S457" s="93"/>
      <c r="T457" s="93"/>
      <c r="U457" s="93"/>
      <c r="V457" s="92"/>
      <c r="W457" s="92"/>
      <c r="X457" s="92"/>
      <c r="Y457" s="92"/>
      <c r="Z457" s="91"/>
    </row>
    <row r="458" spans="1:26" ht="14.25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4"/>
      <c r="O458" s="93"/>
      <c r="P458" s="93"/>
      <c r="Q458" s="93"/>
      <c r="R458" s="93"/>
      <c r="S458" s="93"/>
      <c r="T458" s="93"/>
      <c r="U458" s="93"/>
      <c r="V458" s="92"/>
      <c r="W458" s="92"/>
      <c r="X458" s="92"/>
      <c r="Y458" s="92"/>
      <c r="Z458" s="91"/>
    </row>
    <row r="459" spans="1:26" ht="14.25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4"/>
      <c r="O459" s="93"/>
      <c r="P459" s="93"/>
      <c r="Q459" s="93"/>
      <c r="R459" s="93"/>
      <c r="S459" s="93"/>
      <c r="T459" s="93"/>
      <c r="U459" s="93"/>
      <c r="V459" s="92"/>
      <c r="W459" s="92"/>
      <c r="X459" s="92"/>
      <c r="Y459" s="92"/>
      <c r="Z459" s="91"/>
    </row>
    <row r="460" spans="1:26" ht="14.25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4"/>
      <c r="O460" s="93"/>
      <c r="P460" s="93"/>
      <c r="Q460" s="93"/>
      <c r="R460" s="93"/>
      <c r="S460" s="93"/>
      <c r="T460" s="93"/>
      <c r="U460" s="93"/>
      <c r="V460" s="92"/>
      <c r="W460" s="92"/>
      <c r="X460" s="92"/>
      <c r="Y460" s="92"/>
      <c r="Z460" s="91"/>
    </row>
    <row r="461" spans="1:26" ht="14.25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4"/>
      <c r="O461" s="93"/>
      <c r="P461" s="93"/>
      <c r="Q461" s="93"/>
      <c r="R461" s="93"/>
      <c r="S461" s="93"/>
      <c r="T461" s="93"/>
      <c r="U461" s="93"/>
      <c r="V461" s="92"/>
      <c r="W461" s="92"/>
      <c r="X461" s="92"/>
      <c r="Y461" s="92"/>
      <c r="Z461" s="91"/>
    </row>
    <row r="462" spans="1:26" ht="14.25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4"/>
      <c r="O462" s="93"/>
      <c r="P462" s="93"/>
      <c r="Q462" s="93"/>
      <c r="R462" s="93"/>
      <c r="S462" s="93"/>
      <c r="T462" s="93"/>
      <c r="U462" s="93"/>
      <c r="V462" s="92"/>
      <c r="W462" s="92"/>
      <c r="X462" s="92"/>
      <c r="Y462" s="92"/>
      <c r="Z462" s="91"/>
    </row>
    <row r="463" spans="1:26" ht="14.25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4"/>
      <c r="O463" s="93"/>
      <c r="P463" s="93"/>
      <c r="Q463" s="93"/>
      <c r="R463" s="93"/>
      <c r="S463" s="93"/>
      <c r="T463" s="93"/>
      <c r="U463" s="93"/>
      <c r="V463" s="92"/>
      <c r="W463" s="92"/>
      <c r="X463" s="92"/>
      <c r="Y463" s="92"/>
      <c r="Z463" s="91"/>
    </row>
    <row r="464" spans="1:26" ht="14.25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4"/>
      <c r="O464" s="93"/>
      <c r="P464" s="93"/>
      <c r="Q464" s="93"/>
      <c r="R464" s="93"/>
      <c r="S464" s="93"/>
      <c r="T464" s="93"/>
      <c r="U464" s="93"/>
      <c r="V464" s="92"/>
      <c r="W464" s="92"/>
      <c r="X464" s="92"/>
      <c r="Y464" s="92"/>
      <c r="Z464" s="91"/>
    </row>
    <row r="465" spans="1:26" ht="14.25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4"/>
      <c r="O465" s="93"/>
      <c r="P465" s="93"/>
      <c r="Q465" s="93"/>
      <c r="R465" s="93"/>
      <c r="S465" s="93"/>
      <c r="T465" s="93"/>
      <c r="U465" s="93"/>
      <c r="V465" s="92"/>
      <c r="W465" s="92"/>
      <c r="X465" s="92"/>
      <c r="Y465" s="92"/>
      <c r="Z465" s="91"/>
    </row>
    <row r="466" spans="1:26" ht="14.25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4"/>
      <c r="O466" s="93"/>
      <c r="P466" s="93"/>
      <c r="Q466" s="93"/>
      <c r="R466" s="93"/>
      <c r="S466" s="93"/>
      <c r="T466" s="93"/>
      <c r="U466" s="93"/>
      <c r="V466" s="92"/>
      <c r="W466" s="92"/>
      <c r="X466" s="92"/>
      <c r="Y466" s="92"/>
      <c r="Z466" s="91"/>
    </row>
    <row r="467" spans="1:26" ht="14.25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4"/>
      <c r="O467" s="93"/>
      <c r="P467" s="93"/>
      <c r="Q467" s="93"/>
      <c r="R467" s="93"/>
      <c r="S467" s="93"/>
      <c r="T467" s="93"/>
      <c r="U467" s="93"/>
      <c r="V467" s="92"/>
      <c r="W467" s="92"/>
      <c r="X467" s="92"/>
      <c r="Y467" s="92"/>
      <c r="Z467" s="91"/>
    </row>
    <row r="468" spans="1:26" ht="14.25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4"/>
      <c r="O468" s="93"/>
      <c r="P468" s="93"/>
      <c r="Q468" s="93"/>
      <c r="R468" s="93"/>
      <c r="S468" s="93"/>
      <c r="T468" s="93"/>
      <c r="U468" s="93"/>
      <c r="V468" s="92"/>
      <c r="W468" s="92"/>
      <c r="X468" s="92"/>
      <c r="Y468" s="92"/>
      <c r="Z468" s="91"/>
    </row>
    <row r="469" spans="1:26" ht="14.25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4"/>
      <c r="O469" s="93"/>
      <c r="P469" s="93"/>
      <c r="Q469" s="93"/>
      <c r="R469" s="93"/>
      <c r="S469" s="93"/>
      <c r="T469" s="93"/>
      <c r="U469" s="93"/>
      <c r="V469" s="92"/>
      <c r="W469" s="92"/>
      <c r="X469" s="92"/>
      <c r="Y469" s="92"/>
      <c r="Z469" s="91"/>
    </row>
    <row r="470" spans="1:26" ht="14.25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4"/>
      <c r="O470" s="93"/>
      <c r="P470" s="93"/>
      <c r="Q470" s="93"/>
      <c r="R470" s="93"/>
      <c r="S470" s="93"/>
      <c r="T470" s="93"/>
      <c r="U470" s="93"/>
      <c r="V470" s="92"/>
      <c r="W470" s="92"/>
      <c r="X470" s="92"/>
      <c r="Y470" s="92"/>
      <c r="Z470" s="91"/>
    </row>
    <row r="471" spans="1:26" ht="14.25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4"/>
      <c r="O471" s="93"/>
      <c r="P471" s="93"/>
      <c r="Q471" s="93"/>
      <c r="R471" s="93"/>
      <c r="S471" s="93"/>
      <c r="T471" s="93"/>
      <c r="U471" s="93"/>
      <c r="V471" s="92"/>
      <c r="W471" s="92"/>
      <c r="X471" s="92"/>
      <c r="Y471" s="92"/>
      <c r="Z471" s="91"/>
    </row>
    <row r="472" spans="1:26" ht="14.25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4"/>
      <c r="O472" s="93"/>
      <c r="P472" s="93"/>
      <c r="Q472" s="93"/>
      <c r="R472" s="93"/>
      <c r="S472" s="93"/>
      <c r="T472" s="93"/>
      <c r="U472" s="93"/>
      <c r="V472" s="92"/>
      <c r="W472" s="92"/>
      <c r="X472" s="92"/>
      <c r="Y472" s="92"/>
      <c r="Z472" s="91"/>
    </row>
    <row r="473" spans="1:26" ht="14.25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4"/>
      <c r="O473" s="93"/>
      <c r="P473" s="93"/>
      <c r="Q473" s="93"/>
      <c r="R473" s="93"/>
      <c r="S473" s="93"/>
      <c r="T473" s="93"/>
      <c r="U473" s="93"/>
      <c r="V473" s="92"/>
      <c r="W473" s="92"/>
      <c r="X473" s="92"/>
      <c r="Y473" s="92"/>
      <c r="Z473" s="91"/>
    </row>
    <row r="474" spans="1:26" ht="14.25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4"/>
      <c r="O474" s="93"/>
      <c r="P474" s="93"/>
      <c r="Q474" s="93"/>
      <c r="R474" s="93"/>
      <c r="S474" s="93"/>
      <c r="T474" s="93"/>
      <c r="U474" s="93"/>
      <c r="V474" s="92"/>
      <c r="W474" s="92"/>
      <c r="X474" s="92"/>
      <c r="Y474" s="92"/>
      <c r="Z474" s="91"/>
    </row>
    <row r="475" spans="1:26" ht="14.25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4"/>
      <c r="O475" s="93"/>
      <c r="P475" s="93"/>
      <c r="Q475" s="93"/>
      <c r="R475" s="93"/>
      <c r="S475" s="93"/>
      <c r="T475" s="93"/>
      <c r="U475" s="93"/>
      <c r="V475" s="92"/>
      <c r="W475" s="92"/>
      <c r="X475" s="92"/>
      <c r="Y475" s="92"/>
      <c r="Z475" s="91"/>
    </row>
    <row r="476" spans="1:26" ht="14.25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4"/>
      <c r="O476" s="93"/>
      <c r="P476" s="93"/>
      <c r="Q476" s="93"/>
      <c r="R476" s="93"/>
      <c r="S476" s="93"/>
      <c r="T476" s="93"/>
      <c r="U476" s="93"/>
      <c r="V476" s="92"/>
      <c r="W476" s="92"/>
      <c r="X476" s="92"/>
      <c r="Y476" s="92"/>
      <c r="Z476" s="91"/>
    </row>
    <row r="477" spans="1:26" ht="14.25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4"/>
      <c r="O477" s="93"/>
      <c r="P477" s="93"/>
      <c r="Q477" s="93"/>
      <c r="R477" s="93"/>
      <c r="S477" s="93"/>
      <c r="T477" s="93"/>
      <c r="U477" s="93"/>
      <c r="V477" s="92"/>
      <c r="W477" s="92"/>
      <c r="X477" s="92"/>
      <c r="Y477" s="92"/>
      <c r="Z477" s="91"/>
    </row>
    <row r="478" spans="1:26" ht="14.25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4"/>
      <c r="O478" s="93"/>
      <c r="P478" s="93"/>
      <c r="Q478" s="93"/>
      <c r="R478" s="93"/>
      <c r="S478" s="93"/>
      <c r="T478" s="93"/>
      <c r="U478" s="93"/>
      <c r="V478" s="92"/>
      <c r="W478" s="92"/>
      <c r="X478" s="92"/>
      <c r="Y478" s="92"/>
      <c r="Z478" s="91"/>
    </row>
    <row r="479" spans="1:26" ht="14.25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4"/>
      <c r="O479" s="93"/>
      <c r="P479" s="93"/>
      <c r="Q479" s="93"/>
      <c r="R479" s="93"/>
      <c r="S479" s="93"/>
      <c r="T479" s="93"/>
      <c r="U479" s="93"/>
      <c r="V479" s="92"/>
      <c r="W479" s="92"/>
      <c r="X479" s="92"/>
      <c r="Y479" s="92"/>
      <c r="Z479" s="91"/>
    </row>
    <row r="480" spans="1:26" ht="14.25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4"/>
      <c r="O480" s="93"/>
      <c r="P480" s="93"/>
      <c r="Q480" s="93"/>
      <c r="R480" s="93"/>
      <c r="S480" s="93"/>
      <c r="T480" s="93"/>
      <c r="U480" s="93"/>
      <c r="V480" s="92"/>
      <c r="W480" s="92"/>
      <c r="X480" s="92"/>
      <c r="Y480" s="92"/>
      <c r="Z480" s="91"/>
    </row>
    <row r="481" spans="1:26" ht="14.25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4"/>
      <c r="O481" s="93"/>
      <c r="P481" s="93"/>
      <c r="Q481" s="93"/>
      <c r="R481" s="93"/>
      <c r="S481" s="93"/>
      <c r="T481" s="93"/>
      <c r="U481" s="93"/>
      <c r="V481" s="92"/>
      <c r="W481" s="92"/>
      <c r="X481" s="92"/>
      <c r="Y481" s="92"/>
      <c r="Z481" s="91"/>
    </row>
    <row r="482" spans="1:26" ht="14.25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4"/>
      <c r="O482" s="93"/>
      <c r="P482" s="93"/>
      <c r="Q482" s="93"/>
      <c r="R482" s="93"/>
      <c r="S482" s="93"/>
      <c r="T482" s="93"/>
      <c r="U482" s="93"/>
      <c r="V482" s="92"/>
      <c r="W482" s="92"/>
      <c r="X482" s="92"/>
      <c r="Y482" s="92"/>
      <c r="Z482" s="91"/>
    </row>
    <row r="483" spans="1:26" ht="14.25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4"/>
      <c r="O483" s="93"/>
      <c r="P483" s="93"/>
      <c r="Q483" s="93"/>
      <c r="R483" s="93"/>
      <c r="S483" s="93"/>
      <c r="T483" s="93"/>
      <c r="U483" s="93"/>
      <c r="V483" s="92"/>
      <c r="W483" s="92"/>
      <c r="X483" s="92"/>
      <c r="Y483" s="92"/>
      <c r="Z483" s="91"/>
    </row>
    <row r="484" spans="1:26" ht="14.25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4"/>
      <c r="O484" s="93"/>
      <c r="P484" s="93"/>
      <c r="Q484" s="93"/>
      <c r="R484" s="93"/>
      <c r="S484" s="93"/>
      <c r="T484" s="93"/>
      <c r="U484" s="93"/>
      <c r="V484" s="92"/>
      <c r="W484" s="92"/>
      <c r="X484" s="92"/>
      <c r="Y484" s="92"/>
      <c r="Z484" s="91"/>
    </row>
    <row r="485" spans="1:26" ht="14.25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4"/>
      <c r="O485" s="93"/>
      <c r="P485" s="93"/>
      <c r="Q485" s="93"/>
      <c r="R485" s="93"/>
      <c r="S485" s="93"/>
      <c r="T485" s="93"/>
      <c r="U485" s="93"/>
      <c r="V485" s="92"/>
      <c r="W485" s="92"/>
      <c r="X485" s="92"/>
      <c r="Y485" s="92"/>
      <c r="Z485" s="91"/>
    </row>
    <row r="486" spans="1:26" ht="14.25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4"/>
      <c r="O486" s="93"/>
      <c r="P486" s="93"/>
      <c r="Q486" s="93"/>
      <c r="R486" s="93"/>
      <c r="S486" s="93"/>
      <c r="T486" s="93"/>
      <c r="U486" s="93"/>
      <c r="V486" s="92"/>
      <c r="W486" s="92"/>
      <c r="X486" s="92"/>
      <c r="Y486" s="92"/>
      <c r="Z486" s="91"/>
    </row>
    <row r="487" spans="1:26" ht="14.25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4"/>
      <c r="O487" s="93"/>
      <c r="P487" s="93"/>
      <c r="Q487" s="93"/>
      <c r="R487" s="93"/>
      <c r="S487" s="93"/>
      <c r="T487" s="93"/>
      <c r="U487" s="93"/>
      <c r="V487" s="92"/>
      <c r="W487" s="92"/>
      <c r="X487" s="92"/>
      <c r="Y487" s="92"/>
      <c r="Z487" s="91"/>
    </row>
    <row r="488" spans="1:26" ht="14.25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4"/>
      <c r="O488" s="93"/>
      <c r="P488" s="93"/>
      <c r="Q488" s="93"/>
      <c r="R488" s="93"/>
      <c r="S488" s="93"/>
      <c r="T488" s="93"/>
      <c r="U488" s="93"/>
      <c r="V488" s="92"/>
      <c r="W488" s="92"/>
      <c r="X488" s="92"/>
      <c r="Y488" s="92"/>
      <c r="Z488" s="91"/>
    </row>
    <row r="489" spans="1:26" ht="14.25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4"/>
      <c r="O489" s="93"/>
      <c r="P489" s="93"/>
      <c r="Q489" s="93"/>
      <c r="R489" s="93"/>
      <c r="S489" s="93"/>
      <c r="T489" s="93"/>
      <c r="U489" s="93"/>
      <c r="V489" s="92"/>
      <c r="W489" s="92"/>
      <c r="X489" s="92"/>
      <c r="Y489" s="92"/>
      <c r="Z489" s="91"/>
    </row>
    <row r="490" spans="1:26" ht="14.25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4"/>
      <c r="O490" s="93"/>
      <c r="P490" s="93"/>
      <c r="Q490" s="93"/>
      <c r="R490" s="93"/>
      <c r="S490" s="93"/>
      <c r="T490" s="93"/>
      <c r="U490" s="93"/>
      <c r="V490" s="92"/>
      <c r="W490" s="92"/>
      <c r="X490" s="92"/>
      <c r="Y490" s="92"/>
      <c r="Z490" s="91"/>
    </row>
    <row r="491" spans="1:26" ht="14.25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4"/>
      <c r="O491" s="93"/>
      <c r="P491" s="93"/>
      <c r="Q491" s="93"/>
      <c r="R491" s="93"/>
      <c r="S491" s="93"/>
      <c r="T491" s="93"/>
      <c r="U491" s="93"/>
      <c r="V491" s="92"/>
      <c r="W491" s="92"/>
      <c r="X491" s="92"/>
      <c r="Y491" s="92"/>
      <c r="Z491" s="91"/>
    </row>
    <row r="492" spans="1:26" ht="14.25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4"/>
      <c r="O492" s="93"/>
      <c r="P492" s="93"/>
      <c r="Q492" s="93"/>
      <c r="R492" s="93"/>
      <c r="S492" s="93"/>
      <c r="T492" s="93"/>
      <c r="U492" s="93"/>
      <c r="V492" s="92"/>
      <c r="W492" s="92"/>
      <c r="X492" s="92"/>
      <c r="Y492" s="92"/>
      <c r="Z492" s="91"/>
    </row>
    <row r="493" spans="1:26" ht="14.25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4"/>
      <c r="O493" s="93"/>
      <c r="P493" s="93"/>
      <c r="Q493" s="93"/>
      <c r="R493" s="93"/>
      <c r="S493" s="93"/>
      <c r="T493" s="93"/>
      <c r="U493" s="93"/>
      <c r="V493" s="92"/>
      <c r="W493" s="92"/>
      <c r="X493" s="92"/>
      <c r="Y493" s="92"/>
      <c r="Z493" s="91"/>
    </row>
    <row r="494" spans="1:26" ht="14.25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4"/>
      <c r="O494" s="93"/>
      <c r="P494" s="93"/>
      <c r="Q494" s="93"/>
      <c r="R494" s="93"/>
      <c r="S494" s="93"/>
      <c r="T494" s="93"/>
      <c r="U494" s="93"/>
      <c r="V494" s="92"/>
      <c r="W494" s="92"/>
      <c r="X494" s="92"/>
      <c r="Y494" s="92"/>
      <c r="Z494" s="91"/>
    </row>
    <row r="495" spans="1:26" ht="14.25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4"/>
      <c r="O495" s="93"/>
      <c r="P495" s="93"/>
      <c r="Q495" s="93"/>
      <c r="R495" s="93"/>
      <c r="S495" s="93"/>
      <c r="T495" s="93"/>
      <c r="U495" s="93"/>
      <c r="V495" s="92"/>
      <c r="W495" s="92"/>
      <c r="X495" s="92"/>
      <c r="Y495" s="92"/>
      <c r="Z495" s="91"/>
    </row>
    <row r="496" spans="1:26" ht="14.25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4"/>
      <c r="O496" s="93"/>
      <c r="P496" s="93"/>
      <c r="Q496" s="93"/>
      <c r="R496" s="93"/>
      <c r="S496" s="93"/>
      <c r="T496" s="93"/>
      <c r="U496" s="93"/>
      <c r="V496" s="92"/>
      <c r="W496" s="92"/>
      <c r="X496" s="92"/>
      <c r="Y496" s="92"/>
      <c r="Z496" s="91"/>
    </row>
    <row r="497" spans="1:26" ht="14.25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4"/>
      <c r="O497" s="93"/>
      <c r="P497" s="93"/>
      <c r="Q497" s="93"/>
      <c r="R497" s="93"/>
      <c r="S497" s="93"/>
      <c r="T497" s="93"/>
      <c r="U497" s="93"/>
      <c r="V497" s="92"/>
      <c r="W497" s="92"/>
      <c r="X497" s="92"/>
      <c r="Y497" s="92"/>
      <c r="Z497" s="91"/>
    </row>
    <row r="498" spans="1:26" ht="14.25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4"/>
      <c r="O498" s="93"/>
      <c r="P498" s="93"/>
      <c r="Q498" s="93"/>
      <c r="R498" s="93"/>
      <c r="S498" s="93"/>
      <c r="T498" s="93"/>
      <c r="U498" s="93"/>
      <c r="V498" s="92"/>
      <c r="W498" s="92"/>
      <c r="X498" s="92"/>
      <c r="Y498" s="92"/>
      <c r="Z498" s="91"/>
    </row>
    <row r="499" spans="1:26" ht="14.25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4"/>
      <c r="O499" s="93"/>
      <c r="P499" s="93"/>
      <c r="Q499" s="93"/>
      <c r="R499" s="93"/>
      <c r="S499" s="93"/>
      <c r="T499" s="93"/>
      <c r="U499" s="93"/>
      <c r="V499" s="92"/>
      <c r="W499" s="92"/>
      <c r="X499" s="92"/>
      <c r="Y499" s="92"/>
      <c r="Z499" s="91"/>
    </row>
    <row r="500" spans="1:26" ht="14.25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4"/>
      <c r="O500" s="93"/>
      <c r="P500" s="93"/>
      <c r="Q500" s="93"/>
      <c r="R500" s="93"/>
      <c r="S500" s="93"/>
      <c r="T500" s="93"/>
      <c r="U500" s="93"/>
      <c r="V500" s="92"/>
      <c r="W500" s="92"/>
      <c r="X500" s="92"/>
      <c r="Y500" s="92"/>
      <c r="Z500" s="91"/>
    </row>
    <row r="501" spans="1:26" ht="14.25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4"/>
      <c r="O501" s="93"/>
      <c r="P501" s="93"/>
      <c r="Q501" s="93"/>
      <c r="R501" s="93"/>
      <c r="S501" s="93"/>
      <c r="T501" s="93"/>
      <c r="U501" s="93"/>
      <c r="V501" s="92"/>
      <c r="W501" s="92"/>
      <c r="X501" s="92"/>
      <c r="Y501" s="92"/>
      <c r="Z501" s="91"/>
    </row>
    <row r="502" spans="1:26" ht="14.25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4"/>
      <c r="O502" s="93"/>
      <c r="P502" s="93"/>
      <c r="Q502" s="93"/>
      <c r="R502" s="93"/>
      <c r="S502" s="93"/>
      <c r="T502" s="93"/>
      <c r="U502" s="93"/>
      <c r="V502" s="92"/>
      <c r="W502" s="92"/>
      <c r="X502" s="92"/>
      <c r="Y502" s="92"/>
      <c r="Z502" s="91"/>
    </row>
    <row r="503" spans="1:26" ht="14.2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4"/>
      <c r="O503" s="93"/>
      <c r="P503" s="93"/>
      <c r="Q503" s="93"/>
      <c r="R503" s="93"/>
      <c r="S503" s="93"/>
      <c r="T503" s="93"/>
      <c r="U503" s="93"/>
      <c r="V503" s="92"/>
      <c r="W503" s="92"/>
      <c r="X503" s="92"/>
      <c r="Y503" s="92"/>
      <c r="Z503" s="91"/>
    </row>
    <row r="504" spans="1:26" ht="14.25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4"/>
      <c r="O504" s="93"/>
      <c r="P504" s="93"/>
      <c r="Q504" s="93"/>
      <c r="R504" s="93"/>
      <c r="S504" s="93"/>
      <c r="T504" s="93"/>
      <c r="U504" s="93"/>
      <c r="V504" s="92"/>
      <c r="W504" s="92"/>
      <c r="X504" s="92"/>
      <c r="Y504" s="92"/>
      <c r="Z504" s="91"/>
    </row>
    <row r="505" spans="1:26" ht="14.25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4"/>
      <c r="O505" s="93"/>
      <c r="P505" s="93"/>
      <c r="Q505" s="93"/>
      <c r="R505" s="93"/>
      <c r="S505" s="93"/>
      <c r="T505" s="93"/>
      <c r="U505" s="93"/>
      <c r="V505" s="92"/>
      <c r="W505" s="92"/>
      <c r="X505" s="92"/>
      <c r="Y505" s="92"/>
      <c r="Z505" s="91"/>
    </row>
    <row r="506" spans="1:26" ht="14.25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4"/>
      <c r="O506" s="93"/>
      <c r="P506" s="93"/>
      <c r="Q506" s="93"/>
      <c r="R506" s="93"/>
      <c r="S506" s="93"/>
      <c r="T506" s="93"/>
      <c r="U506" s="93"/>
      <c r="V506" s="92"/>
      <c r="W506" s="92"/>
      <c r="X506" s="92"/>
      <c r="Y506" s="92"/>
      <c r="Z506" s="91"/>
    </row>
    <row r="507" spans="1:26" ht="14.25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4"/>
      <c r="O507" s="93"/>
      <c r="P507" s="93"/>
      <c r="Q507" s="93"/>
      <c r="R507" s="93"/>
      <c r="S507" s="93"/>
      <c r="T507" s="93"/>
      <c r="U507" s="93"/>
      <c r="V507" s="92"/>
      <c r="W507" s="92"/>
      <c r="X507" s="92"/>
      <c r="Y507" s="92"/>
      <c r="Z507" s="91"/>
    </row>
    <row r="508" spans="1:26" ht="14.2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4"/>
      <c r="O508" s="93"/>
      <c r="P508" s="93"/>
      <c r="Q508" s="93"/>
      <c r="R508" s="93"/>
      <c r="S508" s="93"/>
      <c r="T508" s="93"/>
      <c r="U508" s="93"/>
      <c r="V508" s="92"/>
      <c r="W508" s="92"/>
      <c r="X508" s="92"/>
      <c r="Y508" s="92"/>
      <c r="Z508" s="91"/>
    </row>
    <row r="509" spans="1:26" ht="14.25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4"/>
      <c r="O509" s="93"/>
      <c r="P509" s="93"/>
      <c r="Q509" s="93"/>
      <c r="R509" s="93"/>
      <c r="S509" s="93"/>
      <c r="T509" s="93"/>
      <c r="U509" s="93"/>
      <c r="V509" s="92"/>
      <c r="W509" s="92"/>
      <c r="X509" s="92"/>
      <c r="Y509" s="92"/>
      <c r="Z509" s="91"/>
    </row>
    <row r="510" spans="1:26" ht="14.25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4"/>
      <c r="O510" s="93"/>
      <c r="P510" s="93"/>
      <c r="Q510" s="93"/>
      <c r="R510" s="93"/>
      <c r="S510" s="93"/>
      <c r="T510" s="93"/>
      <c r="U510" s="93"/>
      <c r="V510" s="92"/>
      <c r="W510" s="92"/>
      <c r="X510" s="92"/>
      <c r="Y510" s="92"/>
      <c r="Z510" s="91"/>
    </row>
    <row r="511" spans="1:26" ht="14.25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4"/>
      <c r="O511" s="93"/>
      <c r="P511" s="93"/>
      <c r="Q511" s="93"/>
      <c r="R511" s="93"/>
      <c r="S511" s="93"/>
      <c r="T511" s="93"/>
      <c r="U511" s="93"/>
      <c r="V511" s="92"/>
      <c r="W511" s="92"/>
      <c r="X511" s="92"/>
      <c r="Y511" s="92"/>
      <c r="Z511" s="91"/>
    </row>
    <row r="512" spans="1:26" ht="14.25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4"/>
      <c r="O512" s="93"/>
      <c r="P512" s="93"/>
      <c r="Q512" s="93"/>
      <c r="R512" s="93"/>
      <c r="S512" s="93"/>
      <c r="T512" s="93"/>
      <c r="U512" s="93"/>
      <c r="V512" s="92"/>
      <c r="W512" s="92"/>
      <c r="X512" s="92"/>
      <c r="Y512" s="92"/>
      <c r="Z512" s="91"/>
    </row>
    <row r="513" spans="1:26" ht="14.25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4"/>
      <c r="O513" s="93"/>
      <c r="P513" s="93"/>
      <c r="Q513" s="93"/>
      <c r="R513" s="93"/>
      <c r="S513" s="93"/>
      <c r="T513" s="93"/>
      <c r="U513" s="93"/>
      <c r="V513" s="92"/>
      <c r="W513" s="92"/>
      <c r="X513" s="92"/>
      <c r="Y513" s="92"/>
      <c r="Z513" s="91"/>
    </row>
    <row r="514" spans="1:26" ht="14.25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4"/>
      <c r="O514" s="93"/>
      <c r="P514" s="93"/>
      <c r="Q514" s="93"/>
      <c r="R514" s="93"/>
      <c r="S514" s="93"/>
      <c r="T514" s="93"/>
      <c r="U514" s="93"/>
      <c r="V514" s="92"/>
      <c r="W514" s="92"/>
      <c r="X514" s="92"/>
      <c r="Y514" s="92"/>
      <c r="Z514" s="91"/>
    </row>
    <row r="515" spans="1:26" ht="14.25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4"/>
      <c r="O515" s="93"/>
      <c r="P515" s="93"/>
      <c r="Q515" s="93"/>
      <c r="R515" s="93"/>
      <c r="S515" s="93"/>
      <c r="T515" s="93"/>
      <c r="U515" s="93"/>
      <c r="V515" s="92"/>
      <c r="W515" s="92"/>
      <c r="X515" s="92"/>
      <c r="Y515" s="92"/>
      <c r="Z515" s="91"/>
    </row>
    <row r="516" spans="1:26" ht="14.25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4"/>
      <c r="O516" s="93"/>
      <c r="P516" s="93"/>
      <c r="Q516" s="93"/>
      <c r="R516" s="93"/>
      <c r="S516" s="93"/>
      <c r="T516" s="93"/>
      <c r="U516" s="93"/>
      <c r="V516" s="92"/>
      <c r="W516" s="92"/>
      <c r="X516" s="92"/>
      <c r="Y516" s="92"/>
      <c r="Z516" s="91"/>
    </row>
    <row r="517" spans="1:26" ht="14.25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4"/>
      <c r="O517" s="93"/>
      <c r="P517" s="93"/>
      <c r="Q517" s="93"/>
      <c r="R517" s="93"/>
      <c r="S517" s="93"/>
      <c r="T517" s="93"/>
      <c r="U517" s="93"/>
      <c r="V517" s="92"/>
      <c r="W517" s="92"/>
      <c r="X517" s="92"/>
      <c r="Y517" s="92"/>
      <c r="Z517" s="91"/>
    </row>
    <row r="518" spans="1:26" ht="14.25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4"/>
      <c r="O518" s="93"/>
      <c r="P518" s="93"/>
      <c r="Q518" s="93"/>
      <c r="R518" s="93"/>
      <c r="S518" s="93"/>
      <c r="T518" s="93"/>
      <c r="U518" s="93"/>
      <c r="V518" s="92"/>
      <c r="W518" s="92"/>
      <c r="X518" s="92"/>
      <c r="Y518" s="92"/>
      <c r="Z518" s="91"/>
    </row>
    <row r="519" spans="1:26" ht="14.25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4"/>
      <c r="O519" s="93"/>
      <c r="P519" s="93"/>
      <c r="Q519" s="93"/>
      <c r="R519" s="93"/>
      <c r="S519" s="93"/>
      <c r="T519" s="93"/>
      <c r="U519" s="93"/>
      <c r="V519" s="92"/>
      <c r="W519" s="92"/>
      <c r="X519" s="92"/>
      <c r="Y519" s="92"/>
      <c r="Z519" s="91"/>
    </row>
    <row r="520" spans="1:26" ht="14.25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4"/>
      <c r="O520" s="93"/>
      <c r="P520" s="93"/>
      <c r="Q520" s="93"/>
      <c r="R520" s="93"/>
      <c r="S520" s="93"/>
      <c r="T520" s="93"/>
      <c r="U520" s="93"/>
      <c r="V520" s="92"/>
      <c r="W520" s="92"/>
      <c r="X520" s="92"/>
      <c r="Y520" s="92"/>
      <c r="Z520" s="91"/>
    </row>
    <row r="521" spans="1:26" ht="14.25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4"/>
      <c r="O521" s="93"/>
      <c r="P521" s="93"/>
      <c r="Q521" s="93"/>
      <c r="R521" s="93"/>
      <c r="S521" s="93"/>
      <c r="T521" s="93"/>
      <c r="U521" s="93"/>
      <c r="V521" s="92"/>
      <c r="W521" s="92"/>
      <c r="X521" s="92"/>
      <c r="Y521" s="92"/>
      <c r="Z521" s="91"/>
    </row>
    <row r="522" spans="1:26" ht="14.25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4"/>
      <c r="O522" s="93"/>
      <c r="P522" s="93"/>
      <c r="Q522" s="93"/>
      <c r="R522" s="93"/>
      <c r="S522" s="93"/>
      <c r="T522" s="93"/>
      <c r="U522" s="93"/>
      <c r="V522" s="92"/>
      <c r="W522" s="92"/>
      <c r="X522" s="92"/>
      <c r="Y522" s="92"/>
      <c r="Z522" s="91"/>
    </row>
    <row r="523" spans="1:26" ht="14.25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4"/>
      <c r="O523" s="93"/>
      <c r="P523" s="93"/>
      <c r="Q523" s="93"/>
      <c r="R523" s="93"/>
      <c r="S523" s="93"/>
      <c r="T523" s="93"/>
      <c r="U523" s="93"/>
      <c r="V523" s="92"/>
      <c r="W523" s="92"/>
      <c r="X523" s="92"/>
      <c r="Y523" s="92"/>
      <c r="Z523" s="91"/>
    </row>
    <row r="524" spans="1:26" ht="14.25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4"/>
      <c r="O524" s="93"/>
      <c r="P524" s="93"/>
      <c r="Q524" s="93"/>
      <c r="R524" s="93"/>
      <c r="S524" s="93"/>
      <c r="T524" s="93"/>
      <c r="U524" s="93"/>
      <c r="V524" s="92"/>
      <c r="W524" s="92"/>
      <c r="X524" s="92"/>
      <c r="Y524" s="92"/>
      <c r="Z524" s="91"/>
    </row>
    <row r="525" spans="1:26" ht="14.25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4"/>
      <c r="O525" s="93"/>
      <c r="P525" s="93"/>
      <c r="Q525" s="93"/>
      <c r="R525" s="93"/>
      <c r="S525" s="93"/>
      <c r="T525" s="93"/>
      <c r="U525" s="93"/>
      <c r="V525" s="92"/>
      <c r="W525" s="92"/>
      <c r="X525" s="92"/>
      <c r="Y525" s="92"/>
      <c r="Z525" s="91"/>
    </row>
    <row r="526" spans="1:26" ht="14.25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4"/>
      <c r="O526" s="93"/>
      <c r="P526" s="93"/>
      <c r="Q526" s="93"/>
      <c r="R526" s="93"/>
      <c r="S526" s="93"/>
      <c r="T526" s="93"/>
      <c r="U526" s="93"/>
      <c r="V526" s="92"/>
      <c r="W526" s="92"/>
      <c r="X526" s="92"/>
      <c r="Y526" s="92"/>
      <c r="Z526" s="91"/>
    </row>
    <row r="527" spans="1:26" ht="14.25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4"/>
      <c r="O527" s="93"/>
      <c r="P527" s="93"/>
      <c r="Q527" s="93"/>
      <c r="R527" s="93"/>
      <c r="S527" s="93"/>
      <c r="T527" s="93"/>
      <c r="U527" s="93"/>
      <c r="V527" s="92"/>
      <c r="W527" s="92"/>
      <c r="X527" s="92"/>
      <c r="Y527" s="92"/>
      <c r="Z527" s="91"/>
    </row>
    <row r="528" spans="1:26" ht="14.25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4"/>
      <c r="O528" s="93"/>
      <c r="P528" s="93"/>
      <c r="Q528" s="93"/>
      <c r="R528" s="93"/>
      <c r="S528" s="93"/>
      <c r="T528" s="93"/>
      <c r="U528" s="93"/>
      <c r="V528" s="92"/>
      <c r="W528" s="92"/>
      <c r="X528" s="92"/>
      <c r="Y528" s="92"/>
      <c r="Z528" s="91"/>
    </row>
    <row r="529" spans="1:26" ht="14.25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4"/>
      <c r="O529" s="93"/>
      <c r="P529" s="93"/>
      <c r="Q529" s="93"/>
      <c r="R529" s="93"/>
      <c r="S529" s="93"/>
      <c r="T529" s="93"/>
      <c r="U529" s="93"/>
      <c r="V529" s="92"/>
      <c r="W529" s="92"/>
      <c r="X529" s="92"/>
      <c r="Y529" s="92"/>
      <c r="Z529" s="91"/>
    </row>
    <row r="530" spans="1:26" ht="14.25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4"/>
      <c r="O530" s="93"/>
      <c r="P530" s="93"/>
      <c r="Q530" s="93"/>
      <c r="R530" s="93"/>
      <c r="S530" s="93"/>
      <c r="T530" s="93"/>
      <c r="U530" s="93"/>
      <c r="V530" s="92"/>
      <c r="W530" s="92"/>
      <c r="X530" s="92"/>
      <c r="Y530" s="92"/>
      <c r="Z530" s="91"/>
    </row>
    <row r="531" spans="1:26" ht="14.25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4"/>
      <c r="O531" s="93"/>
      <c r="P531" s="93"/>
      <c r="Q531" s="93"/>
      <c r="R531" s="93"/>
      <c r="S531" s="93"/>
      <c r="T531" s="93"/>
      <c r="U531" s="93"/>
      <c r="V531" s="92"/>
      <c r="W531" s="92"/>
      <c r="X531" s="92"/>
      <c r="Y531" s="92"/>
      <c r="Z531" s="91"/>
    </row>
    <row r="532" spans="1:26" ht="14.25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4"/>
      <c r="O532" s="93"/>
      <c r="P532" s="93"/>
      <c r="Q532" s="93"/>
      <c r="R532" s="93"/>
      <c r="S532" s="93"/>
      <c r="T532" s="93"/>
      <c r="U532" s="93"/>
      <c r="V532" s="92"/>
      <c r="W532" s="92"/>
      <c r="X532" s="92"/>
      <c r="Y532" s="92"/>
      <c r="Z532" s="91"/>
    </row>
    <row r="533" spans="1:26" ht="14.25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4"/>
      <c r="O533" s="93"/>
      <c r="P533" s="93"/>
      <c r="Q533" s="93"/>
      <c r="R533" s="93"/>
      <c r="S533" s="93"/>
      <c r="T533" s="93"/>
      <c r="U533" s="93"/>
      <c r="V533" s="92"/>
      <c r="W533" s="92"/>
      <c r="X533" s="92"/>
      <c r="Y533" s="92"/>
      <c r="Z533" s="91"/>
    </row>
    <row r="534" spans="1:26" ht="14.25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4"/>
      <c r="O534" s="93"/>
      <c r="P534" s="93"/>
      <c r="Q534" s="93"/>
      <c r="R534" s="93"/>
      <c r="S534" s="93"/>
      <c r="T534" s="93"/>
      <c r="U534" s="93"/>
      <c r="V534" s="92"/>
      <c r="W534" s="92"/>
      <c r="X534" s="92"/>
      <c r="Y534" s="92"/>
      <c r="Z534" s="91"/>
    </row>
    <row r="535" spans="1:26" ht="14.25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4"/>
      <c r="O535" s="93"/>
      <c r="P535" s="93"/>
      <c r="Q535" s="93"/>
      <c r="R535" s="93"/>
      <c r="S535" s="93"/>
      <c r="T535" s="93"/>
      <c r="U535" s="93"/>
      <c r="V535" s="92"/>
      <c r="W535" s="92"/>
      <c r="X535" s="92"/>
      <c r="Y535" s="92"/>
      <c r="Z535" s="91"/>
    </row>
    <row r="536" spans="1:26" ht="14.25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4"/>
      <c r="O536" s="93"/>
      <c r="P536" s="93"/>
      <c r="Q536" s="93"/>
      <c r="R536" s="93"/>
      <c r="S536" s="93"/>
      <c r="T536" s="93"/>
      <c r="U536" s="93"/>
      <c r="V536" s="92"/>
      <c r="W536" s="92"/>
      <c r="X536" s="92"/>
      <c r="Y536" s="92"/>
      <c r="Z536" s="91"/>
    </row>
    <row r="537" spans="1:26" ht="14.25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4"/>
      <c r="O537" s="93"/>
      <c r="P537" s="93"/>
      <c r="Q537" s="93"/>
      <c r="R537" s="93"/>
      <c r="S537" s="93"/>
      <c r="T537" s="93"/>
      <c r="U537" s="93"/>
      <c r="V537" s="92"/>
      <c r="W537" s="92"/>
      <c r="X537" s="92"/>
      <c r="Y537" s="92"/>
      <c r="Z537" s="91"/>
    </row>
    <row r="538" spans="1:26" ht="14.25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4"/>
      <c r="O538" s="93"/>
      <c r="P538" s="93"/>
      <c r="Q538" s="93"/>
      <c r="R538" s="93"/>
      <c r="S538" s="93"/>
      <c r="T538" s="93"/>
      <c r="U538" s="93"/>
      <c r="V538" s="92"/>
      <c r="W538" s="92"/>
      <c r="X538" s="92"/>
      <c r="Y538" s="92"/>
      <c r="Z538" s="91"/>
    </row>
    <row r="539" spans="1:26" ht="14.25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4"/>
      <c r="O539" s="93"/>
      <c r="P539" s="93"/>
      <c r="Q539" s="93"/>
      <c r="R539" s="93"/>
      <c r="S539" s="93"/>
      <c r="T539" s="93"/>
      <c r="U539" s="93"/>
      <c r="V539" s="92"/>
      <c r="W539" s="92"/>
      <c r="X539" s="92"/>
      <c r="Y539" s="92"/>
      <c r="Z539" s="91"/>
    </row>
    <row r="540" spans="1:26" ht="14.25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4"/>
      <c r="O540" s="93"/>
      <c r="P540" s="93"/>
      <c r="Q540" s="93"/>
      <c r="R540" s="93"/>
      <c r="S540" s="93"/>
      <c r="T540" s="93"/>
      <c r="U540" s="93"/>
      <c r="V540" s="92"/>
      <c r="W540" s="92"/>
      <c r="X540" s="92"/>
      <c r="Y540" s="92"/>
      <c r="Z540" s="91"/>
    </row>
    <row r="541" spans="1:26" ht="14.25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4"/>
      <c r="O541" s="93"/>
      <c r="P541" s="93"/>
      <c r="Q541" s="93"/>
      <c r="R541" s="93"/>
      <c r="S541" s="93"/>
      <c r="T541" s="93"/>
      <c r="U541" s="93"/>
      <c r="V541" s="92"/>
      <c r="W541" s="92"/>
      <c r="X541" s="92"/>
      <c r="Y541" s="92"/>
      <c r="Z541" s="91"/>
    </row>
    <row r="542" spans="1:26" ht="14.25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4"/>
      <c r="O542" s="93"/>
      <c r="P542" s="93"/>
      <c r="Q542" s="93"/>
      <c r="R542" s="93"/>
      <c r="S542" s="93"/>
      <c r="T542" s="93"/>
      <c r="U542" s="93"/>
      <c r="V542" s="92"/>
      <c r="W542" s="92"/>
      <c r="X542" s="92"/>
      <c r="Y542" s="92"/>
      <c r="Z542" s="91"/>
    </row>
    <row r="543" spans="1:26" ht="14.25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4"/>
      <c r="O543" s="93"/>
      <c r="P543" s="93"/>
      <c r="Q543" s="93"/>
      <c r="R543" s="93"/>
      <c r="S543" s="93"/>
      <c r="T543" s="93"/>
      <c r="U543" s="93"/>
      <c r="V543" s="92"/>
      <c r="W543" s="92"/>
      <c r="X543" s="92"/>
      <c r="Y543" s="92"/>
      <c r="Z543" s="91"/>
    </row>
    <row r="544" spans="1:26" ht="14.25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4"/>
      <c r="O544" s="93"/>
      <c r="P544" s="93"/>
      <c r="Q544" s="93"/>
      <c r="R544" s="93"/>
      <c r="S544" s="93"/>
      <c r="T544" s="93"/>
      <c r="U544" s="93"/>
      <c r="V544" s="92"/>
      <c r="W544" s="92"/>
      <c r="X544" s="92"/>
      <c r="Y544" s="92"/>
      <c r="Z544" s="91"/>
    </row>
    <row r="545" spans="1:26" ht="14.25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4"/>
      <c r="O545" s="93"/>
      <c r="P545" s="93"/>
      <c r="Q545" s="93"/>
      <c r="R545" s="93"/>
      <c r="S545" s="93"/>
      <c r="T545" s="93"/>
      <c r="U545" s="93"/>
      <c r="V545" s="92"/>
      <c r="W545" s="92"/>
      <c r="X545" s="92"/>
      <c r="Y545" s="92"/>
      <c r="Z545" s="91"/>
    </row>
    <row r="546" spans="1:26" ht="14.25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4"/>
      <c r="O546" s="93"/>
      <c r="P546" s="93"/>
      <c r="Q546" s="93"/>
      <c r="R546" s="93"/>
      <c r="S546" s="93"/>
      <c r="T546" s="93"/>
      <c r="U546" s="93"/>
      <c r="V546" s="92"/>
      <c r="W546" s="92"/>
      <c r="X546" s="92"/>
      <c r="Y546" s="92"/>
      <c r="Z546" s="91"/>
    </row>
    <row r="547" spans="1:26" ht="14.25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4"/>
      <c r="O547" s="93"/>
      <c r="P547" s="93"/>
      <c r="Q547" s="93"/>
      <c r="R547" s="93"/>
      <c r="S547" s="93"/>
      <c r="T547" s="93"/>
      <c r="U547" s="93"/>
      <c r="V547" s="92"/>
      <c r="W547" s="92"/>
      <c r="X547" s="92"/>
      <c r="Y547" s="92"/>
      <c r="Z547" s="91"/>
    </row>
    <row r="548" spans="1:26" ht="14.25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4"/>
      <c r="O548" s="93"/>
      <c r="P548" s="93"/>
      <c r="Q548" s="93"/>
      <c r="R548" s="93"/>
      <c r="S548" s="93"/>
      <c r="T548" s="93"/>
      <c r="U548" s="93"/>
      <c r="V548" s="92"/>
      <c r="W548" s="92"/>
      <c r="X548" s="92"/>
      <c r="Y548" s="92"/>
      <c r="Z548" s="91"/>
    </row>
    <row r="549" spans="1:26" ht="14.25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4"/>
      <c r="O549" s="93"/>
      <c r="P549" s="93"/>
      <c r="Q549" s="93"/>
      <c r="R549" s="93"/>
      <c r="S549" s="93"/>
      <c r="T549" s="93"/>
      <c r="U549" s="93"/>
      <c r="V549" s="92"/>
      <c r="W549" s="92"/>
      <c r="X549" s="92"/>
      <c r="Y549" s="92"/>
      <c r="Z549" s="91"/>
    </row>
    <row r="550" spans="1:26" ht="14.25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4"/>
      <c r="O550" s="93"/>
      <c r="P550" s="93"/>
      <c r="Q550" s="93"/>
      <c r="R550" s="93"/>
      <c r="S550" s="93"/>
      <c r="T550" s="93"/>
      <c r="U550" s="93"/>
      <c r="V550" s="92"/>
      <c r="W550" s="92"/>
      <c r="X550" s="92"/>
      <c r="Y550" s="92"/>
      <c r="Z550" s="91"/>
    </row>
    <row r="551" spans="1:26" ht="14.25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4"/>
      <c r="O551" s="93"/>
      <c r="P551" s="93"/>
      <c r="Q551" s="93"/>
      <c r="R551" s="93"/>
      <c r="S551" s="93"/>
      <c r="T551" s="93"/>
      <c r="U551" s="93"/>
      <c r="V551" s="92"/>
      <c r="W551" s="92"/>
      <c r="X551" s="92"/>
      <c r="Y551" s="92"/>
      <c r="Z551" s="91"/>
    </row>
    <row r="552" spans="1:26" ht="14.25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4"/>
      <c r="O552" s="93"/>
      <c r="P552" s="93"/>
      <c r="Q552" s="93"/>
      <c r="R552" s="93"/>
      <c r="S552" s="93"/>
      <c r="T552" s="93"/>
      <c r="U552" s="93"/>
      <c r="V552" s="92"/>
      <c r="W552" s="92"/>
      <c r="X552" s="92"/>
      <c r="Y552" s="92"/>
      <c r="Z552" s="91"/>
    </row>
    <row r="553" spans="1:26" ht="14.25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4"/>
      <c r="O553" s="93"/>
      <c r="P553" s="93"/>
      <c r="Q553" s="93"/>
      <c r="R553" s="93"/>
      <c r="S553" s="93"/>
      <c r="T553" s="93"/>
      <c r="U553" s="93"/>
      <c r="V553" s="92"/>
      <c r="W553" s="92"/>
      <c r="X553" s="92"/>
      <c r="Y553" s="92"/>
      <c r="Z553" s="91"/>
    </row>
    <row r="554" spans="1:26" ht="14.25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4"/>
      <c r="O554" s="93"/>
      <c r="P554" s="93"/>
      <c r="Q554" s="93"/>
      <c r="R554" s="93"/>
      <c r="S554" s="93"/>
      <c r="T554" s="93"/>
      <c r="U554" s="93"/>
      <c r="V554" s="92"/>
      <c r="W554" s="92"/>
      <c r="X554" s="92"/>
      <c r="Y554" s="92"/>
      <c r="Z554" s="91"/>
    </row>
    <row r="555" spans="1:26" ht="14.25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4"/>
      <c r="O555" s="93"/>
      <c r="P555" s="93"/>
      <c r="Q555" s="93"/>
      <c r="R555" s="93"/>
      <c r="S555" s="93"/>
      <c r="T555" s="93"/>
      <c r="U555" s="93"/>
      <c r="V555" s="92"/>
      <c r="W555" s="92"/>
      <c r="X555" s="92"/>
      <c r="Y555" s="92"/>
      <c r="Z555" s="91"/>
    </row>
    <row r="556" spans="1:26" ht="14.25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4"/>
      <c r="O556" s="93"/>
      <c r="P556" s="93"/>
      <c r="Q556" s="93"/>
      <c r="R556" s="93"/>
      <c r="S556" s="93"/>
      <c r="T556" s="93"/>
      <c r="U556" s="93"/>
      <c r="V556" s="92"/>
      <c r="W556" s="92"/>
      <c r="X556" s="92"/>
      <c r="Y556" s="92"/>
      <c r="Z556" s="91"/>
    </row>
    <row r="557" spans="1:26" ht="14.25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4"/>
      <c r="O557" s="93"/>
      <c r="P557" s="93"/>
      <c r="Q557" s="93"/>
      <c r="R557" s="93"/>
      <c r="S557" s="93"/>
      <c r="T557" s="93"/>
      <c r="U557" s="93"/>
      <c r="V557" s="92"/>
      <c r="W557" s="92"/>
      <c r="X557" s="92"/>
      <c r="Y557" s="92"/>
      <c r="Z557" s="91"/>
    </row>
    <row r="558" spans="1:26" ht="14.25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4"/>
      <c r="O558" s="93"/>
      <c r="P558" s="93"/>
      <c r="Q558" s="93"/>
      <c r="R558" s="93"/>
      <c r="S558" s="93"/>
      <c r="T558" s="93"/>
      <c r="U558" s="93"/>
      <c r="V558" s="92"/>
      <c r="W558" s="92"/>
      <c r="X558" s="92"/>
      <c r="Y558" s="92"/>
      <c r="Z558" s="91"/>
    </row>
    <row r="559" spans="1:26" ht="14.25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4"/>
      <c r="O559" s="93"/>
      <c r="P559" s="93"/>
      <c r="Q559" s="93"/>
      <c r="R559" s="93"/>
      <c r="S559" s="93"/>
      <c r="T559" s="93"/>
      <c r="U559" s="93"/>
      <c r="V559" s="92"/>
      <c r="W559" s="92"/>
      <c r="X559" s="92"/>
      <c r="Y559" s="92"/>
      <c r="Z559" s="91"/>
    </row>
    <row r="560" spans="1:26" ht="14.25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4"/>
      <c r="O560" s="93"/>
      <c r="P560" s="93"/>
      <c r="Q560" s="93"/>
      <c r="R560" s="93"/>
      <c r="S560" s="93"/>
      <c r="T560" s="93"/>
      <c r="U560" s="93"/>
      <c r="V560" s="92"/>
      <c r="W560" s="92"/>
      <c r="X560" s="92"/>
      <c r="Y560" s="92"/>
      <c r="Z560" s="91"/>
    </row>
    <row r="561" spans="1:26" ht="14.25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4"/>
      <c r="O561" s="93"/>
      <c r="P561" s="93"/>
      <c r="Q561" s="93"/>
      <c r="R561" s="93"/>
      <c r="S561" s="93"/>
      <c r="T561" s="93"/>
      <c r="U561" s="93"/>
      <c r="V561" s="92"/>
      <c r="W561" s="92"/>
      <c r="X561" s="92"/>
      <c r="Y561" s="92"/>
      <c r="Z561" s="91"/>
    </row>
    <row r="562" spans="1:26" ht="14.25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4"/>
      <c r="O562" s="93"/>
      <c r="P562" s="93"/>
      <c r="Q562" s="93"/>
      <c r="R562" s="93"/>
      <c r="S562" s="93"/>
      <c r="T562" s="93"/>
      <c r="U562" s="93"/>
      <c r="V562" s="92"/>
      <c r="W562" s="92"/>
      <c r="X562" s="92"/>
      <c r="Y562" s="92"/>
      <c r="Z562" s="91"/>
    </row>
    <row r="563" spans="1:26" ht="14.25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4"/>
      <c r="O563" s="93"/>
      <c r="P563" s="93"/>
      <c r="Q563" s="93"/>
      <c r="R563" s="93"/>
      <c r="S563" s="93"/>
      <c r="T563" s="93"/>
      <c r="U563" s="93"/>
      <c r="V563" s="92"/>
      <c r="W563" s="92"/>
      <c r="X563" s="92"/>
      <c r="Y563" s="92"/>
      <c r="Z563" s="91"/>
    </row>
    <row r="564" spans="1:26" ht="14.25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4"/>
      <c r="O564" s="93"/>
      <c r="P564" s="93"/>
      <c r="Q564" s="93"/>
      <c r="R564" s="93"/>
      <c r="S564" s="93"/>
      <c r="T564" s="93"/>
      <c r="U564" s="93"/>
      <c r="V564" s="92"/>
      <c r="W564" s="92"/>
      <c r="X564" s="92"/>
      <c r="Y564" s="92"/>
      <c r="Z564" s="91"/>
    </row>
    <row r="565" spans="1:26" ht="14.25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4"/>
      <c r="O565" s="93"/>
      <c r="P565" s="93"/>
      <c r="Q565" s="93"/>
      <c r="R565" s="93"/>
      <c r="S565" s="93"/>
      <c r="T565" s="93"/>
      <c r="U565" s="93"/>
      <c r="V565" s="92"/>
      <c r="W565" s="92"/>
      <c r="X565" s="92"/>
      <c r="Y565" s="92"/>
      <c r="Z565" s="91"/>
    </row>
    <row r="566" spans="1:26" ht="14.25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4"/>
      <c r="O566" s="93"/>
      <c r="P566" s="93"/>
      <c r="Q566" s="93"/>
      <c r="R566" s="93"/>
      <c r="S566" s="93"/>
      <c r="T566" s="93"/>
      <c r="U566" s="93"/>
      <c r="V566" s="92"/>
      <c r="W566" s="92"/>
      <c r="X566" s="92"/>
      <c r="Y566" s="92"/>
      <c r="Z566" s="91"/>
    </row>
    <row r="567" spans="1:26" ht="14.25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4"/>
      <c r="O567" s="93"/>
      <c r="P567" s="93"/>
      <c r="Q567" s="93"/>
      <c r="R567" s="93"/>
      <c r="S567" s="93"/>
      <c r="T567" s="93"/>
      <c r="U567" s="93"/>
      <c r="V567" s="92"/>
      <c r="W567" s="92"/>
      <c r="X567" s="92"/>
      <c r="Y567" s="92"/>
      <c r="Z567" s="91"/>
    </row>
    <row r="568" spans="1:26" ht="14.25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4"/>
      <c r="O568" s="93"/>
      <c r="P568" s="93"/>
      <c r="Q568" s="93"/>
      <c r="R568" s="93"/>
      <c r="S568" s="93"/>
      <c r="T568" s="93"/>
      <c r="U568" s="93"/>
      <c r="V568" s="92"/>
      <c r="W568" s="92"/>
      <c r="X568" s="92"/>
      <c r="Y568" s="92"/>
      <c r="Z568" s="91"/>
    </row>
    <row r="569" spans="1:26" ht="14.25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4"/>
      <c r="O569" s="93"/>
      <c r="P569" s="93"/>
      <c r="Q569" s="93"/>
      <c r="R569" s="93"/>
      <c r="S569" s="93"/>
      <c r="T569" s="93"/>
      <c r="U569" s="93"/>
      <c r="V569" s="92"/>
      <c r="W569" s="92"/>
      <c r="X569" s="92"/>
      <c r="Y569" s="92"/>
      <c r="Z569" s="91"/>
    </row>
    <row r="570" spans="1:26" ht="14.25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4"/>
      <c r="O570" s="93"/>
      <c r="P570" s="93"/>
      <c r="Q570" s="93"/>
      <c r="R570" s="93"/>
      <c r="S570" s="93"/>
      <c r="T570" s="93"/>
      <c r="U570" s="93"/>
      <c r="V570" s="92"/>
      <c r="W570" s="92"/>
      <c r="X570" s="92"/>
      <c r="Y570" s="92"/>
      <c r="Z570" s="91"/>
    </row>
    <row r="571" spans="1:26" ht="14.25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4"/>
      <c r="O571" s="93"/>
      <c r="P571" s="93"/>
      <c r="Q571" s="93"/>
      <c r="R571" s="93"/>
      <c r="S571" s="93"/>
      <c r="T571" s="93"/>
      <c r="U571" s="93"/>
      <c r="V571" s="92"/>
      <c r="W571" s="92"/>
      <c r="X571" s="92"/>
      <c r="Y571" s="92"/>
      <c r="Z571" s="91"/>
    </row>
    <row r="572" spans="1:26" ht="14.25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4"/>
      <c r="O572" s="93"/>
      <c r="P572" s="93"/>
      <c r="Q572" s="93"/>
      <c r="R572" s="93"/>
      <c r="S572" s="93"/>
      <c r="T572" s="93"/>
      <c r="U572" s="93"/>
      <c r="V572" s="92"/>
      <c r="W572" s="92"/>
      <c r="X572" s="92"/>
      <c r="Y572" s="92"/>
      <c r="Z572" s="91"/>
    </row>
    <row r="573" spans="1:26" ht="14.25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4"/>
      <c r="O573" s="93"/>
      <c r="P573" s="93"/>
      <c r="Q573" s="93"/>
      <c r="R573" s="93"/>
      <c r="S573" s="93"/>
      <c r="T573" s="93"/>
      <c r="U573" s="93"/>
      <c r="V573" s="92"/>
      <c r="W573" s="92"/>
      <c r="X573" s="92"/>
      <c r="Y573" s="92"/>
      <c r="Z573" s="91"/>
    </row>
    <row r="574" spans="1:26" ht="14.25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4"/>
      <c r="O574" s="93"/>
      <c r="P574" s="93"/>
      <c r="Q574" s="93"/>
      <c r="R574" s="93"/>
      <c r="S574" s="93"/>
      <c r="T574" s="93"/>
      <c r="U574" s="93"/>
      <c r="V574" s="92"/>
      <c r="W574" s="92"/>
      <c r="X574" s="92"/>
      <c r="Y574" s="92"/>
      <c r="Z574" s="91"/>
    </row>
    <row r="575" spans="1:26" ht="14.25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4"/>
      <c r="O575" s="93"/>
      <c r="P575" s="93"/>
      <c r="Q575" s="93"/>
      <c r="R575" s="93"/>
      <c r="S575" s="93"/>
      <c r="T575" s="93"/>
      <c r="U575" s="93"/>
      <c r="V575" s="92"/>
      <c r="W575" s="92"/>
      <c r="X575" s="92"/>
      <c r="Y575" s="92"/>
      <c r="Z575" s="91"/>
    </row>
    <row r="576" spans="1:26" ht="14.25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4"/>
      <c r="O576" s="93"/>
      <c r="P576" s="93"/>
      <c r="Q576" s="93"/>
      <c r="R576" s="93"/>
      <c r="S576" s="93"/>
      <c r="T576" s="93"/>
      <c r="U576" s="93"/>
      <c r="V576" s="92"/>
      <c r="W576" s="92"/>
      <c r="X576" s="92"/>
      <c r="Y576" s="92"/>
      <c r="Z576" s="91"/>
    </row>
    <row r="577" spans="1:26" ht="14.25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4"/>
      <c r="O577" s="93"/>
      <c r="P577" s="93"/>
      <c r="Q577" s="93"/>
      <c r="R577" s="93"/>
      <c r="S577" s="93"/>
      <c r="T577" s="93"/>
      <c r="U577" s="93"/>
      <c r="V577" s="92"/>
      <c r="W577" s="92"/>
      <c r="X577" s="92"/>
      <c r="Y577" s="92"/>
      <c r="Z577" s="91"/>
    </row>
    <row r="578" spans="1:26" ht="14.25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4"/>
      <c r="O578" s="93"/>
      <c r="P578" s="93"/>
      <c r="Q578" s="93"/>
      <c r="R578" s="93"/>
      <c r="S578" s="93"/>
      <c r="T578" s="93"/>
      <c r="U578" s="93"/>
      <c r="V578" s="92"/>
      <c r="W578" s="92"/>
      <c r="X578" s="92"/>
      <c r="Y578" s="92"/>
      <c r="Z578" s="91"/>
    </row>
    <row r="579" spans="1:26" ht="14.25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4"/>
      <c r="O579" s="93"/>
      <c r="P579" s="93"/>
      <c r="Q579" s="93"/>
      <c r="R579" s="93"/>
      <c r="S579" s="93"/>
      <c r="T579" s="93"/>
      <c r="U579" s="93"/>
      <c r="V579" s="92"/>
      <c r="W579" s="92"/>
      <c r="X579" s="92"/>
      <c r="Y579" s="92"/>
      <c r="Z579" s="91"/>
    </row>
    <row r="580" spans="1:26" ht="14.25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4"/>
      <c r="O580" s="93"/>
      <c r="P580" s="93"/>
      <c r="Q580" s="93"/>
      <c r="R580" s="93"/>
      <c r="S580" s="93"/>
      <c r="T580" s="93"/>
      <c r="U580" s="93"/>
      <c r="V580" s="92"/>
      <c r="W580" s="92"/>
      <c r="X580" s="92"/>
      <c r="Y580" s="92"/>
      <c r="Z580" s="91"/>
    </row>
    <row r="581" spans="1:26" ht="14.25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4"/>
      <c r="O581" s="93"/>
      <c r="P581" s="93"/>
      <c r="Q581" s="93"/>
      <c r="R581" s="93"/>
      <c r="S581" s="93"/>
      <c r="T581" s="93"/>
      <c r="U581" s="93"/>
      <c r="V581" s="92"/>
      <c r="W581" s="92"/>
      <c r="X581" s="92"/>
      <c r="Y581" s="92"/>
      <c r="Z581" s="91"/>
    </row>
    <row r="582" spans="1:26" ht="14.25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4"/>
      <c r="O582" s="93"/>
      <c r="P582" s="93"/>
      <c r="Q582" s="93"/>
      <c r="R582" s="93"/>
      <c r="S582" s="93"/>
      <c r="T582" s="93"/>
      <c r="U582" s="93"/>
      <c r="V582" s="92"/>
      <c r="W582" s="92"/>
      <c r="X582" s="92"/>
      <c r="Y582" s="92"/>
      <c r="Z582" s="91"/>
    </row>
    <row r="583" spans="1:26" ht="14.25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4"/>
      <c r="O583" s="93"/>
      <c r="P583" s="93"/>
      <c r="Q583" s="93"/>
      <c r="R583" s="93"/>
      <c r="S583" s="93"/>
      <c r="T583" s="93"/>
      <c r="U583" s="93"/>
      <c r="V583" s="92"/>
      <c r="W583" s="92"/>
      <c r="X583" s="92"/>
      <c r="Y583" s="92"/>
      <c r="Z583" s="91"/>
    </row>
    <row r="584" spans="1:26" ht="14.25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4"/>
      <c r="O584" s="93"/>
      <c r="P584" s="93"/>
      <c r="Q584" s="93"/>
      <c r="R584" s="93"/>
      <c r="S584" s="93"/>
      <c r="T584" s="93"/>
      <c r="U584" s="93"/>
      <c r="V584" s="92"/>
      <c r="W584" s="92"/>
      <c r="X584" s="92"/>
      <c r="Y584" s="92"/>
      <c r="Z584" s="91"/>
    </row>
    <row r="585" spans="1:26" ht="14.25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4"/>
      <c r="O585" s="93"/>
      <c r="P585" s="93"/>
      <c r="Q585" s="93"/>
      <c r="R585" s="93"/>
      <c r="S585" s="93"/>
      <c r="T585" s="93"/>
      <c r="U585" s="93"/>
      <c r="V585" s="92"/>
      <c r="W585" s="92"/>
      <c r="X585" s="92"/>
      <c r="Y585" s="92"/>
      <c r="Z585" s="91"/>
    </row>
    <row r="586" spans="1:26" ht="14.25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4"/>
      <c r="O586" s="93"/>
      <c r="P586" s="93"/>
      <c r="Q586" s="93"/>
      <c r="R586" s="93"/>
      <c r="S586" s="93"/>
      <c r="T586" s="93"/>
      <c r="U586" s="93"/>
      <c r="V586" s="92"/>
      <c r="W586" s="92"/>
      <c r="X586" s="92"/>
      <c r="Y586" s="92"/>
      <c r="Z586" s="91"/>
    </row>
    <row r="587" spans="1:26" ht="14.25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4"/>
      <c r="O587" s="93"/>
      <c r="P587" s="93"/>
      <c r="Q587" s="93"/>
      <c r="R587" s="93"/>
      <c r="S587" s="93"/>
      <c r="T587" s="93"/>
      <c r="U587" s="93"/>
      <c r="V587" s="92"/>
      <c r="W587" s="92"/>
      <c r="X587" s="92"/>
      <c r="Y587" s="92"/>
      <c r="Z587" s="91"/>
    </row>
    <row r="588" spans="1:26" ht="14.25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4"/>
      <c r="O588" s="93"/>
      <c r="P588" s="93"/>
      <c r="Q588" s="93"/>
      <c r="R588" s="93"/>
      <c r="S588" s="93"/>
      <c r="T588" s="93"/>
      <c r="U588" s="93"/>
      <c r="V588" s="92"/>
      <c r="W588" s="92"/>
      <c r="X588" s="92"/>
      <c r="Y588" s="92"/>
      <c r="Z588" s="91"/>
    </row>
    <row r="589" spans="1:26" ht="14.25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4"/>
      <c r="O589" s="93"/>
      <c r="P589" s="93"/>
      <c r="Q589" s="93"/>
      <c r="R589" s="93"/>
      <c r="S589" s="93"/>
      <c r="T589" s="93"/>
      <c r="U589" s="93"/>
      <c r="V589" s="92"/>
      <c r="W589" s="92"/>
      <c r="X589" s="92"/>
      <c r="Y589" s="92"/>
      <c r="Z589" s="91"/>
    </row>
    <row r="590" spans="1:26" ht="14.25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4"/>
      <c r="O590" s="93"/>
      <c r="P590" s="93"/>
      <c r="Q590" s="93"/>
      <c r="R590" s="93"/>
      <c r="S590" s="93"/>
      <c r="T590" s="93"/>
      <c r="U590" s="93"/>
      <c r="V590" s="92"/>
      <c r="W590" s="92"/>
      <c r="X590" s="92"/>
      <c r="Y590" s="92"/>
      <c r="Z590" s="91"/>
    </row>
    <row r="591" spans="1:26" ht="14.25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4"/>
      <c r="O591" s="93"/>
      <c r="P591" s="93"/>
      <c r="Q591" s="93"/>
      <c r="R591" s="93"/>
      <c r="S591" s="93"/>
      <c r="T591" s="93"/>
      <c r="U591" s="93"/>
      <c r="V591" s="92"/>
      <c r="W591" s="92"/>
      <c r="X591" s="92"/>
      <c r="Y591" s="92"/>
      <c r="Z591" s="91"/>
    </row>
    <row r="592" spans="1:26" ht="14.25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4"/>
      <c r="O592" s="93"/>
      <c r="P592" s="93"/>
      <c r="Q592" s="93"/>
      <c r="R592" s="93"/>
      <c r="S592" s="93"/>
      <c r="T592" s="93"/>
      <c r="U592" s="93"/>
      <c r="V592" s="92"/>
      <c r="W592" s="92"/>
      <c r="X592" s="92"/>
      <c r="Y592" s="92"/>
      <c r="Z592" s="91"/>
    </row>
    <row r="593" spans="1:26" ht="14.25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4"/>
      <c r="O593" s="93"/>
      <c r="P593" s="93"/>
      <c r="Q593" s="93"/>
      <c r="R593" s="93"/>
      <c r="S593" s="93"/>
      <c r="T593" s="93"/>
      <c r="U593" s="93"/>
      <c r="V593" s="92"/>
      <c r="W593" s="92"/>
      <c r="X593" s="92"/>
      <c r="Y593" s="92"/>
      <c r="Z593" s="91"/>
    </row>
    <row r="594" spans="1:26" ht="14.25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4"/>
      <c r="O594" s="93"/>
      <c r="P594" s="93"/>
      <c r="Q594" s="93"/>
      <c r="R594" s="93"/>
      <c r="S594" s="93"/>
      <c r="T594" s="93"/>
      <c r="U594" s="93"/>
      <c r="V594" s="92"/>
      <c r="W594" s="92"/>
      <c r="X594" s="92"/>
      <c r="Y594" s="92"/>
      <c r="Z594" s="91"/>
    </row>
    <row r="595" spans="1:26" ht="14.25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4"/>
      <c r="O595" s="93"/>
      <c r="P595" s="93"/>
      <c r="Q595" s="93"/>
      <c r="R595" s="93"/>
      <c r="S595" s="93"/>
      <c r="T595" s="93"/>
      <c r="U595" s="93"/>
      <c r="V595" s="92"/>
      <c r="W595" s="92"/>
      <c r="X595" s="92"/>
      <c r="Y595" s="92"/>
      <c r="Z595" s="91"/>
    </row>
    <row r="596" spans="1:26" ht="14.25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4"/>
      <c r="O596" s="93"/>
      <c r="P596" s="93"/>
      <c r="Q596" s="93"/>
      <c r="R596" s="93"/>
      <c r="S596" s="93"/>
      <c r="T596" s="93"/>
      <c r="U596" s="93"/>
      <c r="V596" s="92"/>
      <c r="W596" s="92"/>
      <c r="X596" s="92"/>
      <c r="Y596" s="92"/>
      <c r="Z596" s="91"/>
    </row>
    <row r="597" spans="1:26" ht="14.25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4"/>
      <c r="O597" s="93"/>
      <c r="P597" s="93"/>
      <c r="Q597" s="93"/>
      <c r="R597" s="93"/>
      <c r="S597" s="93"/>
      <c r="T597" s="93"/>
      <c r="U597" s="93"/>
      <c r="V597" s="92"/>
      <c r="W597" s="92"/>
      <c r="X597" s="92"/>
      <c r="Y597" s="92"/>
      <c r="Z597" s="91"/>
    </row>
    <row r="598" spans="1:26" ht="14.25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4"/>
      <c r="O598" s="93"/>
      <c r="P598" s="93"/>
      <c r="Q598" s="93"/>
      <c r="R598" s="93"/>
      <c r="S598" s="93"/>
      <c r="T598" s="93"/>
      <c r="U598" s="93"/>
      <c r="V598" s="92"/>
      <c r="W598" s="92"/>
      <c r="X598" s="92"/>
      <c r="Y598" s="92"/>
      <c r="Z598" s="91"/>
    </row>
    <row r="599" spans="1:26" ht="14.25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4"/>
      <c r="O599" s="93"/>
      <c r="P599" s="93"/>
      <c r="Q599" s="93"/>
      <c r="R599" s="93"/>
      <c r="S599" s="93"/>
      <c r="T599" s="93"/>
      <c r="U599" s="93"/>
      <c r="V599" s="92"/>
      <c r="W599" s="92"/>
      <c r="X599" s="92"/>
      <c r="Y599" s="92"/>
      <c r="Z599" s="91"/>
    </row>
    <row r="600" spans="1:26" ht="14.25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4"/>
      <c r="O600" s="93"/>
      <c r="P600" s="93"/>
      <c r="Q600" s="93"/>
      <c r="R600" s="93"/>
      <c r="S600" s="93"/>
      <c r="T600" s="93"/>
      <c r="U600" s="93"/>
      <c r="V600" s="92"/>
      <c r="W600" s="92"/>
      <c r="X600" s="92"/>
      <c r="Y600" s="92"/>
      <c r="Z600" s="91"/>
    </row>
    <row r="601" spans="1:26" ht="14.25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4"/>
      <c r="O601" s="93"/>
      <c r="P601" s="93"/>
      <c r="Q601" s="93"/>
      <c r="R601" s="93"/>
      <c r="S601" s="93"/>
      <c r="T601" s="93"/>
      <c r="U601" s="93"/>
      <c r="V601" s="92"/>
      <c r="W601" s="92"/>
      <c r="X601" s="92"/>
      <c r="Y601" s="92"/>
      <c r="Z601" s="91"/>
    </row>
    <row r="602" spans="1:26" ht="14.25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4"/>
      <c r="O602" s="93"/>
      <c r="P602" s="93"/>
      <c r="Q602" s="93"/>
      <c r="R602" s="93"/>
      <c r="S602" s="93"/>
      <c r="T602" s="93"/>
      <c r="U602" s="93"/>
      <c r="V602" s="92"/>
      <c r="W602" s="92"/>
      <c r="X602" s="92"/>
      <c r="Y602" s="92"/>
      <c r="Z602" s="91"/>
    </row>
    <row r="603" spans="1:26" ht="14.25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4"/>
      <c r="O603" s="93"/>
      <c r="P603" s="93"/>
      <c r="Q603" s="93"/>
      <c r="R603" s="93"/>
      <c r="S603" s="93"/>
      <c r="T603" s="93"/>
      <c r="U603" s="93"/>
      <c r="V603" s="92"/>
      <c r="W603" s="92"/>
      <c r="X603" s="92"/>
      <c r="Y603" s="92"/>
      <c r="Z603" s="91"/>
    </row>
    <row r="604" spans="1:26" ht="14.25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4"/>
      <c r="O604" s="93"/>
      <c r="P604" s="93"/>
      <c r="Q604" s="93"/>
      <c r="R604" s="93"/>
      <c r="S604" s="93"/>
      <c r="T604" s="93"/>
      <c r="U604" s="93"/>
      <c r="V604" s="92"/>
      <c r="W604" s="92"/>
      <c r="X604" s="92"/>
      <c r="Y604" s="92"/>
      <c r="Z604" s="91"/>
    </row>
    <row r="605" spans="1:26" ht="14.25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4"/>
      <c r="O605" s="93"/>
      <c r="P605" s="93"/>
      <c r="Q605" s="93"/>
      <c r="R605" s="93"/>
      <c r="S605" s="93"/>
      <c r="T605" s="93"/>
      <c r="U605" s="93"/>
      <c r="V605" s="92"/>
      <c r="W605" s="92"/>
      <c r="X605" s="92"/>
      <c r="Y605" s="92"/>
      <c r="Z605" s="91"/>
    </row>
    <row r="606" spans="1:26" ht="14.25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4"/>
      <c r="O606" s="93"/>
      <c r="P606" s="93"/>
      <c r="Q606" s="93"/>
      <c r="R606" s="93"/>
      <c r="S606" s="93"/>
      <c r="T606" s="93"/>
      <c r="U606" s="93"/>
      <c r="V606" s="92"/>
      <c r="W606" s="92"/>
      <c r="X606" s="92"/>
      <c r="Y606" s="92"/>
      <c r="Z606" s="91"/>
    </row>
    <row r="607" spans="1:26" ht="14.25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4"/>
      <c r="O607" s="93"/>
      <c r="P607" s="93"/>
      <c r="Q607" s="93"/>
      <c r="R607" s="93"/>
      <c r="S607" s="93"/>
      <c r="T607" s="93"/>
      <c r="U607" s="93"/>
      <c r="V607" s="92"/>
      <c r="W607" s="92"/>
      <c r="X607" s="92"/>
      <c r="Y607" s="92"/>
      <c r="Z607" s="91"/>
    </row>
    <row r="608" spans="1:26" ht="14.25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4"/>
      <c r="O608" s="93"/>
      <c r="P608" s="93"/>
      <c r="Q608" s="93"/>
      <c r="R608" s="93"/>
      <c r="S608" s="93"/>
      <c r="T608" s="93"/>
      <c r="U608" s="93"/>
      <c r="V608" s="92"/>
      <c r="W608" s="92"/>
      <c r="X608" s="92"/>
      <c r="Y608" s="92"/>
      <c r="Z608" s="91"/>
    </row>
    <row r="609" spans="1:26" ht="14.25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4"/>
      <c r="O609" s="93"/>
      <c r="P609" s="93"/>
      <c r="Q609" s="93"/>
      <c r="R609" s="93"/>
      <c r="S609" s="93"/>
      <c r="T609" s="93"/>
      <c r="U609" s="93"/>
      <c r="V609" s="92"/>
      <c r="W609" s="92"/>
      <c r="X609" s="92"/>
      <c r="Y609" s="92"/>
      <c r="Z609" s="91"/>
    </row>
    <row r="610" spans="1:26" ht="14.25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4"/>
      <c r="O610" s="93"/>
      <c r="P610" s="93"/>
      <c r="Q610" s="93"/>
      <c r="R610" s="93"/>
      <c r="S610" s="93"/>
      <c r="T610" s="93"/>
      <c r="U610" s="93"/>
      <c r="V610" s="92"/>
      <c r="W610" s="92"/>
      <c r="X610" s="92"/>
      <c r="Y610" s="92"/>
      <c r="Z610" s="91"/>
    </row>
    <row r="611" spans="1:26" ht="14.25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4"/>
      <c r="O611" s="93"/>
      <c r="P611" s="93"/>
      <c r="Q611" s="93"/>
      <c r="R611" s="93"/>
      <c r="S611" s="93"/>
      <c r="T611" s="93"/>
      <c r="U611" s="93"/>
      <c r="V611" s="92"/>
      <c r="W611" s="92"/>
      <c r="X611" s="92"/>
      <c r="Y611" s="92"/>
      <c r="Z611" s="91"/>
    </row>
    <row r="612" spans="1:26" ht="14.25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4"/>
      <c r="O612" s="93"/>
      <c r="P612" s="93"/>
      <c r="Q612" s="93"/>
      <c r="R612" s="93"/>
      <c r="S612" s="93"/>
      <c r="T612" s="93"/>
      <c r="U612" s="93"/>
      <c r="V612" s="92"/>
      <c r="W612" s="92"/>
      <c r="X612" s="92"/>
      <c r="Y612" s="92"/>
      <c r="Z612" s="91"/>
    </row>
    <row r="613" spans="1:26" ht="14.25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4"/>
      <c r="O613" s="93"/>
      <c r="P613" s="93"/>
      <c r="Q613" s="93"/>
      <c r="R613" s="93"/>
      <c r="S613" s="93"/>
      <c r="T613" s="93"/>
      <c r="U613" s="93"/>
      <c r="V613" s="92"/>
      <c r="W613" s="92"/>
      <c r="X613" s="92"/>
      <c r="Y613" s="92"/>
      <c r="Z613" s="91"/>
    </row>
    <row r="614" spans="1:26" ht="14.25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4"/>
      <c r="O614" s="93"/>
      <c r="P614" s="93"/>
      <c r="Q614" s="93"/>
      <c r="R614" s="93"/>
      <c r="S614" s="93"/>
      <c r="T614" s="93"/>
      <c r="U614" s="93"/>
      <c r="V614" s="92"/>
      <c r="W614" s="92"/>
      <c r="X614" s="92"/>
      <c r="Y614" s="92"/>
      <c r="Z614" s="91"/>
    </row>
    <row r="615" spans="1:26" ht="14.25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4"/>
      <c r="O615" s="93"/>
      <c r="P615" s="93"/>
      <c r="Q615" s="93"/>
      <c r="R615" s="93"/>
      <c r="S615" s="93"/>
      <c r="T615" s="93"/>
      <c r="U615" s="93"/>
      <c r="V615" s="92"/>
      <c r="W615" s="92"/>
      <c r="X615" s="92"/>
      <c r="Y615" s="92"/>
      <c r="Z615" s="91"/>
    </row>
    <row r="616" spans="1:26" ht="14.25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4"/>
      <c r="O616" s="93"/>
      <c r="P616" s="93"/>
      <c r="Q616" s="93"/>
      <c r="R616" s="93"/>
      <c r="S616" s="93"/>
      <c r="T616" s="93"/>
      <c r="U616" s="93"/>
      <c r="V616" s="92"/>
      <c r="W616" s="92"/>
      <c r="X616" s="92"/>
      <c r="Y616" s="92"/>
      <c r="Z616" s="91"/>
    </row>
    <row r="617" spans="1:26" ht="14.25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4"/>
      <c r="O617" s="93"/>
      <c r="P617" s="93"/>
      <c r="Q617" s="93"/>
      <c r="R617" s="93"/>
      <c r="S617" s="93"/>
      <c r="T617" s="93"/>
      <c r="U617" s="93"/>
      <c r="V617" s="92"/>
      <c r="W617" s="92"/>
      <c r="X617" s="92"/>
      <c r="Y617" s="92"/>
      <c r="Z617" s="91"/>
    </row>
    <row r="618" spans="1:26" ht="14.25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4"/>
      <c r="O618" s="93"/>
      <c r="P618" s="93"/>
      <c r="Q618" s="93"/>
      <c r="R618" s="93"/>
      <c r="S618" s="93"/>
      <c r="T618" s="93"/>
      <c r="U618" s="93"/>
      <c r="V618" s="92"/>
      <c r="W618" s="92"/>
      <c r="X618" s="92"/>
      <c r="Y618" s="92"/>
      <c r="Z618" s="91"/>
    </row>
    <row r="619" spans="1:26" ht="14.25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4"/>
      <c r="O619" s="93"/>
      <c r="P619" s="93"/>
      <c r="Q619" s="93"/>
      <c r="R619" s="93"/>
      <c r="S619" s="93"/>
      <c r="T619" s="93"/>
      <c r="U619" s="93"/>
      <c r="V619" s="92"/>
      <c r="W619" s="92"/>
      <c r="X619" s="92"/>
      <c r="Y619" s="92"/>
      <c r="Z619" s="91"/>
    </row>
    <row r="620" spans="1:26" ht="14.25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4"/>
      <c r="O620" s="93"/>
      <c r="P620" s="93"/>
      <c r="Q620" s="93"/>
      <c r="R620" s="93"/>
      <c r="S620" s="93"/>
      <c r="T620" s="93"/>
      <c r="U620" s="93"/>
      <c r="V620" s="92"/>
      <c r="W620" s="92"/>
      <c r="X620" s="92"/>
      <c r="Y620" s="92"/>
      <c r="Z620" s="91"/>
    </row>
    <row r="621" spans="1:26" ht="14.25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4"/>
      <c r="O621" s="93"/>
      <c r="P621" s="93"/>
      <c r="Q621" s="93"/>
      <c r="R621" s="93"/>
      <c r="S621" s="93"/>
      <c r="T621" s="93"/>
      <c r="U621" s="93"/>
      <c r="V621" s="92"/>
      <c r="W621" s="92"/>
      <c r="X621" s="92"/>
      <c r="Y621" s="92"/>
      <c r="Z621" s="91"/>
    </row>
    <row r="622" spans="1:26" ht="14.25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4"/>
      <c r="O622" s="93"/>
      <c r="P622" s="93"/>
      <c r="Q622" s="93"/>
      <c r="R622" s="93"/>
      <c r="S622" s="93"/>
      <c r="T622" s="93"/>
      <c r="U622" s="93"/>
      <c r="V622" s="92"/>
      <c r="W622" s="92"/>
      <c r="X622" s="92"/>
      <c r="Y622" s="92"/>
      <c r="Z622" s="91"/>
    </row>
    <row r="623" spans="1:26" ht="14.25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4"/>
      <c r="O623" s="93"/>
      <c r="P623" s="93"/>
      <c r="Q623" s="93"/>
      <c r="R623" s="93"/>
      <c r="S623" s="93"/>
      <c r="T623" s="93"/>
      <c r="U623" s="93"/>
      <c r="V623" s="92"/>
      <c r="W623" s="92"/>
      <c r="X623" s="92"/>
      <c r="Y623" s="92"/>
      <c r="Z623" s="91"/>
    </row>
    <row r="624" spans="1:26" ht="14.25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4"/>
      <c r="O624" s="93"/>
      <c r="P624" s="93"/>
      <c r="Q624" s="93"/>
      <c r="R624" s="93"/>
      <c r="S624" s="93"/>
      <c r="T624" s="93"/>
      <c r="U624" s="93"/>
      <c r="V624" s="92"/>
      <c r="W624" s="92"/>
      <c r="X624" s="92"/>
      <c r="Y624" s="92"/>
      <c r="Z624" s="91"/>
    </row>
    <row r="625" spans="1:26" ht="14.25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4"/>
      <c r="O625" s="93"/>
      <c r="P625" s="93"/>
      <c r="Q625" s="93"/>
      <c r="R625" s="93"/>
      <c r="S625" s="93"/>
      <c r="T625" s="93"/>
      <c r="U625" s="93"/>
      <c r="V625" s="92"/>
      <c r="W625" s="92"/>
      <c r="X625" s="92"/>
      <c r="Y625" s="92"/>
      <c r="Z625" s="91"/>
    </row>
    <row r="626" spans="1:26" ht="14.25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4"/>
      <c r="O626" s="93"/>
      <c r="P626" s="93"/>
      <c r="Q626" s="93"/>
      <c r="R626" s="93"/>
      <c r="S626" s="93"/>
      <c r="T626" s="93"/>
      <c r="U626" s="93"/>
      <c r="V626" s="92"/>
      <c r="W626" s="92"/>
      <c r="X626" s="92"/>
      <c r="Y626" s="92"/>
      <c r="Z626" s="91"/>
    </row>
    <row r="627" spans="1:26" ht="14.25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4"/>
      <c r="O627" s="93"/>
      <c r="P627" s="93"/>
      <c r="Q627" s="93"/>
      <c r="R627" s="93"/>
      <c r="S627" s="93"/>
      <c r="T627" s="93"/>
      <c r="U627" s="93"/>
      <c r="V627" s="92"/>
      <c r="W627" s="92"/>
      <c r="X627" s="92"/>
      <c r="Y627" s="92"/>
      <c r="Z627" s="91"/>
    </row>
    <row r="628" spans="1:26" ht="14.25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4"/>
      <c r="O628" s="93"/>
      <c r="P628" s="93"/>
      <c r="Q628" s="93"/>
      <c r="R628" s="93"/>
      <c r="S628" s="93"/>
      <c r="T628" s="93"/>
      <c r="U628" s="93"/>
      <c r="V628" s="92"/>
      <c r="W628" s="92"/>
      <c r="X628" s="92"/>
      <c r="Y628" s="92"/>
      <c r="Z628" s="91"/>
    </row>
    <row r="629" spans="1:26" ht="14.25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4"/>
      <c r="O629" s="93"/>
      <c r="P629" s="93"/>
      <c r="Q629" s="93"/>
      <c r="R629" s="93"/>
      <c r="S629" s="93"/>
      <c r="T629" s="93"/>
      <c r="U629" s="93"/>
      <c r="V629" s="92"/>
      <c r="W629" s="92"/>
      <c r="X629" s="92"/>
      <c r="Y629" s="92"/>
      <c r="Z629" s="91"/>
    </row>
    <row r="630" spans="1:26" ht="14.25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4"/>
      <c r="O630" s="93"/>
      <c r="P630" s="93"/>
      <c r="Q630" s="93"/>
      <c r="R630" s="93"/>
      <c r="S630" s="93"/>
      <c r="T630" s="93"/>
      <c r="U630" s="93"/>
      <c r="V630" s="92"/>
      <c r="W630" s="92"/>
      <c r="X630" s="92"/>
      <c r="Y630" s="92"/>
      <c r="Z630" s="91"/>
    </row>
    <row r="631" spans="1:26" ht="14.25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4"/>
      <c r="O631" s="93"/>
      <c r="P631" s="93"/>
      <c r="Q631" s="93"/>
      <c r="R631" s="93"/>
      <c r="S631" s="93"/>
      <c r="T631" s="93"/>
      <c r="U631" s="93"/>
      <c r="V631" s="92"/>
      <c r="W631" s="92"/>
      <c r="X631" s="92"/>
      <c r="Y631" s="92"/>
      <c r="Z631" s="91"/>
    </row>
    <row r="632" spans="1:26" ht="14.25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4"/>
      <c r="O632" s="93"/>
      <c r="P632" s="93"/>
      <c r="Q632" s="93"/>
      <c r="R632" s="93"/>
      <c r="S632" s="93"/>
      <c r="T632" s="93"/>
      <c r="U632" s="93"/>
      <c r="V632" s="92"/>
      <c r="W632" s="92"/>
      <c r="X632" s="92"/>
      <c r="Y632" s="92"/>
      <c r="Z632" s="91"/>
    </row>
    <row r="633" spans="1:26" ht="14.25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4"/>
      <c r="O633" s="93"/>
      <c r="P633" s="93"/>
      <c r="Q633" s="93"/>
      <c r="R633" s="93"/>
      <c r="S633" s="93"/>
      <c r="T633" s="93"/>
      <c r="U633" s="93"/>
      <c r="V633" s="92"/>
      <c r="W633" s="92"/>
      <c r="X633" s="92"/>
      <c r="Y633" s="92"/>
      <c r="Z633" s="91"/>
    </row>
    <row r="634" spans="1:26" ht="14.25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4"/>
      <c r="O634" s="93"/>
      <c r="P634" s="93"/>
      <c r="Q634" s="93"/>
      <c r="R634" s="93"/>
      <c r="S634" s="93"/>
      <c r="T634" s="93"/>
      <c r="U634" s="93"/>
      <c r="V634" s="92"/>
      <c r="W634" s="92"/>
      <c r="X634" s="92"/>
      <c r="Y634" s="92"/>
      <c r="Z634" s="91"/>
    </row>
    <row r="635" spans="1:26" ht="14.25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4"/>
      <c r="O635" s="93"/>
      <c r="P635" s="93"/>
      <c r="Q635" s="93"/>
      <c r="R635" s="93"/>
      <c r="S635" s="93"/>
      <c r="T635" s="93"/>
      <c r="U635" s="93"/>
      <c r="V635" s="92"/>
      <c r="W635" s="92"/>
      <c r="X635" s="92"/>
      <c r="Y635" s="92"/>
      <c r="Z635" s="91"/>
    </row>
    <row r="636" spans="1:26" ht="14.25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4"/>
      <c r="O636" s="93"/>
      <c r="P636" s="93"/>
      <c r="Q636" s="93"/>
      <c r="R636" s="93"/>
      <c r="S636" s="93"/>
      <c r="T636" s="93"/>
      <c r="U636" s="93"/>
      <c r="V636" s="92"/>
      <c r="W636" s="92"/>
      <c r="X636" s="92"/>
      <c r="Y636" s="92"/>
      <c r="Z636" s="91"/>
    </row>
    <row r="637" spans="1:26" ht="14.25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4"/>
      <c r="O637" s="93"/>
      <c r="P637" s="93"/>
      <c r="Q637" s="93"/>
      <c r="R637" s="93"/>
      <c r="S637" s="93"/>
      <c r="T637" s="93"/>
      <c r="U637" s="93"/>
      <c r="V637" s="92"/>
      <c r="W637" s="92"/>
      <c r="X637" s="92"/>
      <c r="Y637" s="92"/>
      <c r="Z637" s="91"/>
    </row>
    <row r="638" spans="1:26" ht="14.25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4"/>
      <c r="O638" s="93"/>
      <c r="P638" s="93"/>
      <c r="Q638" s="93"/>
      <c r="R638" s="93"/>
      <c r="S638" s="93"/>
      <c r="T638" s="93"/>
      <c r="U638" s="93"/>
      <c r="V638" s="92"/>
      <c r="W638" s="92"/>
      <c r="X638" s="92"/>
      <c r="Y638" s="92"/>
      <c r="Z638" s="91"/>
    </row>
    <row r="639" spans="1:26" ht="14.25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4"/>
      <c r="O639" s="93"/>
      <c r="P639" s="93"/>
      <c r="Q639" s="93"/>
      <c r="R639" s="93"/>
      <c r="S639" s="93"/>
      <c r="T639" s="93"/>
      <c r="U639" s="93"/>
      <c r="V639" s="92"/>
      <c r="W639" s="92"/>
      <c r="X639" s="92"/>
      <c r="Y639" s="92"/>
      <c r="Z639" s="91"/>
    </row>
    <row r="640" spans="1:26" ht="14.25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4"/>
      <c r="O640" s="93"/>
      <c r="P640" s="93"/>
      <c r="Q640" s="93"/>
      <c r="R640" s="93"/>
      <c r="S640" s="93"/>
      <c r="T640" s="93"/>
      <c r="U640" s="93"/>
      <c r="V640" s="92"/>
      <c r="W640" s="92"/>
      <c r="X640" s="92"/>
      <c r="Y640" s="92"/>
      <c r="Z640" s="91"/>
    </row>
    <row r="641" spans="1:26" ht="14.25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4"/>
      <c r="O641" s="93"/>
      <c r="P641" s="93"/>
      <c r="Q641" s="93"/>
      <c r="R641" s="93"/>
      <c r="S641" s="93"/>
      <c r="T641" s="93"/>
      <c r="U641" s="93"/>
      <c r="V641" s="92"/>
      <c r="W641" s="92"/>
      <c r="X641" s="92"/>
      <c r="Y641" s="92"/>
      <c r="Z641" s="91"/>
    </row>
    <row r="642" spans="1:26" ht="14.25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4"/>
      <c r="O642" s="93"/>
      <c r="P642" s="93"/>
      <c r="Q642" s="93"/>
      <c r="R642" s="93"/>
      <c r="S642" s="93"/>
      <c r="T642" s="93"/>
      <c r="U642" s="93"/>
      <c r="V642" s="92"/>
      <c r="W642" s="92"/>
      <c r="X642" s="92"/>
      <c r="Y642" s="92"/>
      <c r="Z642" s="91"/>
    </row>
    <row r="643" spans="1:26" ht="14.25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4"/>
      <c r="O643" s="93"/>
      <c r="P643" s="93"/>
      <c r="Q643" s="93"/>
      <c r="R643" s="93"/>
      <c r="S643" s="93"/>
      <c r="T643" s="93"/>
      <c r="U643" s="93"/>
      <c r="V643" s="92"/>
      <c r="W643" s="92"/>
      <c r="X643" s="92"/>
      <c r="Y643" s="92"/>
      <c r="Z643" s="91"/>
    </row>
    <row r="644" spans="1:26" ht="14.25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4"/>
      <c r="O644" s="93"/>
      <c r="P644" s="93"/>
      <c r="Q644" s="93"/>
      <c r="R644" s="93"/>
      <c r="S644" s="93"/>
      <c r="T644" s="93"/>
      <c r="U644" s="93"/>
      <c r="V644" s="92"/>
      <c r="W644" s="92"/>
      <c r="X644" s="92"/>
      <c r="Y644" s="92"/>
      <c r="Z644" s="91"/>
    </row>
    <row r="645" spans="1:26" ht="14.25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4"/>
      <c r="O645" s="93"/>
      <c r="P645" s="93"/>
      <c r="Q645" s="93"/>
      <c r="R645" s="93"/>
      <c r="S645" s="93"/>
      <c r="T645" s="93"/>
      <c r="U645" s="93"/>
      <c r="V645" s="92"/>
      <c r="W645" s="92"/>
      <c r="X645" s="92"/>
      <c r="Y645" s="92"/>
      <c r="Z645" s="91"/>
    </row>
    <row r="646" spans="1:26" ht="14.25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4"/>
      <c r="O646" s="93"/>
      <c r="P646" s="93"/>
      <c r="Q646" s="93"/>
      <c r="R646" s="93"/>
      <c r="S646" s="93"/>
      <c r="T646" s="93"/>
      <c r="U646" s="93"/>
      <c r="V646" s="92"/>
      <c r="W646" s="92"/>
      <c r="X646" s="92"/>
      <c r="Y646" s="92"/>
      <c r="Z646" s="91"/>
    </row>
    <row r="647" spans="1:26" ht="14.25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4"/>
      <c r="O647" s="93"/>
      <c r="P647" s="93"/>
      <c r="Q647" s="93"/>
      <c r="R647" s="93"/>
      <c r="S647" s="93"/>
      <c r="T647" s="93"/>
      <c r="U647" s="93"/>
      <c r="V647" s="92"/>
      <c r="W647" s="92"/>
      <c r="X647" s="92"/>
      <c r="Y647" s="92"/>
      <c r="Z647" s="91"/>
    </row>
    <row r="648" spans="1:26" ht="14.25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4"/>
      <c r="O648" s="93"/>
      <c r="P648" s="93"/>
      <c r="Q648" s="93"/>
      <c r="R648" s="93"/>
      <c r="S648" s="93"/>
      <c r="T648" s="93"/>
      <c r="U648" s="93"/>
      <c r="V648" s="92"/>
      <c r="W648" s="92"/>
      <c r="X648" s="92"/>
      <c r="Y648" s="92"/>
      <c r="Z648" s="91"/>
    </row>
    <row r="649" spans="1:26" ht="14.25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4"/>
      <c r="O649" s="93"/>
      <c r="P649" s="93"/>
      <c r="Q649" s="93"/>
      <c r="R649" s="93"/>
      <c r="S649" s="93"/>
      <c r="T649" s="93"/>
      <c r="U649" s="93"/>
      <c r="V649" s="92"/>
      <c r="W649" s="92"/>
      <c r="X649" s="92"/>
      <c r="Y649" s="92"/>
      <c r="Z649" s="91"/>
    </row>
    <row r="650" spans="1:26" ht="14.25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4"/>
      <c r="O650" s="93"/>
      <c r="P650" s="93"/>
      <c r="Q650" s="93"/>
      <c r="R650" s="93"/>
      <c r="S650" s="93"/>
      <c r="T650" s="93"/>
      <c r="U650" s="93"/>
      <c r="V650" s="92"/>
      <c r="W650" s="92"/>
      <c r="X650" s="92"/>
      <c r="Y650" s="92"/>
      <c r="Z650" s="91"/>
    </row>
    <row r="651" spans="1:26" ht="14.25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4"/>
      <c r="O651" s="93"/>
      <c r="P651" s="93"/>
      <c r="Q651" s="93"/>
      <c r="R651" s="93"/>
      <c r="S651" s="93"/>
      <c r="T651" s="93"/>
      <c r="U651" s="93"/>
      <c r="V651" s="92"/>
      <c r="W651" s="92"/>
      <c r="X651" s="92"/>
      <c r="Y651" s="92"/>
      <c r="Z651" s="91"/>
    </row>
    <row r="652" spans="1:26" ht="14.25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4"/>
      <c r="O652" s="93"/>
      <c r="P652" s="93"/>
      <c r="Q652" s="93"/>
      <c r="R652" s="93"/>
      <c r="S652" s="93"/>
      <c r="T652" s="93"/>
      <c r="U652" s="93"/>
      <c r="V652" s="92"/>
      <c r="W652" s="92"/>
      <c r="X652" s="92"/>
      <c r="Y652" s="92"/>
      <c r="Z652" s="91"/>
    </row>
    <row r="653" spans="1:26" ht="14.25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4"/>
      <c r="O653" s="93"/>
      <c r="P653" s="93"/>
      <c r="Q653" s="93"/>
      <c r="R653" s="93"/>
      <c r="S653" s="93"/>
      <c r="T653" s="93"/>
      <c r="U653" s="93"/>
      <c r="V653" s="92"/>
      <c r="W653" s="92"/>
      <c r="X653" s="92"/>
      <c r="Y653" s="92"/>
      <c r="Z653" s="91"/>
    </row>
    <row r="654" spans="1:26" ht="14.25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4"/>
      <c r="O654" s="93"/>
      <c r="P654" s="93"/>
      <c r="Q654" s="93"/>
      <c r="R654" s="93"/>
      <c r="S654" s="93"/>
      <c r="T654" s="93"/>
      <c r="U654" s="93"/>
      <c r="V654" s="92"/>
      <c r="W654" s="92"/>
      <c r="X654" s="92"/>
      <c r="Y654" s="92"/>
      <c r="Z654" s="91"/>
    </row>
    <row r="655" spans="1:26" ht="14.25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4"/>
      <c r="O655" s="93"/>
      <c r="P655" s="93"/>
      <c r="Q655" s="93"/>
      <c r="R655" s="93"/>
      <c r="S655" s="93"/>
      <c r="T655" s="93"/>
      <c r="U655" s="93"/>
      <c r="V655" s="92"/>
      <c r="W655" s="92"/>
      <c r="X655" s="92"/>
      <c r="Y655" s="92"/>
      <c r="Z655" s="91"/>
    </row>
    <row r="656" spans="1:26" ht="14.25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4"/>
      <c r="O656" s="93"/>
      <c r="P656" s="93"/>
      <c r="Q656" s="93"/>
      <c r="R656" s="93"/>
      <c r="S656" s="93"/>
      <c r="T656" s="93"/>
      <c r="U656" s="93"/>
      <c r="V656" s="92"/>
      <c r="W656" s="92"/>
      <c r="X656" s="92"/>
      <c r="Y656" s="92"/>
      <c r="Z656" s="91"/>
    </row>
    <row r="657" spans="1:26" ht="14.25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4"/>
      <c r="O657" s="93"/>
      <c r="P657" s="93"/>
      <c r="Q657" s="93"/>
      <c r="R657" s="93"/>
      <c r="S657" s="93"/>
      <c r="T657" s="93"/>
      <c r="U657" s="93"/>
      <c r="V657" s="92"/>
      <c r="W657" s="92"/>
      <c r="X657" s="92"/>
      <c r="Y657" s="92"/>
      <c r="Z657" s="91"/>
    </row>
    <row r="658" spans="1:26" ht="14.25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4"/>
      <c r="O658" s="93"/>
      <c r="P658" s="93"/>
      <c r="Q658" s="93"/>
      <c r="R658" s="93"/>
      <c r="S658" s="93"/>
      <c r="T658" s="93"/>
      <c r="U658" s="93"/>
      <c r="V658" s="92"/>
      <c r="W658" s="92"/>
      <c r="X658" s="92"/>
      <c r="Y658" s="92"/>
      <c r="Z658" s="91"/>
    </row>
    <row r="659" spans="1:26" ht="14.25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4"/>
      <c r="O659" s="93"/>
      <c r="P659" s="93"/>
      <c r="Q659" s="93"/>
      <c r="R659" s="93"/>
      <c r="S659" s="93"/>
      <c r="T659" s="93"/>
      <c r="U659" s="93"/>
      <c r="V659" s="92"/>
      <c r="W659" s="92"/>
      <c r="X659" s="92"/>
      <c r="Y659" s="92"/>
      <c r="Z659" s="91"/>
    </row>
    <row r="660" spans="1:26" ht="14.25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4"/>
      <c r="O660" s="93"/>
      <c r="P660" s="93"/>
      <c r="Q660" s="93"/>
      <c r="R660" s="93"/>
      <c r="S660" s="93"/>
      <c r="T660" s="93"/>
      <c r="U660" s="93"/>
      <c r="V660" s="92"/>
      <c r="W660" s="92"/>
      <c r="X660" s="92"/>
      <c r="Y660" s="92"/>
      <c r="Z660" s="91"/>
    </row>
    <row r="661" spans="1:26" ht="14.25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4"/>
      <c r="O661" s="93"/>
      <c r="P661" s="93"/>
      <c r="Q661" s="93"/>
      <c r="R661" s="93"/>
      <c r="S661" s="93"/>
      <c r="T661" s="93"/>
      <c r="U661" s="93"/>
      <c r="V661" s="92"/>
      <c r="W661" s="92"/>
      <c r="X661" s="92"/>
      <c r="Y661" s="92"/>
      <c r="Z661" s="91"/>
    </row>
    <row r="662" spans="1:26" ht="14.25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4"/>
      <c r="O662" s="93"/>
      <c r="P662" s="93"/>
      <c r="Q662" s="93"/>
      <c r="R662" s="93"/>
      <c r="S662" s="93"/>
      <c r="T662" s="93"/>
      <c r="U662" s="93"/>
      <c r="V662" s="92"/>
      <c r="W662" s="92"/>
      <c r="X662" s="92"/>
      <c r="Y662" s="92"/>
      <c r="Z662" s="91"/>
    </row>
    <row r="663" spans="1:26" ht="14.25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4"/>
      <c r="O663" s="93"/>
      <c r="P663" s="93"/>
      <c r="Q663" s="93"/>
      <c r="R663" s="93"/>
      <c r="S663" s="93"/>
      <c r="T663" s="93"/>
      <c r="U663" s="93"/>
      <c r="V663" s="92"/>
      <c r="W663" s="92"/>
      <c r="X663" s="92"/>
      <c r="Y663" s="92"/>
      <c r="Z663" s="91"/>
    </row>
    <row r="664" spans="1:26" ht="14.25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4"/>
      <c r="O664" s="93"/>
      <c r="P664" s="93"/>
      <c r="Q664" s="93"/>
      <c r="R664" s="93"/>
      <c r="S664" s="93"/>
      <c r="T664" s="93"/>
      <c r="U664" s="93"/>
      <c r="V664" s="92"/>
      <c r="W664" s="92"/>
      <c r="X664" s="92"/>
      <c r="Y664" s="92"/>
      <c r="Z664" s="91"/>
    </row>
    <row r="665" spans="1:26" ht="14.25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4"/>
      <c r="O665" s="93"/>
      <c r="P665" s="93"/>
      <c r="Q665" s="93"/>
      <c r="R665" s="93"/>
      <c r="S665" s="93"/>
      <c r="T665" s="93"/>
      <c r="U665" s="93"/>
      <c r="V665" s="92"/>
      <c r="W665" s="92"/>
      <c r="X665" s="92"/>
      <c r="Y665" s="92"/>
      <c r="Z665" s="91"/>
    </row>
    <row r="666" spans="1:26" ht="14.25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4"/>
      <c r="O666" s="93"/>
      <c r="P666" s="93"/>
      <c r="Q666" s="93"/>
      <c r="R666" s="93"/>
      <c r="S666" s="93"/>
      <c r="T666" s="93"/>
      <c r="U666" s="93"/>
      <c r="V666" s="92"/>
      <c r="W666" s="92"/>
      <c r="X666" s="92"/>
      <c r="Y666" s="92"/>
      <c r="Z666" s="91"/>
    </row>
    <row r="667" spans="1:26" ht="14.25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4"/>
      <c r="O667" s="93"/>
      <c r="P667" s="93"/>
      <c r="Q667" s="93"/>
      <c r="R667" s="93"/>
      <c r="S667" s="93"/>
      <c r="T667" s="93"/>
      <c r="U667" s="93"/>
      <c r="V667" s="92"/>
      <c r="W667" s="92"/>
      <c r="X667" s="92"/>
      <c r="Y667" s="92"/>
      <c r="Z667" s="91"/>
    </row>
    <row r="668" spans="1:26" ht="14.25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4"/>
      <c r="O668" s="93"/>
      <c r="P668" s="93"/>
      <c r="Q668" s="93"/>
      <c r="R668" s="93"/>
      <c r="S668" s="93"/>
      <c r="T668" s="93"/>
      <c r="U668" s="93"/>
      <c r="V668" s="92"/>
      <c r="W668" s="92"/>
      <c r="X668" s="92"/>
      <c r="Y668" s="92"/>
      <c r="Z668" s="91"/>
    </row>
    <row r="669" spans="1:26" ht="14.25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4"/>
      <c r="O669" s="93"/>
      <c r="P669" s="93"/>
      <c r="Q669" s="93"/>
      <c r="R669" s="93"/>
      <c r="S669" s="93"/>
      <c r="T669" s="93"/>
      <c r="U669" s="93"/>
      <c r="V669" s="92"/>
      <c r="W669" s="92"/>
      <c r="X669" s="92"/>
      <c r="Y669" s="92"/>
      <c r="Z669" s="91"/>
    </row>
    <row r="670" spans="1:26" ht="14.25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4"/>
      <c r="O670" s="93"/>
      <c r="P670" s="93"/>
      <c r="Q670" s="93"/>
      <c r="R670" s="93"/>
      <c r="S670" s="93"/>
      <c r="T670" s="93"/>
      <c r="U670" s="93"/>
      <c r="V670" s="92"/>
      <c r="W670" s="92"/>
      <c r="X670" s="92"/>
      <c r="Y670" s="92"/>
      <c r="Z670" s="91"/>
    </row>
    <row r="671" spans="1:26" ht="14.25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4"/>
      <c r="O671" s="93"/>
      <c r="P671" s="93"/>
      <c r="Q671" s="93"/>
      <c r="R671" s="93"/>
      <c r="S671" s="93"/>
      <c r="T671" s="93"/>
      <c r="U671" s="93"/>
      <c r="V671" s="92"/>
      <c r="W671" s="92"/>
      <c r="X671" s="92"/>
      <c r="Y671" s="92"/>
      <c r="Z671" s="91"/>
    </row>
    <row r="672" spans="1:26" ht="14.25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4"/>
      <c r="O672" s="93"/>
      <c r="P672" s="93"/>
      <c r="Q672" s="93"/>
      <c r="R672" s="93"/>
      <c r="S672" s="93"/>
      <c r="T672" s="93"/>
      <c r="U672" s="93"/>
      <c r="V672" s="92"/>
      <c r="W672" s="92"/>
      <c r="X672" s="92"/>
      <c r="Y672" s="92"/>
      <c r="Z672" s="91"/>
    </row>
    <row r="673" spans="1:26" ht="14.25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4"/>
      <c r="O673" s="93"/>
      <c r="P673" s="93"/>
      <c r="Q673" s="93"/>
      <c r="R673" s="93"/>
      <c r="S673" s="93"/>
      <c r="T673" s="93"/>
      <c r="U673" s="93"/>
      <c r="V673" s="92"/>
      <c r="W673" s="92"/>
      <c r="X673" s="92"/>
      <c r="Y673" s="92"/>
      <c r="Z673" s="91"/>
    </row>
    <row r="674" spans="1:26" ht="14.25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4"/>
      <c r="O674" s="93"/>
      <c r="P674" s="93"/>
      <c r="Q674" s="93"/>
      <c r="R674" s="93"/>
      <c r="S674" s="93"/>
      <c r="T674" s="93"/>
      <c r="U674" s="93"/>
      <c r="V674" s="92"/>
      <c r="W674" s="92"/>
      <c r="X674" s="92"/>
      <c r="Y674" s="92"/>
      <c r="Z674" s="91"/>
    </row>
    <row r="675" spans="1:26" ht="14.25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4"/>
      <c r="O675" s="93"/>
      <c r="P675" s="93"/>
      <c r="Q675" s="93"/>
      <c r="R675" s="93"/>
      <c r="S675" s="93"/>
      <c r="T675" s="93"/>
      <c r="U675" s="93"/>
      <c r="V675" s="92"/>
      <c r="W675" s="92"/>
      <c r="X675" s="92"/>
      <c r="Y675" s="92"/>
      <c r="Z675" s="91"/>
    </row>
    <row r="676" spans="1:26" ht="14.25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4"/>
      <c r="O676" s="93"/>
      <c r="P676" s="93"/>
      <c r="Q676" s="93"/>
      <c r="R676" s="93"/>
      <c r="S676" s="93"/>
      <c r="T676" s="93"/>
      <c r="U676" s="93"/>
      <c r="V676" s="92"/>
      <c r="W676" s="92"/>
      <c r="X676" s="92"/>
      <c r="Y676" s="92"/>
      <c r="Z676" s="91"/>
    </row>
    <row r="677" spans="1:26" ht="14.25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4"/>
      <c r="O677" s="93"/>
      <c r="P677" s="93"/>
      <c r="Q677" s="93"/>
      <c r="R677" s="93"/>
      <c r="S677" s="93"/>
      <c r="T677" s="93"/>
      <c r="U677" s="93"/>
      <c r="V677" s="92"/>
      <c r="W677" s="92"/>
      <c r="X677" s="92"/>
      <c r="Y677" s="92"/>
      <c r="Z677" s="91"/>
    </row>
    <row r="678" spans="1:26" ht="14.25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4"/>
      <c r="O678" s="93"/>
      <c r="P678" s="93"/>
      <c r="Q678" s="93"/>
      <c r="R678" s="93"/>
      <c r="S678" s="93"/>
      <c r="T678" s="93"/>
      <c r="U678" s="93"/>
      <c r="V678" s="92"/>
      <c r="W678" s="92"/>
      <c r="X678" s="92"/>
      <c r="Y678" s="92"/>
      <c r="Z678" s="91"/>
    </row>
    <row r="679" spans="1:26" ht="14.25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4"/>
      <c r="O679" s="93"/>
      <c r="P679" s="93"/>
      <c r="Q679" s="93"/>
      <c r="R679" s="93"/>
      <c r="S679" s="93"/>
      <c r="T679" s="93"/>
      <c r="U679" s="93"/>
      <c r="V679" s="92"/>
      <c r="W679" s="92"/>
      <c r="X679" s="92"/>
      <c r="Y679" s="92"/>
      <c r="Z679" s="91"/>
    </row>
    <row r="680" spans="1:26" ht="14.25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4"/>
      <c r="O680" s="93"/>
      <c r="P680" s="93"/>
      <c r="Q680" s="93"/>
      <c r="R680" s="93"/>
      <c r="S680" s="93"/>
      <c r="T680" s="93"/>
      <c r="U680" s="93"/>
      <c r="V680" s="92"/>
      <c r="W680" s="92"/>
      <c r="X680" s="92"/>
      <c r="Y680" s="92"/>
      <c r="Z680" s="91"/>
    </row>
    <row r="681" spans="1:26" ht="14.25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4"/>
      <c r="O681" s="93"/>
      <c r="P681" s="93"/>
      <c r="Q681" s="93"/>
      <c r="R681" s="93"/>
      <c r="S681" s="93"/>
      <c r="T681" s="93"/>
      <c r="U681" s="93"/>
      <c r="V681" s="92"/>
      <c r="W681" s="92"/>
      <c r="X681" s="92"/>
      <c r="Y681" s="92"/>
      <c r="Z681" s="91"/>
    </row>
    <row r="682" spans="1:26" ht="14.25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4"/>
      <c r="O682" s="93"/>
      <c r="P682" s="93"/>
      <c r="Q682" s="93"/>
      <c r="R682" s="93"/>
      <c r="S682" s="93"/>
      <c r="T682" s="93"/>
      <c r="U682" s="93"/>
      <c r="V682" s="92"/>
      <c r="W682" s="92"/>
      <c r="X682" s="92"/>
      <c r="Y682" s="92"/>
      <c r="Z682" s="91"/>
    </row>
    <row r="683" spans="1:26" ht="14.25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4"/>
      <c r="O683" s="93"/>
      <c r="P683" s="93"/>
      <c r="Q683" s="93"/>
      <c r="R683" s="93"/>
      <c r="S683" s="93"/>
      <c r="T683" s="93"/>
      <c r="U683" s="93"/>
      <c r="V683" s="92"/>
      <c r="W683" s="92"/>
      <c r="X683" s="92"/>
      <c r="Y683" s="92"/>
      <c r="Z683" s="91"/>
    </row>
    <row r="684" spans="1:26" ht="14.25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4"/>
      <c r="O684" s="93"/>
      <c r="P684" s="93"/>
      <c r="Q684" s="93"/>
      <c r="R684" s="93"/>
      <c r="S684" s="93"/>
      <c r="T684" s="93"/>
      <c r="U684" s="93"/>
      <c r="V684" s="92"/>
      <c r="W684" s="92"/>
      <c r="X684" s="92"/>
      <c r="Y684" s="92"/>
      <c r="Z684" s="91"/>
    </row>
    <row r="685" spans="1:26" ht="14.25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4"/>
      <c r="O685" s="93"/>
      <c r="P685" s="93"/>
      <c r="Q685" s="93"/>
      <c r="R685" s="93"/>
      <c r="S685" s="93"/>
      <c r="T685" s="93"/>
      <c r="U685" s="93"/>
      <c r="V685" s="92"/>
      <c r="W685" s="92"/>
      <c r="X685" s="92"/>
      <c r="Y685" s="92"/>
      <c r="Z685" s="91"/>
    </row>
    <row r="686" spans="1:26" ht="14.25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4"/>
      <c r="O686" s="93"/>
      <c r="P686" s="93"/>
      <c r="Q686" s="93"/>
      <c r="R686" s="93"/>
      <c r="S686" s="93"/>
      <c r="T686" s="93"/>
      <c r="U686" s="93"/>
      <c r="V686" s="92"/>
      <c r="W686" s="92"/>
      <c r="X686" s="92"/>
      <c r="Y686" s="92"/>
      <c r="Z686" s="91"/>
    </row>
    <row r="687" spans="1:26" ht="14.25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4"/>
      <c r="O687" s="93"/>
      <c r="P687" s="93"/>
      <c r="Q687" s="93"/>
      <c r="R687" s="93"/>
      <c r="S687" s="93"/>
      <c r="T687" s="93"/>
      <c r="U687" s="93"/>
      <c r="V687" s="92"/>
      <c r="W687" s="92"/>
      <c r="X687" s="92"/>
      <c r="Y687" s="92"/>
      <c r="Z687" s="91"/>
    </row>
    <row r="688" spans="1:26" ht="14.25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4"/>
      <c r="O688" s="93"/>
      <c r="P688" s="93"/>
      <c r="Q688" s="93"/>
      <c r="R688" s="93"/>
      <c r="S688" s="93"/>
      <c r="T688" s="93"/>
      <c r="U688" s="93"/>
      <c r="V688" s="92"/>
      <c r="W688" s="92"/>
      <c r="X688" s="92"/>
      <c r="Y688" s="92"/>
      <c r="Z688" s="91"/>
    </row>
    <row r="689" spans="1:26" ht="14.25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4"/>
      <c r="O689" s="93"/>
      <c r="P689" s="93"/>
      <c r="Q689" s="93"/>
      <c r="R689" s="93"/>
      <c r="S689" s="93"/>
      <c r="T689" s="93"/>
      <c r="U689" s="93"/>
      <c r="V689" s="92"/>
      <c r="W689" s="92"/>
      <c r="X689" s="92"/>
      <c r="Y689" s="92"/>
      <c r="Z689" s="91"/>
    </row>
    <row r="690" spans="1:26" ht="14.25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4"/>
      <c r="O690" s="93"/>
      <c r="P690" s="93"/>
      <c r="Q690" s="93"/>
      <c r="R690" s="93"/>
      <c r="S690" s="93"/>
      <c r="T690" s="93"/>
      <c r="U690" s="93"/>
      <c r="V690" s="92"/>
      <c r="W690" s="92"/>
      <c r="X690" s="92"/>
      <c r="Y690" s="92"/>
      <c r="Z690" s="91"/>
    </row>
    <row r="691" spans="1:26" ht="14.25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4"/>
      <c r="O691" s="93"/>
      <c r="P691" s="93"/>
      <c r="Q691" s="93"/>
      <c r="R691" s="93"/>
      <c r="S691" s="93"/>
      <c r="T691" s="93"/>
      <c r="U691" s="93"/>
      <c r="V691" s="92"/>
      <c r="W691" s="92"/>
      <c r="X691" s="92"/>
      <c r="Y691" s="92"/>
      <c r="Z691" s="91"/>
    </row>
    <row r="692" spans="1:26" ht="14.25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4"/>
      <c r="O692" s="93"/>
      <c r="P692" s="93"/>
      <c r="Q692" s="93"/>
      <c r="R692" s="93"/>
      <c r="S692" s="93"/>
      <c r="T692" s="93"/>
      <c r="U692" s="93"/>
      <c r="V692" s="92"/>
      <c r="W692" s="92"/>
      <c r="X692" s="92"/>
      <c r="Y692" s="92"/>
      <c r="Z692" s="91"/>
    </row>
    <row r="693" spans="1:26" ht="14.25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4"/>
      <c r="O693" s="93"/>
      <c r="P693" s="93"/>
      <c r="Q693" s="93"/>
      <c r="R693" s="93"/>
      <c r="S693" s="93"/>
      <c r="T693" s="93"/>
      <c r="U693" s="93"/>
      <c r="V693" s="92"/>
      <c r="W693" s="92"/>
      <c r="X693" s="92"/>
      <c r="Y693" s="92"/>
      <c r="Z693" s="91"/>
    </row>
    <row r="694" spans="1:26" ht="14.25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4"/>
      <c r="O694" s="93"/>
      <c r="P694" s="93"/>
      <c r="Q694" s="93"/>
      <c r="R694" s="93"/>
      <c r="S694" s="93"/>
      <c r="T694" s="93"/>
      <c r="U694" s="93"/>
      <c r="V694" s="92"/>
      <c r="W694" s="92"/>
      <c r="X694" s="92"/>
      <c r="Y694" s="92"/>
      <c r="Z694" s="91"/>
    </row>
    <row r="695" spans="1:26" ht="14.25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4"/>
      <c r="O695" s="93"/>
      <c r="P695" s="93"/>
      <c r="Q695" s="93"/>
      <c r="R695" s="93"/>
      <c r="S695" s="93"/>
      <c r="T695" s="93"/>
      <c r="U695" s="93"/>
      <c r="V695" s="92"/>
      <c r="W695" s="92"/>
      <c r="X695" s="92"/>
      <c r="Y695" s="92"/>
      <c r="Z695" s="91"/>
    </row>
    <row r="696" spans="1:26" ht="14.25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4"/>
      <c r="O696" s="93"/>
      <c r="P696" s="93"/>
      <c r="Q696" s="93"/>
      <c r="R696" s="93"/>
      <c r="S696" s="93"/>
      <c r="T696" s="93"/>
      <c r="U696" s="93"/>
      <c r="V696" s="92"/>
      <c r="W696" s="92"/>
      <c r="X696" s="92"/>
      <c r="Y696" s="92"/>
      <c r="Z696" s="91"/>
    </row>
    <row r="697" spans="1:26" ht="14.25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4"/>
      <c r="O697" s="93"/>
      <c r="P697" s="93"/>
      <c r="Q697" s="93"/>
      <c r="R697" s="93"/>
      <c r="S697" s="93"/>
      <c r="T697" s="93"/>
      <c r="U697" s="93"/>
      <c r="V697" s="92"/>
      <c r="W697" s="92"/>
      <c r="X697" s="92"/>
      <c r="Y697" s="92"/>
      <c r="Z697" s="91"/>
    </row>
    <row r="698" spans="1:26" ht="14.25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4"/>
      <c r="O698" s="93"/>
      <c r="P698" s="93"/>
      <c r="Q698" s="93"/>
      <c r="R698" s="93"/>
      <c r="S698" s="93"/>
      <c r="T698" s="93"/>
      <c r="U698" s="93"/>
      <c r="V698" s="92"/>
      <c r="W698" s="92"/>
      <c r="X698" s="92"/>
      <c r="Y698" s="92"/>
      <c r="Z698" s="91"/>
    </row>
    <row r="699" spans="1:26" ht="14.25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4"/>
      <c r="O699" s="93"/>
      <c r="P699" s="93"/>
      <c r="Q699" s="93"/>
      <c r="R699" s="93"/>
      <c r="S699" s="93"/>
      <c r="T699" s="93"/>
      <c r="U699" s="93"/>
      <c r="V699" s="92"/>
      <c r="W699" s="92"/>
      <c r="X699" s="92"/>
      <c r="Y699" s="92"/>
      <c r="Z699" s="91"/>
    </row>
    <row r="700" spans="1:26" ht="14.25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4"/>
      <c r="O700" s="93"/>
      <c r="P700" s="93"/>
      <c r="Q700" s="93"/>
      <c r="R700" s="93"/>
      <c r="S700" s="93"/>
      <c r="T700" s="93"/>
      <c r="U700" s="93"/>
      <c r="V700" s="92"/>
      <c r="W700" s="92"/>
      <c r="X700" s="92"/>
      <c r="Y700" s="92"/>
      <c r="Z700" s="91"/>
    </row>
    <row r="701" spans="1:26" ht="14.25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4"/>
      <c r="O701" s="93"/>
      <c r="P701" s="93"/>
      <c r="Q701" s="93"/>
      <c r="R701" s="93"/>
      <c r="S701" s="93"/>
      <c r="T701" s="93"/>
      <c r="U701" s="93"/>
      <c r="V701" s="92"/>
      <c r="W701" s="92"/>
      <c r="X701" s="92"/>
      <c r="Y701" s="92"/>
      <c r="Z701" s="91"/>
    </row>
    <row r="702" spans="1:26" ht="14.25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4"/>
      <c r="O702" s="93"/>
      <c r="P702" s="93"/>
      <c r="Q702" s="93"/>
      <c r="R702" s="93"/>
      <c r="S702" s="93"/>
      <c r="T702" s="93"/>
      <c r="U702" s="93"/>
      <c r="V702" s="92"/>
      <c r="W702" s="92"/>
      <c r="X702" s="92"/>
      <c r="Y702" s="92"/>
      <c r="Z702" s="91"/>
    </row>
    <row r="703" spans="1:26" ht="14.25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4"/>
      <c r="O703" s="93"/>
      <c r="P703" s="93"/>
      <c r="Q703" s="93"/>
      <c r="R703" s="93"/>
      <c r="S703" s="93"/>
      <c r="T703" s="93"/>
      <c r="U703" s="93"/>
      <c r="V703" s="92"/>
      <c r="W703" s="92"/>
      <c r="X703" s="92"/>
      <c r="Y703" s="92"/>
      <c r="Z703" s="91"/>
    </row>
    <row r="704" spans="1:26" ht="14.25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4"/>
      <c r="O704" s="93"/>
      <c r="P704" s="93"/>
      <c r="Q704" s="93"/>
      <c r="R704" s="93"/>
      <c r="S704" s="93"/>
      <c r="T704" s="93"/>
      <c r="U704" s="93"/>
      <c r="V704" s="92"/>
      <c r="W704" s="92"/>
      <c r="X704" s="92"/>
      <c r="Y704" s="92"/>
      <c r="Z704" s="91"/>
    </row>
    <row r="705" spans="1:26" ht="14.25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4"/>
      <c r="O705" s="93"/>
      <c r="P705" s="93"/>
      <c r="Q705" s="93"/>
      <c r="R705" s="93"/>
      <c r="S705" s="93"/>
      <c r="T705" s="93"/>
      <c r="U705" s="93"/>
      <c r="V705" s="92"/>
      <c r="W705" s="92"/>
      <c r="X705" s="92"/>
      <c r="Y705" s="92"/>
      <c r="Z705" s="91"/>
    </row>
    <row r="706" spans="1:26" ht="14.25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4"/>
      <c r="O706" s="93"/>
      <c r="P706" s="93"/>
      <c r="Q706" s="93"/>
      <c r="R706" s="93"/>
      <c r="S706" s="93"/>
      <c r="T706" s="93"/>
      <c r="U706" s="93"/>
      <c r="V706" s="92"/>
      <c r="W706" s="92"/>
      <c r="X706" s="92"/>
      <c r="Y706" s="92"/>
      <c r="Z706" s="91"/>
    </row>
    <row r="707" spans="1:26" ht="14.25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4"/>
      <c r="O707" s="93"/>
      <c r="P707" s="93"/>
      <c r="Q707" s="93"/>
      <c r="R707" s="93"/>
      <c r="S707" s="93"/>
      <c r="T707" s="93"/>
      <c r="U707" s="93"/>
      <c r="V707" s="92"/>
      <c r="W707" s="92"/>
      <c r="X707" s="92"/>
      <c r="Y707" s="92"/>
      <c r="Z707" s="91"/>
    </row>
    <row r="708" spans="1:26" ht="14.25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4"/>
      <c r="O708" s="93"/>
      <c r="P708" s="93"/>
      <c r="Q708" s="93"/>
      <c r="R708" s="93"/>
      <c r="S708" s="93"/>
      <c r="T708" s="93"/>
      <c r="U708" s="93"/>
      <c r="V708" s="92"/>
      <c r="W708" s="92"/>
      <c r="X708" s="92"/>
      <c r="Y708" s="92"/>
      <c r="Z708" s="91"/>
    </row>
    <row r="709" spans="1:26" ht="14.25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4"/>
      <c r="O709" s="93"/>
      <c r="P709" s="93"/>
      <c r="Q709" s="93"/>
      <c r="R709" s="93"/>
      <c r="S709" s="93"/>
      <c r="T709" s="93"/>
      <c r="U709" s="93"/>
      <c r="V709" s="92"/>
      <c r="W709" s="92"/>
      <c r="X709" s="92"/>
      <c r="Y709" s="92"/>
      <c r="Z709" s="91"/>
    </row>
    <row r="710" spans="1:26" ht="14.25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4"/>
      <c r="O710" s="93"/>
      <c r="P710" s="93"/>
      <c r="Q710" s="93"/>
      <c r="R710" s="93"/>
      <c r="S710" s="93"/>
      <c r="T710" s="93"/>
      <c r="U710" s="93"/>
      <c r="V710" s="92"/>
      <c r="W710" s="92"/>
      <c r="X710" s="92"/>
      <c r="Y710" s="92"/>
      <c r="Z710" s="91"/>
    </row>
    <row r="711" spans="1:26" ht="14.25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4"/>
      <c r="O711" s="93"/>
      <c r="P711" s="93"/>
      <c r="Q711" s="93"/>
      <c r="R711" s="93"/>
      <c r="S711" s="93"/>
      <c r="T711" s="93"/>
      <c r="U711" s="93"/>
      <c r="V711" s="92"/>
      <c r="W711" s="92"/>
      <c r="X711" s="92"/>
      <c r="Y711" s="92"/>
      <c r="Z711" s="91"/>
    </row>
    <row r="712" spans="1:26" ht="14.25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4"/>
      <c r="O712" s="93"/>
      <c r="P712" s="93"/>
      <c r="Q712" s="93"/>
      <c r="R712" s="93"/>
      <c r="S712" s="93"/>
      <c r="T712" s="93"/>
      <c r="U712" s="93"/>
      <c r="V712" s="92"/>
      <c r="W712" s="92"/>
      <c r="X712" s="92"/>
      <c r="Y712" s="92"/>
      <c r="Z712" s="91"/>
    </row>
    <row r="713" spans="1:26" ht="14.25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4"/>
      <c r="O713" s="93"/>
      <c r="P713" s="93"/>
      <c r="Q713" s="93"/>
      <c r="R713" s="93"/>
      <c r="S713" s="93"/>
      <c r="T713" s="93"/>
      <c r="U713" s="93"/>
      <c r="V713" s="92"/>
      <c r="W713" s="92"/>
      <c r="X713" s="92"/>
      <c r="Y713" s="92"/>
      <c r="Z713" s="91"/>
    </row>
    <row r="714" spans="1:26" ht="14.25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4"/>
      <c r="O714" s="93"/>
      <c r="P714" s="93"/>
      <c r="Q714" s="93"/>
      <c r="R714" s="93"/>
      <c r="S714" s="93"/>
      <c r="T714" s="93"/>
      <c r="U714" s="93"/>
      <c r="V714" s="92"/>
      <c r="W714" s="92"/>
      <c r="X714" s="92"/>
      <c r="Y714" s="92"/>
      <c r="Z714" s="91"/>
    </row>
    <row r="715" spans="1:26" ht="14.25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4"/>
      <c r="O715" s="93"/>
      <c r="P715" s="93"/>
      <c r="Q715" s="93"/>
      <c r="R715" s="93"/>
      <c r="S715" s="93"/>
      <c r="T715" s="93"/>
      <c r="U715" s="93"/>
      <c r="V715" s="92"/>
      <c r="W715" s="92"/>
      <c r="X715" s="92"/>
      <c r="Y715" s="92"/>
      <c r="Z715" s="91"/>
    </row>
    <row r="716" spans="1:26" ht="14.25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4"/>
      <c r="O716" s="93"/>
      <c r="P716" s="93"/>
      <c r="Q716" s="93"/>
      <c r="R716" s="93"/>
      <c r="S716" s="93"/>
      <c r="T716" s="93"/>
      <c r="U716" s="93"/>
      <c r="V716" s="92"/>
      <c r="W716" s="92"/>
      <c r="X716" s="92"/>
      <c r="Y716" s="92"/>
      <c r="Z716" s="91"/>
    </row>
    <row r="717" spans="1:26" ht="14.25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4"/>
      <c r="O717" s="93"/>
      <c r="P717" s="93"/>
      <c r="Q717" s="93"/>
      <c r="R717" s="93"/>
      <c r="S717" s="93"/>
      <c r="T717" s="93"/>
      <c r="U717" s="93"/>
      <c r="V717" s="92"/>
      <c r="W717" s="92"/>
      <c r="X717" s="92"/>
      <c r="Y717" s="92"/>
      <c r="Z717" s="91"/>
    </row>
    <row r="718" spans="1:26" ht="14.25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4"/>
      <c r="O718" s="93"/>
      <c r="P718" s="93"/>
      <c r="Q718" s="93"/>
      <c r="R718" s="93"/>
      <c r="S718" s="93"/>
      <c r="T718" s="93"/>
      <c r="U718" s="93"/>
      <c r="V718" s="92"/>
      <c r="W718" s="92"/>
      <c r="X718" s="92"/>
      <c r="Y718" s="92"/>
      <c r="Z718" s="91"/>
    </row>
    <row r="719" spans="1:26" ht="14.25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4"/>
      <c r="O719" s="93"/>
      <c r="P719" s="93"/>
      <c r="Q719" s="93"/>
      <c r="R719" s="93"/>
      <c r="S719" s="93"/>
      <c r="T719" s="93"/>
      <c r="U719" s="93"/>
      <c r="V719" s="92"/>
      <c r="W719" s="92"/>
      <c r="X719" s="92"/>
      <c r="Y719" s="92"/>
      <c r="Z719" s="91"/>
    </row>
    <row r="720" spans="1:26" ht="14.25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4"/>
      <c r="O720" s="93"/>
      <c r="P720" s="93"/>
      <c r="Q720" s="93"/>
      <c r="R720" s="93"/>
      <c r="S720" s="93"/>
      <c r="T720" s="93"/>
      <c r="U720" s="93"/>
      <c r="V720" s="92"/>
      <c r="W720" s="92"/>
      <c r="X720" s="92"/>
      <c r="Y720" s="92"/>
      <c r="Z720" s="91"/>
    </row>
    <row r="721" spans="1:26" ht="14.25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4"/>
      <c r="O721" s="93"/>
      <c r="P721" s="93"/>
      <c r="Q721" s="93"/>
      <c r="R721" s="93"/>
      <c r="S721" s="93"/>
      <c r="T721" s="93"/>
      <c r="U721" s="93"/>
      <c r="V721" s="92"/>
      <c r="W721" s="92"/>
      <c r="X721" s="92"/>
      <c r="Y721" s="92"/>
      <c r="Z721" s="91"/>
    </row>
    <row r="722" spans="1:26" ht="14.25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4"/>
      <c r="O722" s="93"/>
      <c r="P722" s="93"/>
      <c r="Q722" s="93"/>
      <c r="R722" s="93"/>
      <c r="S722" s="93"/>
      <c r="T722" s="93"/>
      <c r="U722" s="93"/>
      <c r="V722" s="92"/>
      <c r="W722" s="92"/>
      <c r="X722" s="92"/>
      <c r="Y722" s="92"/>
      <c r="Z722" s="91"/>
    </row>
    <row r="723" spans="1:26" ht="14.25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4"/>
      <c r="O723" s="93"/>
      <c r="P723" s="93"/>
      <c r="Q723" s="93"/>
      <c r="R723" s="93"/>
      <c r="S723" s="93"/>
      <c r="T723" s="93"/>
      <c r="U723" s="93"/>
      <c r="V723" s="92"/>
      <c r="W723" s="92"/>
      <c r="X723" s="92"/>
      <c r="Y723" s="92"/>
      <c r="Z723" s="91"/>
    </row>
    <row r="724" spans="1:26" ht="14.25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4"/>
      <c r="O724" s="93"/>
      <c r="P724" s="93"/>
      <c r="Q724" s="93"/>
      <c r="R724" s="93"/>
      <c r="S724" s="93"/>
      <c r="T724" s="93"/>
      <c r="U724" s="93"/>
      <c r="V724" s="92"/>
      <c r="W724" s="92"/>
      <c r="X724" s="92"/>
      <c r="Y724" s="92"/>
      <c r="Z724" s="91"/>
    </row>
    <row r="725" spans="1:26" ht="14.25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4"/>
      <c r="O725" s="93"/>
      <c r="P725" s="93"/>
      <c r="Q725" s="93"/>
      <c r="R725" s="93"/>
      <c r="S725" s="93"/>
      <c r="T725" s="93"/>
      <c r="U725" s="93"/>
      <c r="V725" s="92"/>
      <c r="W725" s="92"/>
      <c r="X725" s="92"/>
      <c r="Y725" s="92"/>
      <c r="Z725" s="91"/>
    </row>
    <row r="726" spans="1:26" ht="14.25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4"/>
      <c r="O726" s="93"/>
      <c r="P726" s="93"/>
      <c r="Q726" s="93"/>
      <c r="R726" s="93"/>
      <c r="S726" s="93"/>
      <c r="T726" s="93"/>
      <c r="U726" s="93"/>
      <c r="V726" s="92"/>
      <c r="W726" s="92"/>
      <c r="X726" s="92"/>
      <c r="Y726" s="92"/>
      <c r="Z726" s="91"/>
    </row>
    <row r="727" spans="1:26" ht="14.25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4"/>
      <c r="O727" s="93"/>
      <c r="P727" s="93"/>
      <c r="Q727" s="93"/>
      <c r="R727" s="93"/>
      <c r="S727" s="93"/>
      <c r="T727" s="93"/>
      <c r="U727" s="93"/>
      <c r="V727" s="92"/>
      <c r="W727" s="92"/>
      <c r="X727" s="92"/>
      <c r="Y727" s="92"/>
      <c r="Z727" s="91"/>
    </row>
    <row r="728" spans="1:26" ht="14.25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4"/>
      <c r="O728" s="93"/>
      <c r="P728" s="93"/>
      <c r="Q728" s="93"/>
      <c r="R728" s="93"/>
      <c r="S728" s="93"/>
      <c r="T728" s="93"/>
      <c r="U728" s="93"/>
      <c r="V728" s="92"/>
      <c r="W728" s="92"/>
      <c r="X728" s="92"/>
      <c r="Y728" s="92"/>
      <c r="Z728" s="91"/>
    </row>
    <row r="729" spans="1:26" ht="14.25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4"/>
      <c r="O729" s="93"/>
      <c r="P729" s="93"/>
      <c r="Q729" s="93"/>
      <c r="R729" s="93"/>
      <c r="S729" s="93"/>
      <c r="T729" s="93"/>
      <c r="U729" s="93"/>
      <c r="V729" s="92"/>
      <c r="W729" s="92"/>
      <c r="X729" s="92"/>
      <c r="Y729" s="92"/>
      <c r="Z729" s="91"/>
    </row>
    <row r="730" spans="1:26" ht="14.25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4"/>
      <c r="O730" s="93"/>
      <c r="P730" s="93"/>
      <c r="Q730" s="93"/>
      <c r="R730" s="93"/>
      <c r="S730" s="93"/>
      <c r="T730" s="93"/>
      <c r="U730" s="93"/>
      <c r="V730" s="92"/>
      <c r="W730" s="92"/>
      <c r="X730" s="92"/>
      <c r="Y730" s="92"/>
      <c r="Z730" s="91"/>
    </row>
    <row r="731" spans="1:26" ht="14.25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4"/>
      <c r="O731" s="93"/>
      <c r="P731" s="93"/>
      <c r="Q731" s="93"/>
      <c r="R731" s="93"/>
      <c r="S731" s="93"/>
      <c r="T731" s="93"/>
      <c r="U731" s="93"/>
      <c r="V731" s="92"/>
      <c r="W731" s="92"/>
      <c r="X731" s="92"/>
      <c r="Y731" s="92"/>
      <c r="Z731" s="91"/>
    </row>
    <row r="732" spans="1:26" ht="14.25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4"/>
      <c r="O732" s="93"/>
      <c r="P732" s="93"/>
      <c r="Q732" s="93"/>
      <c r="R732" s="93"/>
      <c r="S732" s="93"/>
      <c r="T732" s="93"/>
      <c r="U732" s="93"/>
      <c r="V732" s="92"/>
      <c r="W732" s="92"/>
      <c r="X732" s="92"/>
      <c r="Y732" s="92"/>
      <c r="Z732" s="91"/>
    </row>
    <row r="733" spans="1:26" ht="14.25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4"/>
      <c r="O733" s="93"/>
      <c r="P733" s="93"/>
      <c r="Q733" s="93"/>
      <c r="R733" s="93"/>
      <c r="S733" s="93"/>
      <c r="T733" s="93"/>
      <c r="U733" s="93"/>
      <c r="V733" s="92"/>
      <c r="W733" s="92"/>
      <c r="X733" s="92"/>
      <c r="Y733" s="92"/>
      <c r="Z733" s="91"/>
    </row>
    <row r="734" spans="1:26" ht="14.25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4"/>
      <c r="O734" s="93"/>
      <c r="P734" s="93"/>
      <c r="Q734" s="93"/>
      <c r="R734" s="93"/>
      <c r="S734" s="93"/>
      <c r="T734" s="93"/>
      <c r="U734" s="93"/>
      <c r="V734" s="92"/>
      <c r="W734" s="92"/>
      <c r="X734" s="92"/>
      <c r="Y734" s="92"/>
      <c r="Z734" s="91"/>
    </row>
    <row r="735" spans="1:26" ht="14.25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4"/>
      <c r="O735" s="93"/>
      <c r="P735" s="93"/>
      <c r="Q735" s="93"/>
      <c r="R735" s="93"/>
      <c r="S735" s="93"/>
      <c r="T735" s="93"/>
      <c r="U735" s="93"/>
      <c r="V735" s="92"/>
      <c r="W735" s="92"/>
      <c r="X735" s="92"/>
      <c r="Y735" s="92"/>
      <c r="Z735" s="91"/>
    </row>
    <row r="736" spans="1:26" ht="14.25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4"/>
      <c r="O736" s="93"/>
      <c r="P736" s="93"/>
      <c r="Q736" s="93"/>
      <c r="R736" s="93"/>
      <c r="S736" s="93"/>
      <c r="T736" s="93"/>
      <c r="U736" s="93"/>
      <c r="V736" s="92"/>
      <c r="W736" s="92"/>
      <c r="X736" s="92"/>
      <c r="Y736" s="92"/>
      <c r="Z736" s="91"/>
    </row>
    <row r="737" spans="1:26" ht="14.25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4"/>
      <c r="O737" s="93"/>
      <c r="P737" s="93"/>
      <c r="Q737" s="93"/>
      <c r="R737" s="93"/>
      <c r="S737" s="93"/>
      <c r="T737" s="93"/>
      <c r="U737" s="93"/>
      <c r="V737" s="92"/>
      <c r="W737" s="92"/>
      <c r="X737" s="92"/>
      <c r="Y737" s="92"/>
      <c r="Z737" s="91"/>
    </row>
    <row r="738" spans="1:26" ht="14.25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4"/>
      <c r="O738" s="93"/>
      <c r="P738" s="93"/>
      <c r="Q738" s="93"/>
      <c r="R738" s="93"/>
      <c r="S738" s="93"/>
      <c r="T738" s="93"/>
      <c r="U738" s="93"/>
      <c r="V738" s="92"/>
      <c r="W738" s="92"/>
      <c r="X738" s="92"/>
      <c r="Y738" s="92"/>
      <c r="Z738" s="91"/>
    </row>
    <row r="739" spans="1:26" ht="14.25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4"/>
      <c r="O739" s="93"/>
      <c r="P739" s="93"/>
      <c r="Q739" s="93"/>
      <c r="R739" s="93"/>
      <c r="S739" s="93"/>
      <c r="T739" s="93"/>
      <c r="U739" s="93"/>
      <c r="V739" s="92"/>
      <c r="W739" s="92"/>
      <c r="X739" s="92"/>
      <c r="Y739" s="92"/>
      <c r="Z739" s="91"/>
    </row>
    <row r="740" spans="1:26" ht="14.25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4"/>
      <c r="O740" s="93"/>
      <c r="P740" s="93"/>
      <c r="Q740" s="93"/>
      <c r="R740" s="93"/>
      <c r="S740" s="93"/>
      <c r="T740" s="93"/>
      <c r="U740" s="93"/>
      <c r="V740" s="92"/>
      <c r="W740" s="92"/>
      <c r="X740" s="92"/>
      <c r="Y740" s="92"/>
      <c r="Z740" s="91"/>
    </row>
    <row r="741" spans="1:26" ht="14.25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4"/>
      <c r="O741" s="93"/>
      <c r="P741" s="93"/>
      <c r="Q741" s="93"/>
      <c r="R741" s="93"/>
      <c r="S741" s="93"/>
      <c r="T741" s="93"/>
      <c r="U741" s="93"/>
      <c r="V741" s="92"/>
      <c r="W741" s="92"/>
      <c r="X741" s="92"/>
      <c r="Y741" s="92"/>
      <c r="Z741" s="91"/>
    </row>
    <row r="742" spans="1:26" ht="14.25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4"/>
      <c r="O742" s="93"/>
      <c r="P742" s="93"/>
      <c r="Q742" s="93"/>
      <c r="R742" s="93"/>
      <c r="S742" s="93"/>
      <c r="T742" s="93"/>
      <c r="U742" s="93"/>
      <c r="V742" s="92"/>
      <c r="W742" s="92"/>
      <c r="X742" s="92"/>
      <c r="Y742" s="92"/>
      <c r="Z742" s="91"/>
    </row>
    <row r="743" spans="1:26" ht="14.25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4"/>
      <c r="O743" s="93"/>
      <c r="P743" s="93"/>
      <c r="Q743" s="93"/>
      <c r="R743" s="93"/>
      <c r="S743" s="93"/>
      <c r="T743" s="93"/>
      <c r="U743" s="93"/>
      <c r="V743" s="92"/>
      <c r="W743" s="92"/>
      <c r="X743" s="92"/>
      <c r="Y743" s="92"/>
      <c r="Z743" s="91"/>
    </row>
    <row r="744" spans="1:26" ht="14.25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4"/>
      <c r="O744" s="93"/>
      <c r="P744" s="93"/>
      <c r="Q744" s="93"/>
      <c r="R744" s="93"/>
      <c r="S744" s="93"/>
      <c r="T744" s="93"/>
      <c r="U744" s="93"/>
      <c r="V744" s="92"/>
      <c r="W744" s="92"/>
      <c r="X744" s="92"/>
      <c r="Y744" s="92"/>
      <c r="Z744" s="91"/>
    </row>
    <row r="745" spans="1:26" ht="14.25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4"/>
      <c r="O745" s="93"/>
      <c r="P745" s="93"/>
      <c r="Q745" s="93"/>
      <c r="R745" s="93"/>
      <c r="S745" s="93"/>
      <c r="T745" s="93"/>
      <c r="U745" s="93"/>
      <c r="V745" s="92"/>
      <c r="W745" s="92"/>
      <c r="X745" s="92"/>
      <c r="Y745" s="92"/>
      <c r="Z745" s="91"/>
    </row>
    <row r="746" spans="1:26" ht="14.25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4"/>
      <c r="O746" s="93"/>
      <c r="P746" s="93"/>
      <c r="Q746" s="93"/>
      <c r="R746" s="93"/>
      <c r="S746" s="93"/>
      <c r="T746" s="93"/>
      <c r="U746" s="93"/>
      <c r="V746" s="92"/>
      <c r="W746" s="92"/>
      <c r="X746" s="92"/>
      <c r="Y746" s="92"/>
      <c r="Z746" s="91"/>
    </row>
    <row r="747" spans="1:26" ht="14.25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4"/>
      <c r="O747" s="93"/>
      <c r="P747" s="93"/>
      <c r="Q747" s="93"/>
      <c r="R747" s="93"/>
      <c r="S747" s="93"/>
      <c r="T747" s="93"/>
      <c r="U747" s="93"/>
      <c r="V747" s="92"/>
      <c r="W747" s="92"/>
      <c r="X747" s="92"/>
      <c r="Y747" s="92"/>
      <c r="Z747" s="91"/>
    </row>
    <row r="748" spans="1:26" ht="14.25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4"/>
      <c r="O748" s="93"/>
      <c r="P748" s="93"/>
      <c r="Q748" s="93"/>
      <c r="R748" s="93"/>
      <c r="S748" s="93"/>
      <c r="T748" s="93"/>
      <c r="U748" s="93"/>
      <c r="V748" s="92"/>
      <c r="W748" s="92"/>
      <c r="X748" s="92"/>
      <c r="Y748" s="92"/>
      <c r="Z748" s="91"/>
    </row>
    <row r="749" spans="1:26" ht="14.25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4"/>
      <c r="O749" s="93"/>
      <c r="P749" s="93"/>
      <c r="Q749" s="93"/>
      <c r="R749" s="93"/>
      <c r="S749" s="93"/>
      <c r="T749" s="93"/>
      <c r="U749" s="93"/>
      <c r="V749" s="92"/>
      <c r="W749" s="92"/>
      <c r="X749" s="92"/>
      <c r="Y749" s="92"/>
      <c r="Z749" s="91"/>
    </row>
    <row r="750" spans="1:26" ht="14.25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4"/>
      <c r="O750" s="93"/>
      <c r="P750" s="93"/>
      <c r="Q750" s="93"/>
      <c r="R750" s="93"/>
      <c r="S750" s="93"/>
      <c r="T750" s="93"/>
      <c r="U750" s="93"/>
      <c r="V750" s="92"/>
      <c r="W750" s="92"/>
      <c r="X750" s="92"/>
      <c r="Y750" s="92"/>
      <c r="Z750" s="91"/>
    </row>
    <row r="751" spans="1:26" ht="14.25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4"/>
      <c r="O751" s="93"/>
      <c r="P751" s="93"/>
      <c r="Q751" s="93"/>
      <c r="R751" s="93"/>
      <c r="S751" s="93"/>
      <c r="T751" s="93"/>
      <c r="U751" s="93"/>
      <c r="V751" s="92"/>
      <c r="W751" s="92"/>
      <c r="X751" s="92"/>
      <c r="Y751" s="92"/>
      <c r="Z751" s="91"/>
    </row>
    <row r="752" spans="1:26" ht="14.25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4"/>
      <c r="O752" s="93"/>
      <c r="P752" s="93"/>
      <c r="Q752" s="93"/>
      <c r="R752" s="93"/>
      <c r="S752" s="93"/>
      <c r="T752" s="93"/>
      <c r="U752" s="93"/>
      <c r="V752" s="92"/>
      <c r="W752" s="92"/>
      <c r="X752" s="92"/>
      <c r="Y752" s="92"/>
      <c r="Z752" s="91"/>
    </row>
    <row r="753" spans="1:26" ht="14.25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4"/>
      <c r="O753" s="93"/>
      <c r="P753" s="93"/>
      <c r="Q753" s="93"/>
      <c r="R753" s="93"/>
      <c r="S753" s="93"/>
      <c r="T753" s="93"/>
      <c r="U753" s="93"/>
      <c r="V753" s="92"/>
      <c r="W753" s="92"/>
      <c r="X753" s="92"/>
      <c r="Y753" s="92"/>
      <c r="Z753" s="91"/>
    </row>
    <row r="754" spans="1:26" ht="14.25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4"/>
      <c r="O754" s="93"/>
      <c r="P754" s="93"/>
      <c r="Q754" s="93"/>
      <c r="R754" s="93"/>
      <c r="S754" s="93"/>
      <c r="T754" s="93"/>
      <c r="U754" s="93"/>
      <c r="V754" s="92"/>
      <c r="W754" s="92"/>
      <c r="X754" s="92"/>
      <c r="Y754" s="92"/>
      <c r="Z754" s="91"/>
    </row>
    <row r="755" spans="1:26" ht="14.25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4"/>
      <c r="O755" s="93"/>
      <c r="P755" s="93"/>
      <c r="Q755" s="93"/>
      <c r="R755" s="93"/>
      <c r="S755" s="93"/>
      <c r="T755" s="93"/>
      <c r="U755" s="93"/>
      <c r="V755" s="92"/>
      <c r="W755" s="92"/>
      <c r="X755" s="92"/>
      <c r="Y755" s="92"/>
      <c r="Z755" s="91"/>
    </row>
    <row r="756" spans="1:26" ht="14.25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4"/>
      <c r="O756" s="93"/>
      <c r="P756" s="93"/>
      <c r="Q756" s="93"/>
      <c r="R756" s="93"/>
      <c r="S756" s="93"/>
      <c r="T756" s="93"/>
      <c r="U756" s="93"/>
      <c r="V756" s="92"/>
      <c r="W756" s="92"/>
      <c r="X756" s="92"/>
      <c r="Y756" s="92"/>
      <c r="Z756" s="91"/>
    </row>
    <row r="757" spans="1:26" ht="14.25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4"/>
      <c r="O757" s="93"/>
      <c r="P757" s="93"/>
      <c r="Q757" s="93"/>
      <c r="R757" s="93"/>
      <c r="S757" s="93"/>
      <c r="T757" s="93"/>
      <c r="U757" s="93"/>
      <c r="V757" s="92"/>
      <c r="W757" s="92"/>
      <c r="X757" s="92"/>
      <c r="Y757" s="92"/>
      <c r="Z757" s="91"/>
    </row>
    <row r="758" spans="1:26" ht="14.25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4"/>
      <c r="O758" s="93"/>
      <c r="P758" s="93"/>
      <c r="Q758" s="93"/>
      <c r="R758" s="93"/>
      <c r="S758" s="93"/>
      <c r="T758" s="93"/>
      <c r="U758" s="93"/>
      <c r="V758" s="92"/>
      <c r="W758" s="92"/>
      <c r="X758" s="92"/>
      <c r="Y758" s="92"/>
      <c r="Z758" s="91"/>
    </row>
    <row r="759" spans="1:26" ht="14.25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4"/>
      <c r="O759" s="93"/>
      <c r="P759" s="93"/>
      <c r="Q759" s="93"/>
      <c r="R759" s="93"/>
      <c r="S759" s="93"/>
      <c r="T759" s="93"/>
      <c r="U759" s="93"/>
      <c r="V759" s="92"/>
      <c r="W759" s="92"/>
      <c r="X759" s="92"/>
      <c r="Y759" s="92"/>
      <c r="Z759" s="91"/>
    </row>
    <row r="760" spans="1:26" ht="14.25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4"/>
      <c r="O760" s="93"/>
      <c r="P760" s="93"/>
      <c r="Q760" s="93"/>
      <c r="R760" s="93"/>
      <c r="S760" s="93"/>
      <c r="T760" s="93"/>
      <c r="U760" s="93"/>
      <c r="V760" s="92"/>
      <c r="W760" s="92"/>
      <c r="X760" s="92"/>
      <c r="Y760" s="92"/>
      <c r="Z760" s="91"/>
    </row>
    <row r="761" spans="1:26" ht="14.25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4"/>
      <c r="O761" s="93"/>
      <c r="P761" s="93"/>
      <c r="Q761" s="93"/>
      <c r="R761" s="93"/>
      <c r="S761" s="93"/>
      <c r="T761" s="93"/>
      <c r="U761" s="93"/>
      <c r="V761" s="92"/>
      <c r="W761" s="92"/>
      <c r="X761" s="92"/>
      <c r="Y761" s="92"/>
      <c r="Z761" s="91"/>
    </row>
    <row r="762" spans="1:26" ht="14.25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4"/>
      <c r="O762" s="93"/>
      <c r="P762" s="93"/>
      <c r="Q762" s="93"/>
      <c r="R762" s="93"/>
      <c r="S762" s="93"/>
      <c r="T762" s="93"/>
      <c r="U762" s="93"/>
      <c r="V762" s="92"/>
      <c r="W762" s="92"/>
      <c r="X762" s="92"/>
      <c r="Y762" s="92"/>
      <c r="Z762" s="91"/>
    </row>
    <row r="763" spans="1:26" ht="14.25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4"/>
      <c r="O763" s="93"/>
      <c r="P763" s="93"/>
      <c r="Q763" s="93"/>
      <c r="R763" s="93"/>
      <c r="S763" s="93"/>
      <c r="T763" s="93"/>
      <c r="U763" s="93"/>
      <c r="V763" s="92"/>
      <c r="W763" s="92"/>
      <c r="X763" s="92"/>
      <c r="Y763" s="92"/>
      <c r="Z763" s="91"/>
    </row>
    <row r="764" spans="1:26" ht="14.25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4"/>
      <c r="O764" s="93"/>
      <c r="P764" s="93"/>
      <c r="Q764" s="93"/>
      <c r="R764" s="93"/>
      <c r="S764" s="93"/>
      <c r="T764" s="93"/>
      <c r="U764" s="93"/>
      <c r="V764" s="92"/>
      <c r="W764" s="92"/>
      <c r="X764" s="92"/>
      <c r="Y764" s="92"/>
      <c r="Z764" s="91"/>
    </row>
    <row r="765" spans="1:26" ht="14.25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4"/>
      <c r="O765" s="93"/>
      <c r="P765" s="93"/>
      <c r="Q765" s="93"/>
      <c r="R765" s="93"/>
      <c r="S765" s="93"/>
      <c r="T765" s="93"/>
      <c r="U765" s="93"/>
      <c r="V765" s="92"/>
      <c r="W765" s="92"/>
      <c r="X765" s="92"/>
      <c r="Y765" s="92"/>
      <c r="Z765" s="91"/>
    </row>
    <row r="766" spans="1:26" ht="14.25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4"/>
      <c r="O766" s="93"/>
      <c r="P766" s="93"/>
      <c r="Q766" s="93"/>
      <c r="R766" s="93"/>
      <c r="S766" s="93"/>
      <c r="T766" s="93"/>
      <c r="U766" s="93"/>
      <c r="V766" s="92"/>
      <c r="W766" s="92"/>
      <c r="X766" s="92"/>
      <c r="Y766" s="92"/>
      <c r="Z766" s="91"/>
    </row>
    <row r="767" spans="1:26" ht="14.25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4"/>
      <c r="O767" s="93"/>
      <c r="P767" s="93"/>
      <c r="Q767" s="93"/>
      <c r="R767" s="93"/>
      <c r="S767" s="93"/>
      <c r="T767" s="93"/>
      <c r="U767" s="93"/>
      <c r="V767" s="92"/>
      <c r="W767" s="92"/>
      <c r="X767" s="92"/>
      <c r="Y767" s="92"/>
      <c r="Z767" s="91"/>
    </row>
    <row r="768" spans="1:26" ht="14.25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4"/>
      <c r="O768" s="93"/>
      <c r="P768" s="93"/>
      <c r="Q768" s="93"/>
      <c r="R768" s="93"/>
      <c r="S768" s="93"/>
      <c r="T768" s="93"/>
      <c r="U768" s="93"/>
      <c r="V768" s="92"/>
      <c r="W768" s="92"/>
      <c r="X768" s="92"/>
      <c r="Y768" s="92"/>
      <c r="Z768" s="91"/>
    </row>
    <row r="769" spans="1:26" ht="14.25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4"/>
      <c r="O769" s="93"/>
      <c r="P769" s="93"/>
      <c r="Q769" s="93"/>
      <c r="R769" s="93"/>
      <c r="S769" s="93"/>
      <c r="T769" s="93"/>
      <c r="U769" s="93"/>
      <c r="V769" s="92"/>
      <c r="W769" s="92"/>
      <c r="X769" s="92"/>
      <c r="Y769" s="92"/>
      <c r="Z769" s="91"/>
    </row>
    <row r="770" spans="1:26" ht="14.25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4"/>
      <c r="O770" s="93"/>
      <c r="P770" s="93"/>
      <c r="Q770" s="93"/>
      <c r="R770" s="93"/>
      <c r="S770" s="93"/>
      <c r="T770" s="93"/>
      <c r="U770" s="93"/>
      <c r="V770" s="92"/>
      <c r="W770" s="92"/>
      <c r="X770" s="92"/>
      <c r="Y770" s="92"/>
      <c r="Z770" s="91"/>
    </row>
    <row r="771" spans="1:26" ht="14.25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4"/>
      <c r="O771" s="93"/>
      <c r="P771" s="93"/>
      <c r="Q771" s="93"/>
      <c r="R771" s="93"/>
      <c r="S771" s="93"/>
      <c r="T771" s="93"/>
      <c r="U771" s="93"/>
      <c r="V771" s="92"/>
      <c r="W771" s="92"/>
      <c r="X771" s="92"/>
      <c r="Y771" s="92"/>
      <c r="Z771" s="91"/>
    </row>
    <row r="772" spans="1:26" ht="14.25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4"/>
      <c r="O772" s="93"/>
      <c r="P772" s="93"/>
      <c r="Q772" s="93"/>
      <c r="R772" s="93"/>
      <c r="S772" s="93"/>
      <c r="T772" s="93"/>
      <c r="U772" s="93"/>
      <c r="V772" s="92"/>
      <c r="W772" s="92"/>
      <c r="X772" s="92"/>
      <c r="Y772" s="92"/>
      <c r="Z772" s="91"/>
    </row>
    <row r="773" spans="1:26" ht="14.25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4"/>
      <c r="O773" s="93"/>
      <c r="P773" s="93"/>
      <c r="Q773" s="93"/>
      <c r="R773" s="93"/>
      <c r="S773" s="93"/>
      <c r="T773" s="93"/>
      <c r="U773" s="93"/>
      <c r="V773" s="92"/>
      <c r="W773" s="92"/>
      <c r="X773" s="92"/>
      <c r="Y773" s="92"/>
      <c r="Z773" s="91"/>
    </row>
    <row r="774" spans="1:26" ht="14.25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4"/>
      <c r="O774" s="93"/>
      <c r="P774" s="93"/>
      <c r="Q774" s="93"/>
      <c r="R774" s="93"/>
      <c r="S774" s="93"/>
      <c r="T774" s="93"/>
      <c r="U774" s="93"/>
      <c r="V774" s="92"/>
      <c r="W774" s="92"/>
      <c r="X774" s="92"/>
      <c r="Y774" s="92"/>
      <c r="Z774" s="91"/>
    </row>
    <row r="775" spans="1:26" ht="14.25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4"/>
      <c r="O775" s="93"/>
      <c r="P775" s="93"/>
      <c r="Q775" s="93"/>
      <c r="R775" s="93"/>
      <c r="S775" s="93"/>
      <c r="T775" s="93"/>
      <c r="U775" s="93"/>
      <c r="V775" s="92"/>
      <c r="W775" s="92"/>
      <c r="X775" s="92"/>
      <c r="Y775" s="92"/>
      <c r="Z775" s="91"/>
    </row>
    <row r="776" spans="1:26" ht="14.25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4"/>
      <c r="O776" s="93"/>
      <c r="P776" s="93"/>
      <c r="Q776" s="93"/>
      <c r="R776" s="93"/>
      <c r="S776" s="93"/>
      <c r="T776" s="93"/>
      <c r="U776" s="93"/>
      <c r="V776" s="92"/>
      <c r="W776" s="92"/>
      <c r="X776" s="92"/>
      <c r="Y776" s="92"/>
      <c r="Z776" s="91"/>
    </row>
    <row r="777" spans="1:26" ht="14.25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4"/>
      <c r="O777" s="93"/>
      <c r="P777" s="93"/>
      <c r="Q777" s="93"/>
      <c r="R777" s="93"/>
      <c r="S777" s="93"/>
      <c r="T777" s="93"/>
      <c r="U777" s="93"/>
      <c r="V777" s="92"/>
      <c r="W777" s="92"/>
      <c r="X777" s="92"/>
      <c r="Y777" s="92"/>
      <c r="Z777" s="91"/>
    </row>
    <row r="778" spans="1:26" ht="14.25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4"/>
      <c r="O778" s="93"/>
      <c r="P778" s="93"/>
      <c r="Q778" s="93"/>
      <c r="R778" s="93"/>
      <c r="S778" s="93"/>
      <c r="T778" s="93"/>
      <c r="U778" s="93"/>
      <c r="V778" s="92"/>
      <c r="W778" s="92"/>
      <c r="X778" s="92"/>
      <c r="Y778" s="92"/>
      <c r="Z778" s="91"/>
    </row>
    <row r="779" spans="1:26" ht="14.25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4"/>
      <c r="O779" s="93"/>
      <c r="P779" s="93"/>
      <c r="Q779" s="93"/>
      <c r="R779" s="93"/>
      <c r="S779" s="93"/>
      <c r="T779" s="93"/>
      <c r="U779" s="93"/>
      <c r="V779" s="92"/>
      <c r="W779" s="92"/>
      <c r="X779" s="92"/>
      <c r="Y779" s="92"/>
      <c r="Z779" s="91"/>
    </row>
    <row r="780" spans="1:26" ht="14.25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4"/>
      <c r="O780" s="93"/>
      <c r="P780" s="93"/>
      <c r="Q780" s="93"/>
      <c r="R780" s="93"/>
      <c r="S780" s="93"/>
      <c r="T780" s="93"/>
      <c r="U780" s="93"/>
      <c r="V780" s="92"/>
      <c r="W780" s="92"/>
      <c r="X780" s="92"/>
      <c r="Y780" s="92"/>
      <c r="Z780" s="91"/>
    </row>
    <row r="781" spans="1:26" ht="14.25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4"/>
      <c r="O781" s="93"/>
      <c r="P781" s="93"/>
      <c r="Q781" s="93"/>
      <c r="R781" s="93"/>
      <c r="S781" s="93"/>
      <c r="T781" s="93"/>
      <c r="U781" s="93"/>
      <c r="V781" s="92"/>
      <c r="W781" s="92"/>
      <c r="X781" s="92"/>
      <c r="Y781" s="92"/>
      <c r="Z781" s="91"/>
    </row>
    <row r="782" spans="1:26" ht="14.25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4"/>
      <c r="O782" s="93"/>
      <c r="P782" s="93"/>
      <c r="Q782" s="93"/>
      <c r="R782" s="93"/>
      <c r="S782" s="93"/>
      <c r="T782" s="93"/>
      <c r="U782" s="93"/>
      <c r="V782" s="92"/>
      <c r="W782" s="92"/>
      <c r="X782" s="92"/>
      <c r="Y782" s="92"/>
      <c r="Z782" s="91"/>
    </row>
    <row r="783" spans="1:26" ht="14.25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4"/>
      <c r="O783" s="93"/>
      <c r="P783" s="93"/>
      <c r="Q783" s="93"/>
      <c r="R783" s="93"/>
      <c r="S783" s="93"/>
      <c r="T783" s="93"/>
      <c r="U783" s="93"/>
      <c r="V783" s="92"/>
      <c r="W783" s="92"/>
      <c r="X783" s="92"/>
      <c r="Y783" s="92"/>
      <c r="Z783" s="91"/>
    </row>
    <row r="784" spans="1:26" ht="14.25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4"/>
      <c r="O784" s="93"/>
      <c r="P784" s="93"/>
      <c r="Q784" s="93"/>
      <c r="R784" s="93"/>
      <c r="S784" s="93"/>
      <c r="T784" s="93"/>
      <c r="U784" s="93"/>
      <c r="V784" s="92"/>
      <c r="W784" s="92"/>
      <c r="X784" s="92"/>
      <c r="Y784" s="92"/>
      <c r="Z784" s="91"/>
    </row>
    <row r="785" spans="1:26" ht="14.25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4"/>
      <c r="O785" s="93"/>
      <c r="P785" s="93"/>
      <c r="Q785" s="93"/>
      <c r="R785" s="93"/>
      <c r="S785" s="93"/>
      <c r="T785" s="93"/>
      <c r="U785" s="93"/>
      <c r="V785" s="92"/>
      <c r="W785" s="92"/>
      <c r="X785" s="92"/>
      <c r="Y785" s="92"/>
      <c r="Z785" s="91"/>
    </row>
    <row r="786" spans="1:26" ht="14.25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4"/>
      <c r="O786" s="93"/>
      <c r="P786" s="93"/>
      <c r="Q786" s="93"/>
      <c r="R786" s="93"/>
      <c r="S786" s="93"/>
      <c r="T786" s="93"/>
      <c r="U786" s="93"/>
      <c r="V786" s="92"/>
      <c r="W786" s="92"/>
      <c r="X786" s="92"/>
      <c r="Y786" s="92"/>
      <c r="Z786" s="91"/>
    </row>
    <row r="787" spans="1:26" ht="14.25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4"/>
      <c r="O787" s="93"/>
      <c r="P787" s="93"/>
      <c r="Q787" s="93"/>
      <c r="R787" s="93"/>
      <c r="S787" s="93"/>
      <c r="T787" s="93"/>
      <c r="U787" s="93"/>
      <c r="V787" s="92"/>
      <c r="W787" s="92"/>
      <c r="X787" s="92"/>
      <c r="Y787" s="92"/>
      <c r="Z787" s="91"/>
    </row>
    <row r="788" spans="1:26" ht="14.25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4"/>
      <c r="O788" s="93"/>
      <c r="P788" s="93"/>
      <c r="Q788" s="93"/>
      <c r="R788" s="93"/>
      <c r="S788" s="93"/>
      <c r="T788" s="93"/>
      <c r="U788" s="93"/>
      <c r="V788" s="92"/>
      <c r="W788" s="92"/>
      <c r="X788" s="92"/>
      <c r="Y788" s="92"/>
      <c r="Z788" s="91"/>
    </row>
    <row r="789" spans="1:26" ht="14.25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4"/>
      <c r="O789" s="93"/>
      <c r="P789" s="93"/>
      <c r="Q789" s="93"/>
      <c r="R789" s="93"/>
      <c r="S789" s="93"/>
      <c r="T789" s="93"/>
      <c r="U789" s="93"/>
      <c r="V789" s="92"/>
      <c r="W789" s="92"/>
      <c r="X789" s="92"/>
      <c r="Y789" s="92"/>
      <c r="Z789" s="91"/>
    </row>
    <row r="790" spans="1:26" ht="14.25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4"/>
      <c r="O790" s="93"/>
      <c r="P790" s="93"/>
      <c r="Q790" s="93"/>
      <c r="R790" s="93"/>
      <c r="S790" s="93"/>
      <c r="T790" s="93"/>
      <c r="U790" s="93"/>
      <c r="V790" s="92"/>
      <c r="W790" s="92"/>
      <c r="X790" s="92"/>
      <c r="Y790" s="92"/>
      <c r="Z790" s="91"/>
    </row>
    <row r="791" spans="1:26" ht="14.25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4"/>
      <c r="O791" s="93"/>
      <c r="P791" s="93"/>
      <c r="Q791" s="93"/>
      <c r="R791" s="93"/>
      <c r="S791" s="93"/>
      <c r="T791" s="93"/>
      <c r="U791" s="93"/>
      <c r="V791" s="92"/>
      <c r="W791" s="92"/>
      <c r="X791" s="92"/>
      <c r="Y791" s="92"/>
      <c r="Z791" s="91"/>
    </row>
    <row r="792" spans="1:26" ht="14.25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4"/>
      <c r="O792" s="93"/>
      <c r="P792" s="93"/>
      <c r="Q792" s="93"/>
      <c r="R792" s="93"/>
      <c r="S792" s="93"/>
      <c r="T792" s="93"/>
      <c r="U792" s="93"/>
      <c r="V792" s="92"/>
      <c r="W792" s="92"/>
      <c r="X792" s="92"/>
      <c r="Y792" s="92"/>
      <c r="Z792" s="91"/>
    </row>
    <row r="793" spans="1:26" ht="14.25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4"/>
      <c r="O793" s="93"/>
      <c r="P793" s="93"/>
      <c r="Q793" s="93"/>
      <c r="R793" s="93"/>
      <c r="S793" s="93"/>
      <c r="T793" s="93"/>
      <c r="U793" s="93"/>
      <c r="V793" s="92"/>
      <c r="W793" s="92"/>
      <c r="X793" s="92"/>
      <c r="Y793" s="92"/>
      <c r="Z793" s="91"/>
    </row>
    <row r="794" spans="1:26" ht="14.25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4"/>
      <c r="O794" s="93"/>
      <c r="P794" s="93"/>
      <c r="Q794" s="93"/>
      <c r="R794" s="93"/>
      <c r="S794" s="93"/>
      <c r="T794" s="93"/>
      <c r="U794" s="93"/>
      <c r="V794" s="92"/>
      <c r="W794" s="92"/>
      <c r="X794" s="92"/>
      <c r="Y794" s="92"/>
      <c r="Z794" s="91"/>
    </row>
    <row r="795" spans="1:26" ht="14.25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4"/>
      <c r="O795" s="93"/>
      <c r="P795" s="93"/>
      <c r="Q795" s="93"/>
      <c r="R795" s="93"/>
      <c r="S795" s="93"/>
      <c r="T795" s="93"/>
      <c r="U795" s="93"/>
      <c r="V795" s="92"/>
      <c r="W795" s="92"/>
      <c r="X795" s="92"/>
      <c r="Y795" s="92"/>
      <c r="Z795" s="91"/>
    </row>
    <row r="796" spans="1:26" ht="14.25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4"/>
      <c r="O796" s="93"/>
      <c r="P796" s="93"/>
      <c r="Q796" s="93"/>
      <c r="R796" s="93"/>
      <c r="S796" s="93"/>
      <c r="T796" s="93"/>
      <c r="U796" s="93"/>
      <c r="V796" s="92"/>
      <c r="W796" s="92"/>
      <c r="X796" s="92"/>
      <c r="Y796" s="92"/>
      <c r="Z796" s="91"/>
    </row>
    <row r="797" spans="1:26" ht="14.25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4"/>
      <c r="O797" s="93"/>
      <c r="P797" s="93"/>
      <c r="Q797" s="93"/>
      <c r="R797" s="93"/>
      <c r="S797" s="93"/>
      <c r="T797" s="93"/>
      <c r="U797" s="93"/>
      <c r="V797" s="92"/>
      <c r="W797" s="92"/>
      <c r="X797" s="92"/>
      <c r="Y797" s="92"/>
      <c r="Z797" s="91"/>
    </row>
    <row r="798" spans="1:26" ht="14.25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4"/>
      <c r="O798" s="93"/>
      <c r="P798" s="93"/>
      <c r="Q798" s="93"/>
      <c r="R798" s="93"/>
      <c r="S798" s="93"/>
      <c r="T798" s="93"/>
      <c r="U798" s="93"/>
      <c r="V798" s="92"/>
      <c r="W798" s="92"/>
      <c r="X798" s="92"/>
      <c r="Y798" s="92"/>
      <c r="Z798" s="91"/>
    </row>
    <row r="799" spans="1:26" ht="14.25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4"/>
      <c r="O799" s="93"/>
      <c r="P799" s="93"/>
      <c r="Q799" s="93"/>
      <c r="R799" s="93"/>
      <c r="S799" s="93"/>
      <c r="T799" s="93"/>
      <c r="U799" s="93"/>
      <c r="V799" s="92"/>
      <c r="W799" s="92"/>
      <c r="X799" s="92"/>
      <c r="Y799" s="92"/>
      <c r="Z799" s="91"/>
    </row>
    <row r="800" spans="1:26" ht="14.25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4"/>
      <c r="O800" s="93"/>
      <c r="P800" s="93"/>
      <c r="Q800" s="93"/>
      <c r="R800" s="93"/>
      <c r="S800" s="93"/>
      <c r="T800" s="93"/>
      <c r="U800" s="93"/>
      <c r="V800" s="92"/>
      <c r="W800" s="92"/>
      <c r="X800" s="92"/>
      <c r="Y800" s="92"/>
      <c r="Z800" s="91"/>
    </row>
    <row r="801" spans="1:26" ht="14.25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4"/>
      <c r="O801" s="93"/>
      <c r="P801" s="93"/>
      <c r="Q801" s="93"/>
      <c r="R801" s="93"/>
      <c r="S801" s="93"/>
      <c r="T801" s="93"/>
      <c r="U801" s="93"/>
      <c r="V801" s="92"/>
      <c r="W801" s="92"/>
      <c r="X801" s="92"/>
      <c r="Y801" s="92"/>
      <c r="Z801" s="91"/>
    </row>
    <row r="802" spans="1:26" ht="14.25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4"/>
      <c r="O802" s="93"/>
      <c r="P802" s="93"/>
      <c r="Q802" s="93"/>
      <c r="R802" s="93"/>
      <c r="S802" s="93"/>
      <c r="T802" s="93"/>
      <c r="U802" s="93"/>
      <c r="V802" s="92"/>
      <c r="W802" s="92"/>
      <c r="X802" s="92"/>
      <c r="Y802" s="92"/>
      <c r="Z802" s="91"/>
    </row>
    <row r="803" spans="1:26" ht="14.25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4"/>
      <c r="O803" s="93"/>
      <c r="P803" s="93"/>
      <c r="Q803" s="93"/>
      <c r="R803" s="93"/>
      <c r="S803" s="93"/>
      <c r="T803" s="93"/>
      <c r="U803" s="93"/>
      <c r="V803" s="92"/>
      <c r="W803" s="92"/>
      <c r="X803" s="92"/>
      <c r="Y803" s="92"/>
      <c r="Z803" s="91"/>
    </row>
    <row r="804" spans="1:26" ht="14.25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4"/>
      <c r="O804" s="93"/>
      <c r="P804" s="93"/>
      <c r="Q804" s="93"/>
      <c r="R804" s="93"/>
      <c r="S804" s="93"/>
      <c r="T804" s="93"/>
      <c r="U804" s="93"/>
      <c r="V804" s="92"/>
      <c r="W804" s="92"/>
      <c r="X804" s="92"/>
      <c r="Y804" s="92"/>
      <c r="Z804" s="91"/>
    </row>
    <row r="805" spans="1:26" ht="14.25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4"/>
      <c r="O805" s="93"/>
      <c r="P805" s="93"/>
      <c r="Q805" s="93"/>
      <c r="R805" s="93"/>
      <c r="S805" s="93"/>
      <c r="T805" s="93"/>
      <c r="U805" s="93"/>
      <c r="V805" s="92"/>
      <c r="W805" s="92"/>
      <c r="X805" s="92"/>
      <c r="Y805" s="92"/>
      <c r="Z805" s="91"/>
    </row>
    <row r="806" spans="1:26" ht="14.25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4"/>
      <c r="O806" s="93"/>
      <c r="P806" s="93"/>
      <c r="Q806" s="93"/>
      <c r="R806" s="93"/>
      <c r="S806" s="93"/>
      <c r="T806" s="93"/>
      <c r="U806" s="93"/>
      <c r="V806" s="92"/>
      <c r="W806" s="92"/>
      <c r="X806" s="92"/>
      <c r="Y806" s="92"/>
      <c r="Z806" s="91"/>
    </row>
    <row r="807" spans="1:26" ht="14.25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4"/>
      <c r="O807" s="93"/>
      <c r="P807" s="93"/>
      <c r="Q807" s="93"/>
      <c r="R807" s="93"/>
      <c r="S807" s="93"/>
      <c r="T807" s="93"/>
      <c r="U807" s="93"/>
      <c r="V807" s="92"/>
      <c r="W807" s="92"/>
      <c r="X807" s="92"/>
      <c r="Y807" s="92"/>
      <c r="Z807" s="91"/>
    </row>
    <row r="808" spans="1:26" ht="14.25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4"/>
      <c r="O808" s="93"/>
      <c r="P808" s="93"/>
      <c r="Q808" s="93"/>
      <c r="R808" s="93"/>
      <c r="S808" s="93"/>
      <c r="T808" s="93"/>
      <c r="U808" s="93"/>
      <c r="V808" s="92"/>
      <c r="W808" s="92"/>
      <c r="X808" s="92"/>
      <c r="Y808" s="92"/>
      <c r="Z808" s="91"/>
    </row>
    <row r="809" spans="1:26" ht="14.25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4"/>
      <c r="O809" s="93"/>
      <c r="P809" s="93"/>
      <c r="Q809" s="93"/>
      <c r="R809" s="93"/>
      <c r="S809" s="93"/>
      <c r="T809" s="93"/>
      <c r="U809" s="93"/>
      <c r="V809" s="92"/>
      <c r="W809" s="92"/>
      <c r="X809" s="92"/>
      <c r="Y809" s="92"/>
      <c r="Z809" s="91"/>
    </row>
    <row r="810" spans="1:26" ht="14.25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4"/>
      <c r="O810" s="93"/>
      <c r="P810" s="93"/>
      <c r="Q810" s="93"/>
      <c r="R810" s="93"/>
      <c r="S810" s="93"/>
      <c r="T810" s="93"/>
      <c r="U810" s="93"/>
      <c r="V810" s="92"/>
      <c r="W810" s="92"/>
      <c r="X810" s="92"/>
      <c r="Y810" s="92"/>
      <c r="Z810" s="91"/>
    </row>
    <row r="811" spans="1:26" ht="14.25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4"/>
      <c r="O811" s="93"/>
      <c r="P811" s="93"/>
      <c r="Q811" s="93"/>
      <c r="R811" s="93"/>
      <c r="S811" s="93"/>
      <c r="T811" s="93"/>
      <c r="U811" s="93"/>
      <c r="V811" s="92"/>
      <c r="W811" s="92"/>
      <c r="X811" s="92"/>
      <c r="Y811" s="92"/>
      <c r="Z811" s="91"/>
    </row>
    <row r="812" spans="1:26" ht="14.25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4"/>
      <c r="O812" s="93"/>
      <c r="P812" s="93"/>
      <c r="Q812" s="93"/>
      <c r="R812" s="93"/>
      <c r="S812" s="93"/>
      <c r="T812" s="93"/>
      <c r="U812" s="93"/>
      <c r="V812" s="92"/>
      <c r="W812" s="92"/>
      <c r="X812" s="92"/>
      <c r="Y812" s="92"/>
      <c r="Z812" s="91"/>
    </row>
    <row r="813" spans="1:26" ht="14.25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4"/>
      <c r="O813" s="93"/>
      <c r="P813" s="93"/>
      <c r="Q813" s="93"/>
      <c r="R813" s="93"/>
      <c r="S813" s="93"/>
      <c r="T813" s="93"/>
      <c r="U813" s="93"/>
      <c r="V813" s="92"/>
      <c r="W813" s="92"/>
      <c r="X813" s="92"/>
      <c r="Y813" s="92"/>
      <c r="Z813" s="91"/>
    </row>
    <row r="814" spans="1:26" ht="14.25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4"/>
      <c r="O814" s="93"/>
      <c r="P814" s="93"/>
      <c r="Q814" s="93"/>
      <c r="R814" s="93"/>
      <c r="S814" s="93"/>
      <c r="T814" s="93"/>
      <c r="U814" s="93"/>
      <c r="V814" s="92"/>
      <c r="W814" s="92"/>
      <c r="X814" s="92"/>
      <c r="Y814" s="92"/>
      <c r="Z814" s="91"/>
    </row>
    <row r="815" spans="1:26" ht="14.25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4"/>
      <c r="O815" s="93"/>
      <c r="P815" s="93"/>
      <c r="Q815" s="93"/>
      <c r="R815" s="93"/>
      <c r="S815" s="93"/>
      <c r="T815" s="93"/>
      <c r="U815" s="93"/>
      <c r="V815" s="92"/>
      <c r="W815" s="92"/>
      <c r="X815" s="92"/>
      <c r="Y815" s="92"/>
      <c r="Z815" s="91"/>
    </row>
    <row r="816" spans="1:26" ht="14.25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4"/>
      <c r="O816" s="93"/>
      <c r="P816" s="93"/>
      <c r="Q816" s="93"/>
      <c r="R816" s="93"/>
      <c r="S816" s="93"/>
      <c r="T816" s="93"/>
      <c r="U816" s="93"/>
      <c r="V816" s="92"/>
      <c r="W816" s="92"/>
      <c r="X816" s="92"/>
      <c r="Y816" s="92"/>
      <c r="Z816" s="91"/>
    </row>
    <row r="817" spans="1:26" ht="14.25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4"/>
      <c r="O817" s="93"/>
      <c r="P817" s="93"/>
      <c r="Q817" s="93"/>
      <c r="R817" s="93"/>
      <c r="S817" s="93"/>
      <c r="T817" s="93"/>
      <c r="U817" s="93"/>
      <c r="V817" s="92"/>
      <c r="W817" s="92"/>
      <c r="X817" s="92"/>
      <c r="Y817" s="92"/>
      <c r="Z817" s="91"/>
    </row>
    <row r="818" spans="1:26" ht="14.25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4"/>
      <c r="O818" s="93"/>
      <c r="P818" s="93"/>
      <c r="Q818" s="93"/>
      <c r="R818" s="93"/>
      <c r="S818" s="93"/>
      <c r="T818" s="93"/>
      <c r="U818" s="93"/>
      <c r="V818" s="92"/>
      <c r="W818" s="92"/>
      <c r="X818" s="92"/>
      <c r="Y818" s="92"/>
      <c r="Z818" s="91"/>
    </row>
    <row r="819" spans="1:26" ht="14.25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4"/>
      <c r="O819" s="93"/>
      <c r="P819" s="93"/>
      <c r="Q819" s="93"/>
      <c r="R819" s="93"/>
      <c r="S819" s="93"/>
      <c r="T819" s="93"/>
      <c r="U819" s="93"/>
      <c r="V819" s="92"/>
      <c r="W819" s="92"/>
      <c r="X819" s="92"/>
      <c r="Y819" s="92"/>
      <c r="Z819" s="91"/>
    </row>
    <row r="820" spans="1:26" ht="14.25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4"/>
      <c r="O820" s="93"/>
      <c r="P820" s="93"/>
      <c r="Q820" s="93"/>
      <c r="R820" s="93"/>
      <c r="S820" s="93"/>
      <c r="T820" s="93"/>
      <c r="U820" s="93"/>
      <c r="V820" s="92"/>
      <c r="W820" s="92"/>
      <c r="X820" s="92"/>
      <c r="Y820" s="92"/>
      <c r="Z820" s="91"/>
    </row>
    <row r="821" spans="1:26" ht="14.25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4"/>
      <c r="O821" s="93"/>
      <c r="P821" s="93"/>
      <c r="Q821" s="93"/>
      <c r="R821" s="93"/>
      <c r="S821" s="93"/>
      <c r="T821" s="93"/>
      <c r="U821" s="93"/>
      <c r="V821" s="92"/>
      <c r="W821" s="92"/>
      <c r="X821" s="92"/>
      <c r="Y821" s="92"/>
      <c r="Z821" s="91"/>
    </row>
    <row r="822" spans="1:26" ht="14.25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4"/>
      <c r="O822" s="93"/>
      <c r="P822" s="93"/>
      <c r="Q822" s="93"/>
      <c r="R822" s="93"/>
      <c r="S822" s="93"/>
      <c r="T822" s="93"/>
      <c r="U822" s="93"/>
      <c r="V822" s="92"/>
      <c r="W822" s="92"/>
      <c r="X822" s="92"/>
      <c r="Y822" s="92"/>
      <c r="Z822" s="91"/>
    </row>
    <row r="823" spans="1:26" ht="14.25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4"/>
      <c r="O823" s="93"/>
      <c r="P823" s="93"/>
      <c r="Q823" s="93"/>
      <c r="R823" s="93"/>
      <c r="S823" s="93"/>
      <c r="T823" s="93"/>
      <c r="U823" s="93"/>
      <c r="V823" s="92"/>
      <c r="W823" s="92"/>
      <c r="X823" s="92"/>
      <c r="Y823" s="92"/>
      <c r="Z823" s="91"/>
    </row>
    <row r="824" spans="1:26" ht="14.25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4"/>
      <c r="O824" s="93"/>
      <c r="P824" s="93"/>
      <c r="Q824" s="93"/>
      <c r="R824" s="93"/>
      <c r="S824" s="93"/>
      <c r="T824" s="93"/>
      <c r="U824" s="93"/>
      <c r="V824" s="92"/>
      <c r="W824" s="92"/>
      <c r="X824" s="92"/>
      <c r="Y824" s="92"/>
      <c r="Z824" s="91"/>
    </row>
    <row r="825" spans="1:26" ht="14.25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4"/>
      <c r="O825" s="93"/>
      <c r="P825" s="93"/>
      <c r="Q825" s="93"/>
      <c r="R825" s="93"/>
      <c r="S825" s="93"/>
      <c r="T825" s="93"/>
      <c r="U825" s="93"/>
      <c r="V825" s="92"/>
      <c r="W825" s="92"/>
      <c r="X825" s="92"/>
      <c r="Y825" s="92"/>
      <c r="Z825" s="91"/>
    </row>
    <row r="826" spans="1:26" ht="14.25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4"/>
      <c r="O826" s="93"/>
      <c r="P826" s="93"/>
      <c r="Q826" s="93"/>
      <c r="R826" s="93"/>
      <c r="S826" s="93"/>
      <c r="T826" s="93"/>
      <c r="U826" s="93"/>
      <c r="V826" s="92"/>
      <c r="W826" s="92"/>
      <c r="X826" s="92"/>
      <c r="Y826" s="92"/>
      <c r="Z826" s="91"/>
    </row>
    <row r="827" spans="1:26" ht="14.25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4"/>
      <c r="O827" s="93"/>
      <c r="P827" s="93"/>
      <c r="Q827" s="93"/>
      <c r="R827" s="93"/>
      <c r="S827" s="93"/>
      <c r="T827" s="93"/>
      <c r="U827" s="93"/>
      <c r="V827" s="92"/>
      <c r="W827" s="92"/>
      <c r="X827" s="92"/>
      <c r="Y827" s="92"/>
      <c r="Z827" s="91"/>
    </row>
    <row r="828" spans="1:26" ht="14.25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4"/>
      <c r="O828" s="93"/>
      <c r="P828" s="93"/>
      <c r="Q828" s="93"/>
      <c r="R828" s="93"/>
      <c r="S828" s="93"/>
      <c r="T828" s="93"/>
      <c r="U828" s="93"/>
      <c r="V828" s="92"/>
      <c r="W828" s="92"/>
      <c r="X828" s="92"/>
      <c r="Y828" s="92"/>
      <c r="Z828" s="91"/>
    </row>
    <row r="829" spans="1:26" ht="14.25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4"/>
      <c r="O829" s="93"/>
      <c r="P829" s="93"/>
      <c r="Q829" s="93"/>
      <c r="R829" s="93"/>
      <c r="S829" s="93"/>
      <c r="T829" s="93"/>
      <c r="U829" s="93"/>
      <c r="V829" s="92"/>
      <c r="W829" s="92"/>
      <c r="X829" s="92"/>
      <c r="Y829" s="92"/>
      <c r="Z829" s="91"/>
    </row>
    <row r="830" spans="1:26" ht="14.25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4"/>
      <c r="O830" s="93"/>
      <c r="P830" s="93"/>
      <c r="Q830" s="93"/>
      <c r="R830" s="93"/>
      <c r="S830" s="93"/>
      <c r="T830" s="93"/>
      <c r="U830" s="93"/>
      <c r="V830" s="92"/>
      <c r="W830" s="92"/>
      <c r="X830" s="92"/>
      <c r="Y830" s="92"/>
      <c r="Z830" s="91"/>
    </row>
    <row r="831" spans="1:26" ht="14.25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4"/>
      <c r="O831" s="93"/>
      <c r="P831" s="93"/>
      <c r="Q831" s="93"/>
      <c r="R831" s="93"/>
      <c r="S831" s="93"/>
      <c r="T831" s="93"/>
      <c r="U831" s="93"/>
      <c r="V831" s="92"/>
      <c r="W831" s="92"/>
      <c r="X831" s="92"/>
      <c r="Y831" s="92"/>
      <c r="Z831" s="91"/>
    </row>
    <row r="832" spans="1:26" ht="14.25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4"/>
      <c r="O832" s="93"/>
      <c r="P832" s="93"/>
      <c r="Q832" s="93"/>
      <c r="R832" s="93"/>
      <c r="S832" s="93"/>
      <c r="T832" s="93"/>
      <c r="U832" s="93"/>
      <c r="V832" s="92"/>
      <c r="W832" s="92"/>
      <c r="X832" s="92"/>
      <c r="Y832" s="92"/>
      <c r="Z832" s="91"/>
    </row>
    <row r="833" spans="1:26" ht="14.25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4"/>
      <c r="O833" s="93"/>
      <c r="P833" s="93"/>
      <c r="Q833" s="93"/>
      <c r="R833" s="93"/>
      <c r="S833" s="93"/>
      <c r="T833" s="93"/>
      <c r="U833" s="93"/>
      <c r="V833" s="92"/>
      <c r="W833" s="92"/>
      <c r="X833" s="92"/>
      <c r="Y833" s="92"/>
      <c r="Z833" s="91"/>
    </row>
    <row r="834" spans="1:26" ht="14.25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4"/>
      <c r="O834" s="93"/>
      <c r="P834" s="93"/>
      <c r="Q834" s="93"/>
      <c r="R834" s="93"/>
      <c r="S834" s="93"/>
      <c r="T834" s="93"/>
      <c r="U834" s="93"/>
      <c r="V834" s="92"/>
      <c r="W834" s="92"/>
      <c r="X834" s="92"/>
      <c r="Y834" s="92"/>
      <c r="Z834" s="91"/>
    </row>
    <row r="835" spans="1:26" ht="14.25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4"/>
      <c r="O835" s="93"/>
      <c r="P835" s="93"/>
      <c r="Q835" s="93"/>
      <c r="R835" s="93"/>
      <c r="S835" s="93"/>
      <c r="T835" s="93"/>
      <c r="U835" s="93"/>
      <c r="V835" s="92"/>
      <c r="W835" s="92"/>
      <c r="X835" s="92"/>
      <c r="Y835" s="92"/>
      <c r="Z835" s="91"/>
    </row>
    <row r="836" spans="1:26" ht="14.25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4"/>
      <c r="O836" s="93"/>
      <c r="P836" s="93"/>
      <c r="Q836" s="93"/>
      <c r="R836" s="93"/>
      <c r="S836" s="93"/>
      <c r="T836" s="93"/>
      <c r="U836" s="93"/>
      <c r="V836" s="92"/>
      <c r="W836" s="92"/>
      <c r="X836" s="92"/>
      <c r="Y836" s="92"/>
      <c r="Z836" s="91"/>
    </row>
    <row r="837" spans="1:26" ht="14.25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4"/>
      <c r="O837" s="93"/>
      <c r="P837" s="93"/>
      <c r="Q837" s="93"/>
      <c r="R837" s="93"/>
      <c r="S837" s="93"/>
      <c r="T837" s="93"/>
      <c r="U837" s="93"/>
      <c r="V837" s="92"/>
      <c r="W837" s="92"/>
      <c r="X837" s="92"/>
      <c r="Y837" s="92"/>
      <c r="Z837" s="91"/>
    </row>
    <row r="838" spans="1:26" ht="14.25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4"/>
      <c r="O838" s="93"/>
      <c r="P838" s="93"/>
      <c r="Q838" s="93"/>
      <c r="R838" s="93"/>
      <c r="S838" s="93"/>
      <c r="T838" s="93"/>
      <c r="U838" s="93"/>
      <c r="V838" s="92"/>
      <c r="W838" s="92"/>
      <c r="X838" s="92"/>
      <c r="Y838" s="92"/>
      <c r="Z838" s="91"/>
    </row>
    <row r="839" spans="1:26" ht="14.25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4"/>
      <c r="O839" s="93"/>
      <c r="P839" s="93"/>
      <c r="Q839" s="93"/>
      <c r="R839" s="93"/>
      <c r="S839" s="93"/>
      <c r="T839" s="93"/>
      <c r="U839" s="93"/>
      <c r="V839" s="92"/>
      <c r="W839" s="92"/>
      <c r="X839" s="92"/>
      <c r="Y839" s="92"/>
      <c r="Z839" s="91"/>
    </row>
    <row r="840" spans="1:26" ht="14.25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4"/>
      <c r="O840" s="93"/>
      <c r="P840" s="93"/>
      <c r="Q840" s="93"/>
      <c r="R840" s="93"/>
      <c r="S840" s="93"/>
      <c r="T840" s="93"/>
      <c r="U840" s="93"/>
      <c r="V840" s="92"/>
      <c r="W840" s="92"/>
      <c r="X840" s="92"/>
      <c r="Y840" s="92"/>
      <c r="Z840" s="91"/>
    </row>
    <row r="841" spans="1:26" ht="14.25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4"/>
      <c r="O841" s="93"/>
      <c r="P841" s="93"/>
      <c r="Q841" s="93"/>
      <c r="R841" s="93"/>
      <c r="S841" s="93"/>
      <c r="T841" s="93"/>
      <c r="U841" s="93"/>
      <c r="V841" s="92"/>
      <c r="W841" s="92"/>
      <c r="X841" s="92"/>
      <c r="Y841" s="92"/>
      <c r="Z841" s="91"/>
    </row>
    <row r="842" spans="1:26" ht="14.25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4"/>
      <c r="O842" s="93"/>
      <c r="P842" s="93"/>
      <c r="Q842" s="93"/>
      <c r="R842" s="93"/>
      <c r="S842" s="93"/>
      <c r="T842" s="93"/>
      <c r="U842" s="93"/>
      <c r="V842" s="92"/>
      <c r="W842" s="92"/>
      <c r="X842" s="92"/>
      <c r="Y842" s="92"/>
      <c r="Z842" s="91"/>
    </row>
    <row r="843" spans="1:26" ht="14.25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4"/>
      <c r="O843" s="93"/>
      <c r="P843" s="93"/>
      <c r="Q843" s="93"/>
      <c r="R843" s="93"/>
      <c r="S843" s="93"/>
      <c r="T843" s="93"/>
      <c r="U843" s="93"/>
      <c r="V843" s="92"/>
      <c r="W843" s="92"/>
      <c r="X843" s="92"/>
      <c r="Y843" s="92"/>
      <c r="Z843" s="91"/>
    </row>
    <row r="844" spans="1:26" ht="14.25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4"/>
      <c r="O844" s="93"/>
      <c r="P844" s="93"/>
      <c r="Q844" s="93"/>
      <c r="R844" s="93"/>
      <c r="S844" s="93"/>
      <c r="T844" s="93"/>
      <c r="U844" s="93"/>
      <c r="V844" s="92"/>
      <c r="W844" s="92"/>
      <c r="X844" s="92"/>
      <c r="Y844" s="92"/>
      <c r="Z844" s="91"/>
    </row>
    <row r="845" spans="1:26" ht="14.25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4"/>
      <c r="O845" s="93"/>
      <c r="P845" s="93"/>
      <c r="Q845" s="93"/>
      <c r="R845" s="93"/>
      <c r="S845" s="93"/>
      <c r="T845" s="93"/>
      <c r="U845" s="93"/>
      <c r="V845" s="92"/>
      <c r="W845" s="92"/>
      <c r="X845" s="92"/>
      <c r="Y845" s="92"/>
      <c r="Z845" s="91"/>
    </row>
    <row r="846" spans="1:26" ht="14.25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4"/>
      <c r="O846" s="93"/>
      <c r="P846" s="93"/>
      <c r="Q846" s="93"/>
      <c r="R846" s="93"/>
      <c r="S846" s="93"/>
      <c r="T846" s="93"/>
      <c r="U846" s="93"/>
      <c r="V846" s="92"/>
      <c r="W846" s="92"/>
      <c r="X846" s="92"/>
      <c r="Y846" s="92"/>
      <c r="Z846" s="91"/>
    </row>
    <row r="847" spans="1:26" ht="14.25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4"/>
      <c r="O847" s="93"/>
      <c r="P847" s="93"/>
      <c r="Q847" s="93"/>
      <c r="R847" s="93"/>
      <c r="S847" s="93"/>
      <c r="T847" s="93"/>
      <c r="U847" s="93"/>
      <c r="V847" s="92"/>
      <c r="W847" s="92"/>
      <c r="X847" s="92"/>
      <c r="Y847" s="92"/>
      <c r="Z847" s="91"/>
    </row>
    <row r="848" spans="1:26" ht="14.25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4"/>
      <c r="O848" s="93"/>
      <c r="P848" s="93"/>
      <c r="Q848" s="93"/>
      <c r="R848" s="93"/>
      <c r="S848" s="93"/>
      <c r="T848" s="93"/>
      <c r="U848" s="93"/>
      <c r="V848" s="92"/>
      <c r="W848" s="92"/>
      <c r="X848" s="92"/>
      <c r="Y848" s="92"/>
      <c r="Z848" s="91"/>
    </row>
    <row r="849" spans="1:26" ht="14.25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4"/>
      <c r="O849" s="93"/>
      <c r="P849" s="93"/>
      <c r="Q849" s="93"/>
      <c r="R849" s="93"/>
      <c r="S849" s="93"/>
      <c r="T849" s="93"/>
      <c r="U849" s="93"/>
      <c r="V849" s="92"/>
      <c r="W849" s="92"/>
      <c r="X849" s="92"/>
      <c r="Y849" s="92"/>
      <c r="Z849" s="91"/>
    </row>
    <row r="850" spans="1:26" ht="14.25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4"/>
      <c r="O850" s="93"/>
      <c r="P850" s="93"/>
      <c r="Q850" s="93"/>
      <c r="R850" s="93"/>
      <c r="S850" s="93"/>
      <c r="T850" s="93"/>
      <c r="U850" s="93"/>
      <c r="V850" s="92"/>
      <c r="W850" s="92"/>
      <c r="X850" s="92"/>
      <c r="Y850" s="92"/>
      <c r="Z850" s="91"/>
    </row>
    <row r="851" spans="1:26" ht="14.25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4"/>
      <c r="O851" s="93"/>
      <c r="P851" s="93"/>
      <c r="Q851" s="93"/>
      <c r="R851" s="93"/>
      <c r="S851" s="93"/>
      <c r="T851" s="93"/>
      <c r="U851" s="93"/>
      <c r="V851" s="92"/>
      <c r="W851" s="92"/>
      <c r="X851" s="92"/>
      <c r="Y851" s="92"/>
      <c r="Z851" s="91"/>
    </row>
    <row r="852" spans="1:26" ht="14.25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4"/>
      <c r="O852" s="93"/>
      <c r="P852" s="93"/>
      <c r="Q852" s="93"/>
      <c r="R852" s="93"/>
      <c r="S852" s="93"/>
      <c r="T852" s="93"/>
      <c r="U852" s="93"/>
      <c r="V852" s="92"/>
      <c r="W852" s="92"/>
      <c r="X852" s="92"/>
      <c r="Y852" s="92"/>
      <c r="Z852" s="91"/>
    </row>
    <row r="853" spans="1:26" ht="14.25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4"/>
      <c r="O853" s="93"/>
      <c r="P853" s="93"/>
      <c r="Q853" s="93"/>
      <c r="R853" s="93"/>
      <c r="S853" s="93"/>
      <c r="T853" s="93"/>
      <c r="U853" s="93"/>
      <c r="V853" s="92"/>
      <c r="W853" s="92"/>
      <c r="X853" s="92"/>
      <c r="Y853" s="92"/>
      <c r="Z853" s="91"/>
    </row>
    <row r="854" spans="1:26" ht="14.25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4"/>
      <c r="O854" s="93"/>
      <c r="P854" s="93"/>
      <c r="Q854" s="93"/>
      <c r="R854" s="93"/>
      <c r="S854" s="93"/>
      <c r="T854" s="93"/>
      <c r="U854" s="93"/>
      <c r="V854" s="92"/>
      <c r="W854" s="92"/>
      <c r="X854" s="92"/>
      <c r="Y854" s="92"/>
      <c r="Z854" s="91"/>
    </row>
    <row r="855" spans="1:26" ht="14.25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4"/>
      <c r="O855" s="93"/>
      <c r="P855" s="93"/>
      <c r="Q855" s="93"/>
      <c r="R855" s="93"/>
      <c r="S855" s="93"/>
      <c r="T855" s="93"/>
      <c r="U855" s="93"/>
      <c r="V855" s="92"/>
      <c r="W855" s="92"/>
      <c r="X855" s="92"/>
      <c r="Y855" s="92"/>
      <c r="Z855" s="91"/>
    </row>
    <row r="856" spans="1:26" ht="14.25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4"/>
      <c r="O856" s="93"/>
      <c r="P856" s="93"/>
      <c r="Q856" s="93"/>
      <c r="R856" s="93"/>
      <c r="S856" s="93"/>
      <c r="T856" s="93"/>
      <c r="U856" s="93"/>
      <c r="V856" s="92"/>
      <c r="W856" s="92"/>
      <c r="X856" s="92"/>
      <c r="Y856" s="92"/>
      <c r="Z856" s="91"/>
    </row>
    <row r="857" spans="1:26" ht="14.25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4"/>
      <c r="O857" s="93"/>
      <c r="P857" s="93"/>
      <c r="Q857" s="93"/>
      <c r="R857" s="93"/>
      <c r="S857" s="93"/>
      <c r="T857" s="93"/>
      <c r="U857" s="93"/>
      <c r="V857" s="92"/>
      <c r="W857" s="92"/>
      <c r="X857" s="92"/>
      <c r="Y857" s="92"/>
      <c r="Z857" s="91"/>
    </row>
    <row r="858" spans="1:26" ht="14.25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4"/>
      <c r="O858" s="93"/>
      <c r="P858" s="93"/>
      <c r="Q858" s="93"/>
      <c r="R858" s="93"/>
      <c r="S858" s="93"/>
      <c r="T858" s="93"/>
      <c r="U858" s="93"/>
      <c r="V858" s="92"/>
      <c r="W858" s="92"/>
      <c r="X858" s="92"/>
      <c r="Y858" s="92"/>
      <c r="Z858" s="91"/>
    </row>
    <row r="859" spans="1:26" ht="14.25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4"/>
      <c r="O859" s="93"/>
      <c r="P859" s="93"/>
      <c r="Q859" s="93"/>
      <c r="R859" s="93"/>
      <c r="S859" s="93"/>
      <c r="T859" s="93"/>
      <c r="U859" s="93"/>
      <c r="V859" s="92"/>
      <c r="W859" s="92"/>
      <c r="X859" s="92"/>
      <c r="Y859" s="92"/>
      <c r="Z859" s="91"/>
    </row>
    <row r="860" spans="1:26" ht="14.25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4"/>
      <c r="O860" s="93"/>
      <c r="P860" s="93"/>
      <c r="Q860" s="93"/>
      <c r="R860" s="93"/>
      <c r="S860" s="93"/>
      <c r="T860" s="93"/>
      <c r="U860" s="93"/>
      <c r="V860" s="92"/>
      <c r="W860" s="92"/>
      <c r="X860" s="92"/>
      <c r="Y860" s="92"/>
      <c r="Z860" s="91"/>
    </row>
    <row r="861" spans="1:26" ht="14.25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4"/>
      <c r="O861" s="93"/>
      <c r="P861" s="93"/>
      <c r="Q861" s="93"/>
      <c r="R861" s="93"/>
      <c r="S861" s="93"/>
      <c r="T861" s="93"/>
      <c r="U861" s="93"/>
      <c r="V861" s="92"/>
      <c r="W861" s="92"/>
      <c r="X861" s="92"/>
      <c r="Y861" s="92"/>
      <c r="Z861" s="91"/>
    </row>
    <row r="862" spans="1:26" ht="14.25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4"/>
      <c r="O862" s="93"/>
      <c r="P862" s="93"/>
      <c r="Q862" s="93"/>
      <c r="R862" s="93"/>
      <c r="S862" s="93"/>
      <c r="T862" s="93"/>
      <c r="U862" s="93"/>
      <c r="V862" s="92"/>
      <c r="W862" s="92"/>
      <c r="X862" s="92"/>
      <c r="Y862" s="92"/>
      <c r="Z862" s="91"/>
    </row>
    <row r="863" spans="1:26" ht="14.25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4"/>
      <c r="O863" s="93"/>
      <c r="P863" s="93"/>
      <c r="Q863" s="93"/>
      <c r="R863" s="93"/>
      <c r="S863" s="93"/>
      <c r="T863" s="93"/>
      <c r="U863" s="93"/>
      <c r="V863" s="92"/>
      <c r="W863" s="92"/>
      <c r="X863" s="92"/>
      <c r="Y863" s="92"/>
      <c r="Z863" s="91"/>
    </row>
    <row r="864" spans="1:26" ht="14.25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4"/>
      <c r="O864" s="93"/>
      <c r="P864" s="93"/>
      <c r="Q864" s="93"/>
      <c r="R864" s="93"/>
      <c r="S864" s="93"/>
      <c r="T864" s="93"/>
      <c r="U864" s="93"/>
      <c r="V864" s="92"/>
      <c r="W864" s="92"/>
      <c r="X864" s="92"/>
      <c r="Y864" s="92"/>
      <c r="Z864" s="91"/>
    </row>
    <row r="865" spans="1:26" ht="14.25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4"/>
      <c r="O865" s="93"/>
      <c r="P865" s="93"/>
      <c r="Q865" s="93"/>
      <c r="R865" s="93"/>
      <c r="S865" s="93"/>
      <c r="T865" s="93"/>
      <c r="U865" s="93"/>
      <c r="V865" s="92"/>
      <c r="W865" s="92"/>
      <c r="X865" s="92"/>
      <c r="Y865" s="92"/>
      <c r="Z865" s="91"/>
    </row>
    <row r="866" spans="1:26" ht="14.25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4"/>
      <c r="O866" s="93"/>
      <c r="P866" s="93"/>
      <c r="Q866" s="93"/>
      <c r="R866" s="93"/>
      <c r="S866" s="93"/>
      <c r="T866" s="93"/>
      <c r="U866" s="93"/>
      <c r="V866" s="92"/>
      <c r="W866" s="92"/>
      <c r="X866" s="92"/>
      <c r="Y866" s="92"/>
      <c r="Z866" s="91"/>
    </row>
    <row r="867" spans="1:26" ht="14.25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4"/>
      <c r="O867" s="93"/>
      <c r="P867" s="93"/>
      <c r="Q867" s="93"/>
      <c r="R867" s="93"/>
      <c r="S867" s="93"/>
      <c r="T867" s="93"/>
      <c r="U867" s="93"/>
      <c r="V867" s="92"/>
      <c r="W867" s="92"/>
      <c r="X867" s="92"/>
      <c r="Y867" s="92"/>
      <c r="Z867" s="91"/>
    </row>
    <row r="868" spans="1:26" ht="14.25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4"/>
      <c r="O868" s="93"/>
      <c r="P868" s="93"/>
      <c r="Q868" s="93"/>
      <c r="R868" s="93"/>
      <c r="S868" s="93"/>
      <c r="T868" s="93"/>
      <c r="U868" s="93"/>
      <c r="V868" s="92"/>
      <c r="W868" s="92"/>
      <c r="X868" s="92"/>
      <c r="Y868" s="92"/>
      <c r="Z868" s="91"/>
    </row>
    <row r="869" spans="1:26" ht="14.25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4"/>
      <c r="O869" s="93"/>
      <c r="P869" s="93"/>
      <c r="Q869" s="93"/>
      <c r="R869" s="93"/>
      <c r="S869" s="93"/>
      <c r="T869" s="93"/>
      <c r="U869" s="93"/>
      <c r="V869" s="92"/>
      <c r="W869" s="92"/>
      <c r="X869" s="92"/>
      <c r="Y869" s="92"/>
      <c r="Z869" s="91"/>
    </row>
    <row r="870" spans="1:26" ht="14.25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4"/>
      <c r="O870" s="93"/>
      <c r="P870" s="93"/>
      <c r="Q870" s="93"/>
      <c r="R870" s="93"/>
      <c r="S870" s="93"/>
      <c r="T870" s="93"/>
      <c r="U870" s="93"/>
      <c r="V870" s="92"/>
      <c r="W870" s="92"/>
      <c r="X870" s="92"/>
      <c r="Y870" s="92"/>
      <c r="Z870" s="91"/>
    </row>
    <row r="871" spans="1:26" ht="14.25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4"/>
      <c r="O871" s="93"/>
      <c r="P871" s="93"/>
      <c r="Q871" s="93"/>
      <c r="R871" s="93"/>
      <c r="S871" s="93"/>
      <c r="T871" s="93"/>
      <c r="U871" s="93"/>
      <c r="V871" s="92"/>
      <c r="W871" s="92"/>
      <c r="X871" s="92"/>
      <c r="Y871" s="92"/>
      <c r="Z871" s="91"/>
    </row>
    <row r="872" spans="1:26" ht="14.25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4"/>
      <c r="O872" s="93"/>
      <c r="P872" s="93"/>
      <c r="Q872" s="93"/>
      <c r="R872" s="93"/>
      <c r="S872" s="93"/>
      <c r="T872" s="93"/>
      <c r="U872" s="93"/>
      <c r="V872" s="92"/>
      <c r="W872" s="92"/>
      <c r="X872" s="92"/>
      <c r="Y872" s="92"/>
      <c r="Z872" s="91"/>
    </row>
    <row r="873" spans="1:26" ht="14.25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4"/>
      <c r="O873" s="93"/>
      <c r="P873" s="93"/>
      <c r="Q873" s="93"/>
      <c r="R873" s="93"/>
      <c r="S873" s="93"/>
      <c r="T873" s="93"/>
      <c r="U873" s="93"/>
      <c r="V873" s="92"/>
      <c r="W873" s="92"/>
      <c r="X873" s="92"/>
      <c r="Y873" s="92"/>
      <c r="Z873" s="91"/>
    </row>
    <row r="874" spans="1:26" ht="14.25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4"/>
      <c r="O874" s="93"/>
      <c r="P874" s="93"/>
      <c r="Q874" s="93"/>
      <c r="R874" s="93"/>
      <c r="S874" s="93"/>
      <c r="T874" s="93"/>
      <c r="U874" s="93"/>
      <c r="V874" s="92"/>
      <c r="W874" s="92"/>
      <c r="X874" s="92"/>
      <c r="Y874" s="92"/>
      <c r="Z874" s="91"/>
    </row>
    <row r="875" spans="1:26" ht="14.25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4"/>
      <c r="O875" s="93"/>
      <c r="P875" s="93"/>
      <c r="Q875" s="93"/>
      <c r="R875" s="93"/>
      <c r="S875" s="93"/>
      <c r="T875" s="93"/>
      <c r="U875" s="93"/>
      <c r="V875" s="92"/>
      <c r="W875" s="92"/>
      <c r="X875" s="92"/>
      <c r="Y875" s="92"/>
      <c r="Z875" s="91"/>
    </row>
    <row r="876" spans="1:26" ht="14.25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4"/>
      <c r="O876" s="93"/>
      <c r="P876" s="93"/>
      <c r="Q876" s="93"/>
      <c r="R876" s="93"/>
      <c r="S876" s="93"/>
      <c r="T876" s="93"/>
      <c r="U876" s="93"/>
      <c r="V876" s="92"/>
      <c r="W876" s="92"/>
      <c r="X876" s="92"/>
      <c r="Y876" s="92"/>
      <c r="Z876" s="91"/>
    </row>
    <row r="877" spans="1:26" ht="14.25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4"/>
      <c r="O877" s="93"/>
      <c r="P877" s="93"/>
      <c r="Q877" s="93"/>
      <c r="R877" s="93"/>
      <c r="S877" s="93"/>
      <c r="T877" s="93"/>
      <c r="U877" s="93"/>
      <c r="V877" s="92"/>
      <c r="W877" s="92"/>
      <c r="X877" s="92"/>
      <c r="Y877" s="92"/>
      <c r="Z877" s="91"/>
    </row>
    <row r="878" spans="1:26" ht="14.25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4"/>
      <c r="O878" s="93"/>
      <c r="P878" s="93"/>
      <c r="Q878" s="93"/>
      <c r="R878" s="93"/>
      <c r="S878" s="93"/>
      <c r="T878" s="93"/>
      <c r="U878" s="93"/>
      <c r="V878" s="92"/>
      <c r="W878" s="92"/>
      <c r="X878" s="92"/>
      <c r="Y878" s="92"/>
      <c r="Z878" s="91"/>
    </row>
    <row r="879" spans="1:26" ht="14.25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4"/>
      <c r="O879" s="93"/>
      <c r="P879" s="93"/>
      <c r="Q879" s="93"/>
      <c r="R879" s="93"/>
      <c r="S879" s="93"/>
      <c r="T879" s="93"/>
      <c r="U879" s="93"/>
      <c r="V879" s="92"/>
      <c r="W879" s="92"/>
      <c r="X879" s="92"/>
      <c r="Y879" s="92"/>
      <c r="Z879" s="91"/>
    </row>
    <row r="880" spans="1:26" ht="14.25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4"/>
      <c r="O880" s="93"/>
      <c r="P880" s="93"/>
      <c r="Q880" s="93"/>
      <c r="R880" s="93"/>
      <c r="S880" s="93"/>
      <c r="T880" s="93"/>
      <c r="U880" s="93"/>
      <c r="V880" s="92"/>
      <c r="W880" s="92"/>
      <c r="X880" s="92"/>
      <c r="Y880" s="92"/>
      <c r="Z880" s="91"/>
    </row>
    <row r="881" spans="1:26" ht="14.25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4"/>
      <c r="O881" s="93"/>
      <c r="P881" s="93"/>
      <c r="Q881" s="93"/>
      <c r="R881" s="93"/>
      <c r="S881" s="93"/>
      <c r="T881" s="93"/>
      <c r="U881" s="93"/>
      <c r="V881" s="92"/>
      <c r="W881" s="92"/>
      <c r="X881" s="92"/>
      <c r="Y881" s="92"/>
      <c r="Z881" s="91"/>
    </row>
    <row r="882" spans="1:26" ht="14.25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4"/>
      <c r="O882" s="93"/>
      <c r="P882" s="93"/>
      <c r="Q882" s="93"/>
      <c r="R882" s="93"/>
      <c r="S882" s="93"/>
      <c r="T882" s="93"/>
      <c r="U882" s="93"/>
      <c r="V882" s="92"/>
      <c r="W882" s="92"/>
      <c r="X882" s="92"/>
      <c r="Y882" s="92"/>
      <c r="Z882" s="91"/>
    </row>
    <row r="883" spans="1:26" ht="14.25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4"/>
      <c r="O883" s="93"/>
      <c r="P883" s="93"/>
      <c r="Q883" s="93"/>
      <c r="R883" s="93"/>
      <c r="S883" s="93"/>
      <c r="T883" s="93"/>
      <c r="U883" s="93"/>
      <c r="V883" s="92"/>
      <c r="W883" s="92"/>
      <c r="X883" s="92"/>
      <c r="Y883" s="92"/>
      <c r="Z883" s="91"/>
    </row>
    <row r="884" spans="1:26" ht="14.25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4"/>
      <c r="O884" s="93"/>
      <c r="P884" s="93"/>
      <c r="Q884" s="93"/>
      <c r="R884" s="93"/>
      <c r="S884" s="93"/>
      <c r="T884" s="93"/>
      <c r="U884" s="93"/>
      <c r="V884" s="92"/>
      <c r="W884" s="92"/>
      <c r="X884" s="92"/>
      <c r="Y884" s="92"/>
      <c r="Z884" s="91"/>
    </row>
    <row r="885" spans="1:26" ht="14.25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4"/>
      <c r="O885" s="93"/>
      <c r="P885" s="93"/>
      <c r="Q885" s="93"/>
      <c r="R885" s="93"/>
      <c r="S885" s="93"/>
      <c r="T885" s="93"/>
      <c r="U885" s="93"/>
      <c r="V885" s="92"/>
      <c r="W885" s="92"/>
      <c r="X885" s="92"/>
      <c r="Y885" s="92"/>
      <c r="Z885" s="91"/>
    </row>
    <row r="886" spans="1:26" ht="14.25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4"/>
      <c r="O886" s="93"/>
      <c r="P886" s="93"/>
      <c r="Q886" s="93"/>
      <c r="R886" s="93"/>
      <c r="S886" s="93"/>
      <c r="T886" s="93"/>
      <c r="U886" s="93"/>
      <c r="V886" s="92"/>
      <c r="W886" s="92"/>
      <c r="X886" s="92"/>
      <c r="Y886" s="92"/>
      <c r="Z886" s="91"/>
    </row>
    <row r="887" spans="1:26" ht="14.25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4"/>
      <c r="O887" s="93"/>
      <c r="P887" s="93"/>
      <c r="Q887" s="93"/>
      <c r="R887" s="93"/>
      <c r="S887" s="93"/>
      <c r="T887" s="93"/>
      <c r="U887" s="93"/>
      <c r="V887" s="92"/>
      <c r="W887" s="92"/>
      <c r="X887" s="92"/>
      <c r="Y887" s="92"/>
      <c r="Z887" s="91"/>
    </row>
    <row r="888" spans="1:26" ht="14.25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4"/>
      <c r="O888" s="93"/>
      <c r="P888" s="93"/>
      <c r="Q888" s="93"/>
      <c r="R888" s="93"/>
      <c r="S888" s="93"/>
      <c r="T888" s="93"/>
      <c r="U888" s="93"/>
      <c r="V888" s="92"/>
      <c r="W888" s="92"/>
      <c r="X888" s="92"/>
      <c r="Y888" s="92"/>
      <c r="Z888" s="91"/>
    </row>
    <row r="889" spans="1:26" ht="14.25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4"/>
      <c r="O889" s="93"/>
      <c r="P889" s="93"/>
      <c r="Q889" s="93"/>
      <c r="R889" s="93"/>
      <c r="S889" s="93"/>
      <c r="T889" s="93"/>
      <c r="U889" s="93"/>
      <c r="V889" s="92"/>
      <c r="W889" s="92"/>
      <c r="X889" s="92"/>
      <c r="Y889" s="92"/>
      <c r="Z889" s="91"/>
    </row>
    <row r="890" spans="1:26" ht="14.25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4"/>
      <c r="O890" s="93"/>
      <c r="P890" s="93"/>
      <c r="Q890" s="93"/>
      <c r="R890" s="93"/>
      <c r="S890" s="93"/>
      <c r="T890" s="93"/>
      <c r="U890" s="93"/>
      <c r="V890" s="92"/>
      <c r="W890" s="92"/>
      <c r="X890" s="92"/>
      <c r="Y890" s="92"/>
      <c r="Z890" s="91"/>
    </row>
    <row r="891" spans="1:26" ht="14.25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4"/>
      <c r="O891" s="93"/>
      <c r="P891" s="93"/>
      <c r="Q891" s="93"/>
      <c r="R891" s="93"/>
      <c r="S891" s="93"/>
      <c r="T891" s="93"/>
      <c r="U891" s="93"/>
      <c r="V891" s="92"/>
      <c r="W891" s="92"/>
      <c r="X891" s="92"/>
      <c r="Y891" s="92"/>
      <c r="Z891" s="91"/>
    </row>
    <row r="892" spans="1:26" ht="14.25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4"/>
      <c r="O892" s="93"/>
      <c r="P892" s="93"/>
      <c r="Q892" s="93"/>
      <c r="R892" s="93"/>
      <c r="S892" s="93"/>
      <c r="T892" s="93"/>
      <c r="U892" s="93"/>
      <c r="V892" s="92"/>
      <c r="W892" s="92"/>
      <c r="X892" s="92"/>
      <c r="Y892" s="92"/>
      <c r="Z892" s="91"/>
    </row>
    <row r="893" spans="1:26" ht="14.25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4"/>
      <c r="O893" s="93"/>
      <c r="P893" s="93"/>
      <c r="Q893" s="93"/>
      <c r="R893" s="93"/>
      <c r="S893" s="93"/>
      <c r="T893" s="93"/>
      <c r="U893" s="93"/>
      <c r="V893" s="92"/>
      <c r="W893" s="92"/>
      <c r="X893" s="92"/>
      <c r="Y893" s="92"/>
      <c r="Z893" s="91"/>
    </row>
    <row r="894" spans="1:26" ht="14.25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4"/>
      <c r="O894" s="93"/>
      <c r="P894" s="93"/>
      <c r="Q894" s="93"/>
      <c r="R894" s="93"/>
      <c r="S894" s="93"/>
      <c r="T894" s="93"/>
      <c r="U894" s="93"/>
      <c r="V894" s="92"/>
      <c r="W894" s="92"/>
      <c r="X894" s="92"/>
      <c r="Y894" s="92"/>
      <c r="Z894" s="91"/>
    </row>
    <row r="895" spans="1:26" ht="14.25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4"/>
      <c r="O895" s="93"/>
      <c r="P895" s="93"/>
      <c r="Q895" s="93"/>
      <c r="R895" s="93"/>
      <c r="S895" s="93"/>
      <c r="T895" s="93"/>
      <c r="U895" s="93"/>
      <c r="V895" s="92"/>
      <c r="W895" s="92"/>
      <c r="X895" s="92"/>
      <c r="Y895" s="92"/>
      <c r="Z895" s="91"/>
    </row>
    <row r="896" spans="1:26" ht="14.25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4"/>
      <c r="O896" s="93"/>
      <c r="P896" s="93"/>
      <c r="Q896" s="93"/>
      <c r="R896" s="93"/>
      <c r="S896" s="93"/>
      <c r="T896" s="93"/>
      <c r="U896" s="93"/>
      <c r="V896" s="92"/>
      <c r="W896" s="92"/>
      <c r="X896" s="92"/>
      <c r="Y896" s="92"/>
      <c r="Z896" s="91"/>
    </row>
    <row r="897" spans="1:26" ht="14.25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4"/>
      <c r="O897" s="93"/>
      <c r="P897" s="93"/>
      <c r="Q897" s="93"/>
      <c r="R897" s="93"/>
      <c r="S897" s="93"/>
      <c r="T897" s="93"/>
      <c r="U897" s="93"/>
      <c r="V897" s="92"/>
      <c r="W897" s="92"/>
      <c r="X897" s="92"/>
      <c r="Y897" s="92"/>
      <c r="Z897" s="91"/>
    </row>
    <row r="898" spans="1:26" ht="14.25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4"/>
      <c r="O898" s="93"/>
      <c r="P898" s="93"/>
      <c r="Q898" s="93"/>
      <c r="R898" s="93"/>
      <c r="S898" s="93"/>
      <c r="T898" s="93"/>
      <c r="U898" s="93"/>
      <c r="V898" s="92"/>
      <c r="W898" s="92"/>
      <c r="X898" s="92"/>
      <c r="Y898" s="92"/>
      <c r="Z898" s="91"/>
    </row>
    <row r="899" spans="1:26" ht="14.25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4"/>
      <c r="O899" s="93"/>
      <c r="P899" s="93"/>
      <c r="Q899" s="93"/>
      <c r="R899" s="93"/>
      <c r="S899" s="93"/>
      <c r="T899" s="93"/>
      <c r="U899" s="93"/>
      <c r="V899" s="92"/>
      <c r="W899" s="92"/>
      <c r="X899" s="92"/>
      <c r="Y899" s="92"/>
      <c r="Z899" s="91"/>
    </row>
    <row r="900" spans="1:26" ht="14.25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4"/>
      <c r="O900" s="93"/>
      <c r="P900" s="93"/>
      <c r="Q900" s="93"/>
      <c r="R900" s="93"/>
      <c r="S900" s="93"/>
      <c r="T900" s="93"/>
      <c r="U900" s="93"/>
      <c r="V900" s="92"/>
      <c r="W900" s="92"/>
      <c r="X900" s="92"/>
      <c r="Y900" s="92"/>
      <c r="Z900" s="91"/>
    </row>
    <row r="901" spans="1:26" ht="14.25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4"/>
      <c r="O901" s="93"/>
      <c r="P901" s="93"/>
      <c r="Q901" s="93"/>
      <c r="R901" s="93"/>
      <c r="S901" s="93"/>
      <c r="T901" s="93"/>
      <c r="U901" s="93"/>
      <c r="V901" s="92"/>
      <c r="W901" s="92"/>
      <c r="X901" s="92"/>
      <c r="Y901" s="92"/>
      <c r="Z901" s="91"/>
    </row>
    <row r="902" spans="1:26" ht="14.25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4"/>
      <c r="O902" s="93"/>
      <c r="P902" s="93"/>
      <c r="Q902" s="93"/>
      <c r="R902" s="93"/>
      <c r="S902" s="93"/>
      <c r="T902" s="93"/>
      <c r="U902" s="93"/>
      <c r="V902" s="92"/>
      <c r="W902" s="92"/>
      <c r="X902" s="92"/>
      <c r="Y902" s="92"/>
      <c r="Z902" s="91"/>
    </row>
    <row r="903" spans="1:26" ht="14.25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4"/>
      <c r="O903" s="93"/>
      <c r="P903" s="93"/>
      <c r="Q903" s="93"/>
      <c r="R903" s="93"/>
      <c r="S903" s="93"/>
      <c r="T903" s="93"/>
      <c r="U903" s="93"/>
      <c r="V903" s="92"/>
      <c r="W903" s="92"/>
      <c r="X903" s="92"/>
      <c r="Y903" s="92"/>
      <c r="Z903" s="91"/>
    </row>
    <row r="904" spans="1:26" ht="14.25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4"/>
      <c r="O904" s="93"/>
      <c r="P904" s="93"/>
      <c r="Q904" s="93"/>
      <c r="R904" s="93"/>
      <c r="S904" s="93"/>
      <c r="T904" s="93"/>
      <c r="U904" s="93"/>
      <c r="V904" s="92"/>
      <c r="W904" s="92"/>
      <c r="X904" s="92"/>
      <c r="Y904" s="92"/>
      <c r="Z904" s="91"/>
    </row>
    <row r="905" spans="1:26" ht="14.25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4"/>
      <c r="O905" s="93"/>
      <c r="P905" s="93"/>
      <c r="Q905" s="93"/>
      <c r="R905" s="93"/>
      <c r="S905" s="93"/>
      <c r="T905" s="93"/>
      <c r="U905" s="93"/>
      <c r="V905" s="92"/>
      <c r="W905" s="92"/>
      <c r="X905" s="92"/>
      <c r="Y905" s="92"/>
      <c r="Z905" s="91"/>
    </row>
    <row r="906" spans="1:26" ht="14.25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4"/>
      <c r="O906" s="93"/>
      <c r="P906" s="93"/>
      <c r="Q906" s="93"/>
      <c r="R906" s="93"/>
      <c r="S906" s="93"/>
      <c r="T906" s="93"/>
      <c r="U906" s="93"/>
      <c r="V906" s="92"/>
      <c r="W906" s="92"/>
      <c r="X906" s="92"/>
      <c r="Y906" s="92"/>
      <c r="Z906" s="91"/>
    </row>
    <row r="907" spans="1:26" ht="14.25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4"/>
      <c r="O907" s="93"/>
      <c r="P907" s="93"/>
      <c r="Q907" s="93"/>
      <c r="R907" s="93"/>
      <c r="S907" s="93"/>
      <c r="T907" s="93"/>
      <c r="U907" s="93"/>
      <c r="V907" s="92"/>
      <c r="W907" s="92"/>
      <c r="X907" s="92"/>
      <c r="Y907" s="92"/>
      <c r="Z907" s="91"/>
    </row>
    <row r="908" spans="1:26" ht="14.25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4"/>
      <c r="O908" s="93"/>
      <c r="P908" s="93"/>
      <c r="Q908" s="93"/>
      <c r="R908" s="93"/>
      <c r="S908" s="93"/>
      <c r="T908" s="93"/>
      <c r="U908" s="93"/>
      <c r="V908" s="92"/>
      <c r="W908" s="92"/>
      <c r="X908" s="92"/>
      <c r="Y908" s="92"/>
      <c r="Z908" s="91"/>
    </row>
    <row r="909" spans="1:26" ht="14.25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4"/>
      <c r="O909" s="93"/>
      <c r="P909" s="93"/>
      <c r="Q909" s="93"/>
      <c r="R909" s="93"/>
      <c r="S909" s="93"/>
      <c r="T909" s="93"/>
      <c r="U909" s="93"/>
      <c r="V909" s="92"/>
      <c r="W909" s="92"/>
      <c r="X909" s="92"/>
      <c r="Y909" s="92"/>
      <c r="Z909" s="91"/>
    </row>
    <row r="910" spans="1:26" ht="14.25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4"/>
      <c r="O910" s="93"/>
      <c r="P910" s="93"/>
      <c r="Q910" s="93"/>
      <c r="R910" s="93"/>
      <c r="S910" s="93"/>
      <c r="T910" s="93"/>
      <c r="U910" s="93"/>
      <c r="V910" s="92"/>
      <c r="W910" s="92"/>
      <c r="X910" s="92"/>
      <c r="Y910" s="92"/>
      <c r="Z910" s="91"/>
    </row>
    <row r="911" spans="1:26" ht="14.25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4"/>
      <c r="O911" s="93"/>
      <c r="P911" s="93"/>
      <c r="Q911" s="93"/>
      <c r="R911" s="93"/>
      <c r="S911" s="93"/>
      <c r="T911" s="93"/>
      <c r="U911" s="93"/>
      <c r="V911" s="92"/>
      <c r="W911" s="92"/>
      <c r="X911" s="92"/>
      <c r="Y911" s="92"/>
      <c r="Z911" s="91"/>
    </row>
    <row r="912" spans="1:26" ht="14.25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4"/>
      <c r="O912" s="93"/>
      <c r="P912" s="93"/>
      <c r="Q912" s="93"/>
      <c r="R912" s="93"/>
      <c r="S912" s="93"/>
      <c r="T912" s="93"/>
      <c r="U912" s="93"/>
      <c r="V912" s="92"/>
      <c r="W912" s="92"/>
      <c r="X912" s="92"/>
      <c r="Y912" s="92"/>
      <c r="Z912" s="91"/>
    </row>
    <row r="913" spans="1:26" ht="14.25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4"/>
      <c r="O913" s="93"/>
      <c r="P913" s="93"/>
      <c r="Q913" s="93"/>
      <c r="R913" s="93"/>
      <c r="S913" s="93"/>
      <c r="T913" s="93"/>
      <c r="U913" s="93"/>
      <c r="V913" s="92"/>
      <c r="W913" s="92"/>
      <c r="X913" s="92"/>
      <c r="Y913" s="92"/>
      <c r="Z913" s="91"/>
    </row>
    <row r="914" spans="1:26" ht="14.25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4"/>
      <c r="O914" s="93"/>
      <c r="P914" s="93"/>
      <c r="Q914" s="93"/>
      <c r="R914" s="93"/>
      <c r="S914" s="93"/>
      <c r="T914" s="93"/>
      <c r="U914" s="93"/>
      <c r="V914" s="92"/>
      <c r="W914" s="92"/>
      <c r="X914" s="92"/>
      <c r="Y914" s="92"/>
      <c r="Z914" s="91"/>
    </row>
    <row r="915" spans="1:26" ht="14.25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4"/>
      <c r="O915" s="93"/>
      <c r="P915" s="93"/>
      <c r="Q915" s="93"/>
      <c r="R915" s="93"/>
      <c r="S915" s="93"/>
      <c r="T915" s="93"/>
      <c r="U915" s="93"/>
      <c r="V915" s="92"/>
      <c r="W915" s="92"/>
      <c r="X915" s="92"/>
      <c r="Y915" s="92"/>
      <c r="Z915" s="91"/>
    </row>
    <row r="916" spans="1:26" ht="14.25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4"/>
      <c r="O916" s="93"/>
      <c r="P916" s="93"/>
      <c r="Q916" s="93"/>
      <c r="R916" s="93"/>
      <c r="S916" s="93"/>
      <c r="T916" s="93"/>
      <c r="U916" s="93"/>
      <c r="V916" s="92"/>
      <c r="W916" s="92"/>
      <c r="X916" s="92"/>
      <c r="Y916" s="92"/>
      <c r="Z916" s="91"/>
    </row>
    <row r="917" spans="1:26" ht="14.25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4"/>
      <c r="O917" s="93"/>
      <c r="P917" s="93"/>
      <c r="Q917" s="93"/>
      <c r="R917" s="93"/>
      <c r="S917" s="93"/>
      <c r="T917" s="93"/>
      <c r="U917" s="93"/>
      <c r="V917" s="92"/>
      <c r="W917" s="92"/>
      <c r="X917" s="92"/>
      <c r="Y917" s="92"/>
      <c r="Z917" s="91"/>
    </row>
    <row r="918" spans="1:26" ht="14.25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4"/>
      <c r="O918" s="93"/>
      <c r="P918" s="93"/>
      <c r="Q918" s="93"/>
      <c r="R918" s="93"/>
      <c r="S918" s="93"/>
      <c r="T918" s="93"/>
      <c r="U918" s="93"/>
      <c r="V918" s="92"/>
      <c r="W918" s="92"/>
      <c r="X918" s="92"/>
      <c r="Y918" s="92"/>
      <c r="Z918" s="91"/>
    </row>
    <row r="919" spans="1:26" ht="14.25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4"/>
      <c r="O919" s="93"/>
      <c r="P919" s="93"/>
      <c r="Q919" s="93"/>
      <c r="R919" s="93"/>
      <c r="S919" s="93"/>
      <c r="T919" s="93"/>
      <c r="U919" s="93"/>
      <c r="V919" s="92"/>
      <c r="W919" s="92"/>
      <c r="X919" s="92"/>
      <c r="Y919" s="92"/>
      <c r="Z919" s="91"/>
    </row>
    <row r="920" spans="1:26" ht="14.25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4"/>
      <c r="O920" s="93"/>
      <c r="P920" s="93"/>
      <c r="Q920" s="93"/>
      <c r="R920" s="93"/>
      <c r="S920" s="93"/>
      <c r="T920" s="93"/>
      <c r="U920" s="93"/>
      <c r="V920" s="92"/>
      <c r="W920" s="92"/>
      <c r="X920" s="92"/>
      <c r="Y920" s="92"/>
      <c r="Z920" s="91"/>
    </row>
    <row r="921" spans="1:26" ht="14.25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4"/>
      <c r="O921" s="93"/>
      <c r="P921" s="93"/>
      <c r="Q921" s="93"/>
      <c r="R921" s="93"/>
      <c r="S921" s="93"/>
      <c r="T921" s="93"/>
      <c r="U921" s="93"/>
      <c r="V921" s="92"/>
      <c r="W921" s="92"/>
      <c r="X921" s="92"/>
      <c r="Y921" s="92"/>
      <c r="Z921" s="91"/>
    </row>
    <row r="922" spans="1:26" ht="14.25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4"/>
      <c r="O922" s="93"/>
      <c r="P922" s="93"/>
      <c r="Q922" s="93"/>
      <c r="R922" s="93"/>
      <c r="S922" s="93"/>
      <c r="T922" s="93"/>
      <c r="U922" s="93"/>
      <c r="V922" s="92"/>
      <c r="W922" s="92"/>
      <c r="X922" s="92"/>
      <c r="Y922" s="92"/>
      <c r="Z922" s="91"/>
    </row>
    <row r="923" spans="1:26" ht="14.25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4"/>
      <c r="O923" s="93"/>
      <c r="P923" s="93"/>
      <c r="Q923" s="93"/>
      <c r="R923" s="93"/>
      <c r="S923" s="93"/>
      <c r="T923" s="93"/>
      <c r="U923" s="93"/>
      <c r="V923" s="92"/>
      <c r="W923" s="92"/>
      <c r="X923" s="92"/>
      <c r="Y923" s="92"/>
      <c r="Z923" s="91"/>
    </row>
    <row r="924" spans="1:26" ht="14.25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4"/>
      <c r="O924" s="93"/>
      <c r="P924" s="93"/>
      <c r="Q924" s="93"/>
      <c r="R924" s="93"/>
      <c r="S924" s="93"/>
      <c r="T924" s="93"/>
      <c r="U924" s="93"/>
      <c r="V924" s="92"/>
      <c r="W924" s="92"/>
      <c r="X924" s="92"/>
      <c r="Y924" s="92"/>
      <c r="Z924" s="91"/>
    </row>
    <row r="925" spans="1:26" ht="14.25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4"/>
      <c r="O925" s="93"/>
      <c r="P925" s="93"/>
      <c r="Q925" s="93"/>
      <c r="R925" s="93"/>
      <c r="S925" s="93"/>
      <c r="T925" s="93"/>
      <c r="U925" s="93"/>
      <c r="V925" s="92"/>
      <c r="W925" s="92"/>
      <c r="X925" s="92"/>
      <c r="Y925" s="92"/>
      <c r="Z925" s="91"/>
    </row>
    <row r="926" spans="1:26" ht="14.25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4"/>
      <c r="O926" s="93"/>
      <c r="P926" s="93"/>
      <c r="Q926" s="93"/>
      <c r="R926" s="93"/>
      <c r="S926" s="93"/>
      <c r="T926" s="93"/>
      <c r="U926" s="93"/>
      <c r="V926" s="92"/>
      <c r="W926" s="92"/>
      <c r="X926" s="92"/>
      <c r="Y926" s="92"/>
      <c r="Z926" s="91"/>
    </row>
    <row r="927" spans="1:26" ht="14.25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4"/>
      <c r="O927" s="93"/>
      <c r="P927" s="93"/>
      <c r="Q927" s="93"/>
      <c r="R927" s="93"/>
      <c r="S927" s="93"/>
      <c r="T927" s="93"/>
      <c r="U927" s="93"/>
      <c r="V927" s="92"/>
      <c r="W927" s="92"/>
      <c r="X927" s="92"/>
      <c r="Y927" s="92"/>
      <c r="Z927" s="91"/>
    </row>
    <row r="928" spans="1:26" ht="14.25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4"/>
      <c r="O928" s="93"/>
      <c r="P928" s="93"/>
      <c r="Q928" s="93"/>
      <c r="R928" s="93"/>
      <c r="S928" s="93"/>
      <c r="T928" s="93"/>
      <c r="U928" s="93"/>
      <c r="V928" s="92"/>
      <c r="W928" s="92"/>
      <c r="X928" s="92"/>
      <c r="Y928" s="92"/>
      <c r="Z928" s="91"/>
    </row>
    <row r="929" spans="1:26" ht="14.25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4"/>
      <c r="O929" s="93"/>
      <c r="P929" s="93"/>
      <c r="Q929" s="93"/>
      <c r="R929" s="93"/>
      <c r="S929" s="93"/>
      <c r="T929" s="93"/>
      <c r="U929" s="93"/>
      <c r="V929" s="92"/>
      <c r="W929" s="92"/>
      <c r="X929" s="92"/>
      <c r="Y929" s="92"/>
      <c r="Z929" s="91"/>
    </row>
    <row r="930" spans="1:26" ht="14.25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4"/>
      <c r="O930" s="93"/>
      <c r="P930" s="93"/>
      <c r="Q930" s="93"/>
      <c r="R930" s="93"/>
      <c r="S930" s="93"/>
      <c r="T930" s="93"/>
      <c r="U930" s="93"/>
      <c r="V930" s="92"/>
      <c r="W930" s="92"/>
      <c r="X930" s="92"/>
      <c r="Y930" s="92"/>
      <c r="Z930" s="91"/>
    </row>
    <row r="931" spans="1:26" ht="14.25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4"/>
      <c r="O931" s="93"/>
      <c r="P931" s="93"/>
      <c r="Q931" s="93"/>
      <c r="R931" s="93"/>
      <c r="S931" s="93"/>
      <c r="T931" s="93"/>
      <c r="U931" s="93"/>
      <c r="V931" s="92"/>
      <c r="W931" s="92"/>
      <c r="X931" s="92"/>
      <c r="Y931" s="92"/>
      <c r="Z931" s="91"/>
    </row>
    <row r="932" spans="1:26" ht="14.25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4"/>
      <c r="O932" s="93"/>
      <c r="P932" s="93"/>
      <c r="Q932" s="93"/>
      <c r="R932" s="93"/>
      <c r="S932" s="93"/>
      <c r="T932" s="93"/>
      <c r="U932" s="93"/>
      <c r="V932" s="92"/>
      <c r="W932" s="92"/>
      <c r="X932" s="92"/>
      <c r="Y932" s="92"/>
      <c r="Z932" s="91"/>
    </row>
    <row r="933" spans="1:26" ht="14.25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4"/>
      <c r="O933" s="93"/>
      <c r="P933" s="93"/>
      <c r="Q933" s="93"/>
      <c r="R933" s="93"/>
      <c r="S933" s="93"/>
      <c r="T933" s="93"/>
      <c r="U933" s="93"/>
      <c r="V933" s="92"/>
      <c r="W933" s="92"/>
      <c r="X933" s="92"/>
      <c r="Y933" s="92"/>
      <c r="Z933" s="91"/>
    </row>
    <row r="934" spans="1:26" ht="14.25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4"/>
      <c r="O934" s="93"/>
      <c r="P934" s="93"/>
      <c r="Q934" s="93"/>
      <c r="R934" s="93"/>
      <c r="S934" s="93"/>
      <c r="T934" s="93"/>
      <c r="U934" s="93"/>
      <c r="V934" s="92"/>
      <c r="W934" s="92"/>
      <c r="X934" s="92"/>
      <c r="Y934" s="92"/>
      <c r="Z934" s="91"/>
    </row>
    <row r="935" spans="1:26" ht="14.25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4"/>
      <c r="O935" s="93"/>
      <c r="P935" s="93"/>
      <c r="Q935" s="93"/>
      <c r="R935" s="93"/>
      <c r="S935" s="93"/>
      <c r="T935" s="93"/>
      <c r="U935" s="93"/>
      <c r="V935" s="92"/>
      <c r="W935" s="92"/>
      <c r="X935" s="92"/>
      <c r="Y935" s="92"/>
      <c r="Z935" s="91"/>
    </row>
    <row r="936" spans="1:26" ht="14.25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4"/>
      <c r="O936" s="93"/>
      <c r="P936" s="93"/>
      <c r="Q936" s="93"/>
      <c r="R936" s="93"/>
      <c r="S936" s="93"/>
      <c r="T936" s="93"/>
      <c r="U936" s="93"/>
      <c r="V936" s="92"/>
      <c r="W936" s="92"/>
      <c r="X936" s="92"/>
      <c r="Y936" s="92"/>
      <c r="Z936" s="91"/>
    </row>
    <row r="937" spans="1:26" ht="14.25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4"/>
      <c r="O937" s="93"/>
      <c r="P937" s="93"/>
      <c r="Q937" s="93"/>
      <c r="R937" s="93"/>
      <c r="S937" s="93"/>
      <c r="T937" s="93"/>
      <c r="U937" s="93"/>
      <c r="V937" s="92"/>
      <c r="W937" s="92"/>
      <c r="X937" s="92"/>
      <c r="Y937" s="92"/>
      <c r="Z937" s="91"/>
    </row>
    <row r="938" spans="1:26" ht="14.25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4"/>
      <c r="O938" s="93"/>
      <c r="P938" s="93"/>
      <c r="Q938" s="93"/>
      <c r="R938" s="93"/>
      <c r="S938" s="93"/>
      <c r="T938" s="93"/>
      <c r="U938" s="93"/>
      <c r="V938" s="92"/>
      <c r="W938" s="92"/>
      <c r="X938" s="92"/>
      <c r="Y938" s="92"/>
      <c r="Z938" s="91"/>
    </row>
    <row r="939" spans="1:26" ht="14.25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4"/>
      <c r="O939" s="93"/>
      <c r="P939" s="93"/>
      <c r="Q939" s="93"/>
      <c r="R939" s="93"/>
      <c r="S939" s="93"/>
      <c r="T939" s="93"/>
      <c r="U939" s="93"/>
      <c r="V939" s="92"/>
      <c r="W939" s="92"/>
      <c r="X939" s="92"/>
      <c r="Y939" s="92"/>
      <c r="Z939" s="91"/>
    </row>
    <row r="940" spans="1:26" ht="14.25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4"/>
      <c r="O940" s="93"/>
      <c r="P940" s="93"/>
      <c r="Q940" s="93"/>
      <c r="R940" s="93"/>
      <c r="S940" s="93"/>
      <c r="T940" s="93"/>
      <c r="U940" s="93"/>
      <c r="V940" s="92"/>
      <c r="W940" s="92"/>
      <c r="X940" s="92"/>
      <c r="Y940" s="92"/>
      <c r="Z940" s="91"/>
    </row>
    <row r="941" spans="1:26" ht="14.25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4"/>
      <c r="O941" s="93"/>
      <c r="P941" s="93"/>
      <c r="Q941" s="93"/>
      <c r="R941" s="93"/>
      <c r="S941" s="93"/>
      <c r="T941" s="93"/>
      <c r="U941" s="93"/>
      <c r="V941" s="92"/>
      <c r="W941" s="92"/>
      <c r="X941" s="92"/>
      <c r="Y941" s="92"/>
      <c r="Z941" s="91"/>
    </row>
    <row r="942" spans="1:26" ht="14.25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4"/>
      <c r="O942" s="93"/>
      <c r="P942" s="93"/>
      <c r="Q942" s="93"/>
      <c r="R942" s="93"/>
      <c r="S942" s="93"/>
      <c r="T942" s="93"/>
      <c r="U942" s="93"/>
      <c r="V942" s="92"/>
      <c r="W942" s="92"/>
      <c r="X942" s="92"/>
      <c r="Y942" s="92"/>
      <c r="Z942" s="91"/>
    </row>
    <row r="943" spans="1:26" ht="14.25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4"/>
      <c r="O943" s="93"/>
      <c r="P943" s="93"/>
      <c r="Q943" s="93"/>
      <c r="R943" s="93"/>
      <c r="S943" s="93"/>
      <c r="T943" s="93"/>
      <c r="U943" s="93"/>
      <c r="V943" s="92"/>
      <c r="W943" s="92"/>
      <c r="X943" s="92"/>
      <c r="Y943" s="92"/>
      <c r="Z943" s="91"/>
    </row>
    <row r="944" spans="1:26" ht="14.25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4"/>
      <c r="O944" s="93"/>
      <c r="P944" s="93"/>
      <c r="Q944" s="93"/>
      <c r="R944" s="93"/>
      <c r="S944" s="93"/>
      <c r="T944" s="93"/>
      <c r="U944" s="93"/>
      <c r="V944" s="92"/>
      <c r="W944" s="92"/>
      <c r="X944" s="92"/>
      <c r="Y944" s="92"/>
      <c r="Z944" s="91"/>
    </row>
    <row r="945" spans="1:26" ht="14.25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4"/>
      <c r="O945" s="93"/>
      <c r="P945" s="93"/>
      <c r="Q945" s="93"/>
      <c r="R945" s="93"/>
      <c r="S945" s="93"/>
      <c r="T945" s="93"/>
      <c r="U945" s="93"/>
      <c r="V945" s="92"/>
      <c r="W945" s="92"/>
      <c r="X945" s="92"/>
      <c r="Y945" s="92"/>
      <c r="Z945" s="91"/>
    </row>
    <row r="946" spans="1:26" ht="14.25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4"/>
      <c r="O946" s="93"/>
      <c r="P946" s="93"/>
      <c r="Q946" s="93"/>
      <c r="R946" s="93"/>
      <c r="S946" s="93"/>
      <c r="T946" s="93"/>
      <c r="U946" s="93"/>
      <c r="V946" s="92"/>
      <c r="W946" s="92"/>
      <c r="X946" s="92"/>
      <c r="Y946" s="92"/>
      <c r="Z946" s="91"/>
    </row>
    <row r="947" spans="1:26" ht="14.25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4"/>
      <c r="O947" s="93"/>
      <c r="P947" s="93"/>
      <c r="Q947" s="93"/>
      <c r="R947" s="93"/>
      <c r="S947" s="93"/>
      <c r="T947" s="93"/>
      <c r="U947" s="93"/>
      <c r="V947" s="92"/>
      <c r="W947" s="92"/>
      <c r="X947" s="92"/>
      <c r="Y947" s="92"/>
      <c r="Z947" s="91"/>
    </row>
    <row r="948" spans="1:26" ht="14.25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4"/>
      <c r="O948" s="93"/>
      <c r="P948" s="93"/>
      <c r="Q948" s="93"/>
      <c r="R948" s="93"/>
      <c r="S948" s="93"/>
      <c r="T948" s="93"/>
      <c r="U948" s="93"/>
      <c r="V948" s="92"/>
      <c r="W948" s="92"/>
      <c r="X948" s="92"/>
      <c r="Y948" s="92"/>
      <c r="Z948" s="91"/>
    </row>
    <row r="949" spans="1:26" ht="14.25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4"/>
      <c r="O949" s="93"/>
      <c r="P949" s="93"/>
      <c r="Q949" s="93"/>
      <c r="R949" s="93"/>
      <c r="S949" s="93"/>
      <c r="T949" s="93"/>
      <c r="U949" s="93"/>
      <c r="V949" s="92"/>
      <c r="W949" s="92"/>
      <c r="X949" s="92"/>
      <c r="Y949" s="92"/>
      <c r="Z949" s="91"/>
    </row>
    <row r="950" spans="1:26" ht="14.25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4"/>
      <c r="O950" s="93"/>
      <c r="P950" s="93"/>
      <c r="Q950" s="93"/>
      <c r="R950" s="93"/>
      <c r="S950" s="93"/>
      <c r="T950" s="93"/>
      <c r="U950" s="93"/>
      <c r="V950" s="92"/>
      <c r="W950" s="92"/>
      <c r="X950" s="92"/>
      <c r="Y950" s="92"/>
      <c r="Z950" s="91"/>
    </row>
    <row r="951" spans="1:26" ht="14.25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4"/>
      <c r="O951" s="93"/>
      <c r="P951" s="93"/>
      <c r="Q951" s="93"/>
      <c r="R951" s="93"/>
      <c r="S951" s="93"/>
      <c r="T951" s="93"/>
      <c r="U951" s="93"/>
      <c r="V951" s="92"/>
      <c r="W951" s="92"/>
      <c r="X951" s="92"/>
      <c r="Y951" s="92"/>
      <c r="Z951" s="91"/>
    </row>
    <row r="952" spans="1:26" ht="14.25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4"/>
      <c r="O952" s="93"/>
      <c r="P952" s="93"/>
      <c r="Q952" s="93"/>
      <c r="R952" s="93"/>
      <c r="S952" s="93"/>
      <c r="T952" s="93"/>
      <c r="U952" s="93"/>
      <c r="V952" s="92"/>
      <c r="W952" s="92"/>
      <c r="X952" s="92"/>
      <c r="Y952" s="92"/>
      <c r="Z952" s="91"/>
    </row>
    <row r="953" spans="1:26" ht="14.25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4"/>
      <c r="O953" s="93"/>
      <c r="P953" s="93"/>
      <c r="Q953" s="93"/>
      <c r="R953" s="93"/>
      <c r="S953" s="93"/>
      <c r="T953" s="93"/>
      <c r="U953" s="93"/>
      <c r="V953" s="92"/>
      <c r="W953" s="92"/>
      <c r="X953" s="92"/>
      <c r="Y953" s="92"/>
      <c r="Z953" s="91"/>
    </row>
    <row r="954" spans="1:26" ht="14.25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4"/>
      <c r="O954" s="93"/>
      <c r="P954" s="93"/>
      <c r="Q954" s="93"/>
      <c r="R954" s="93"/>
      <c r="S954" s="93"/>
      <c r="T954" s="93"/>
      <c r="U954" s="93"/>
      <c r="V954" s="92"/>
      <c r="W954" s="92"/>
      <c r="X954" s="92"/>
      <c r="Y954" s="92"/>
      <c r="Z954" s="91"/>
    </row>
    <row r="955" spans="1:26" ht="14.25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4"/>
      <c r="O955" s="93"/>
      <c r="P955" s="93"/>
      <c r="Q955" s="93"/>
      <c r="R955" s="93"/>
      <c r="S955" s="93"/>
      <c r="T955" s="93"/>
      <c r="U955" s="93"/>
      <c r="V955" s="92"/>
      <c r="W955" s="92"/>
      <c r="X955" s="92"/>
      <c r="Y955" s="92"/>
      <c r="Z955" s="91"/>
    </row>
    <row r="956" spans="1:26" ht="14.25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4"/>
      <c r="O956" s="93"/>
      <c r="P956" s="93"/>
      <c r="Q956" s="93"/>
      <c r="R956" s="93"/>
      <c r="S956" s="93"/>
      <c r="T956" s="93"/>
      <c r="U956" s="93"/>
      <c r="V956" s="92"/>
      <c r="W956" s="92"/>
      <c r="X956" s="92"/>
      <c r="Y956" s="92"/>
      <c r="Z956" s="91"/>
    </row>
    <row r="957" spans="1:26" ht="14.25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4"/>
      <c r="O957" s="93"/>
      <c r="P957" s="93"/>
      <c r="Q957" s="93"/>
      <c r="R957" s="93"/>
      <c r="S957" s="93"/>
      <c r="T957" s="93"/>
      <c r="U957" s="93"/>
      <c r="V957" s="92"/>
      <c r="W957" s="92"/>
      <c r="X957" s="92"/>
      <c r="Y957" s="92"/>
      <c r="Z957" s="91"/>
    </row>
    <row r="958" spans="1:26" ht="14.25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4"/>
      <c r="O958" s="93"/>
      <c r="P958" s="93"/>
      <c r="Q958" s="93"/>
      <c r="R958" s="93"/>
      <c r="S958" s="93"/>
      <c r="T958" s="93"/>
      <c r="U958" s="93"/>
      <c r="V958" s="92"/>
      <c r="W958" s="92"/>
      <c r="X958" s="92"/>
      <c r="Y958" s="92"/>
      <c r="Z958" s="91"/>
    </row>
    <row r="959" spans="1:26" ht="14.25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4"/>
      <c r="O959" s="93"/>
      <c r="P959" s="93"/>
      <c r="Q959" s="93"/>
      <c r="R959" s="93"/>
      <c r="S959" s="93"/>
      <c r="T959" s="93"/>
      <c r="U959" s="93"/>
      <c r="V959" s="92"/>
      <c r="W959" s="92"/>
      <c r="X959" s="92"/>
      <c r="Y959" s="92"/>
      <c r="Z959" s="91"/>
    </row>
    <row r="960" spans="1:26" ht="14.25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4"/>
      <c r="O960" s="93"/>
      <c r="P960" s="93"/>
      <c r="Q960" s="93"/>
      <c r="R960" s="93"/>
      <c r="S960" s="93"/>
      <c r="T960" s="93"/>
      <c r="U960" s="93"/>
      <c r="V960" s="92"/>
      <c r="W960" s="92"/>
      <c r="X960" s="92"/>
      <c r="Y960" s="92"/>
      <c r="Z960" s="91"/>
    </row>
    <row r="961" spans="1:26" ht="14.25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4"/>
      <c r="O961" s="93"/>
      <c r="P961" s="93"/>
      <c r="Q961" s="93"/>
      <c r="R961" s="93"/>
      <c r="S961" s="93"/>
      <c r="T961" s="93"/>
      <c r="U961" s="93"/>
      <c r="V961" s="92"/>
      <c r="W961" s="92"/>
      <c r="X961" s="92"/>
      <c r="Y961" s="92"/>
      <c r="Z961" s="91"/>
    </row>
    <row r="962" spans="1:26" ht="14.25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4"/>
      <c r="O962" s="93"/>
      <c r="P962" s="93"/>
      <c r="Q962" s="93"/>
      <c r="R962" s="93"/>
      <c r="S962" s="93"/>
      <c r="T962" s="93"/>
      <c r="U962" s="93"/>
      <c r="V962" s="92"/>
      <c r="W962" s="92"/>
      <c r="X962" s="92"/>
      <c r="Y962" s="92"/>
      <c r="Z962" s="91"/>
    </row>
    <row r="963" spans="1:26" ht="14.25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4"/>
      <c r="O963" s="93"/>
      <c r="P963" s="93"/>
      <c r="Q963" s="93"/>
      <c r="R963" s="93"/>
      <c r="S963" s="93"/>
      <c r="T963" s="93"/>
      <c r="U963" s="93"/>
      <c r="V963" s="92"/>
      <c r="W963" s="92"/>
      <c r="X963" s="92"/>
      <c r="Y963" s="92"/>
      <c r="Z963" s="91"/>
    </row>
    <row r="964" spans="1:26" ht="14.25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4"/>
      <c r="O964" s="93"/>
      <c r="P964" s="93"/>
      <c r="Q964" s="93"/>
      <c r="R964" s="93"/>
      <c r="S964" s="93"/>
      <c r="T964" s="93"/>
      <c r="U964" s="93"/>
      <c r="V964" s="92"/>
      <c r="W964" s="92"/>
      <c r="X964" s="92"/>
      <c r="Y964" s="92"/>
      <c r="Z964" s="91"/>
    </row>
    <row r="965" spans="1:26" ht="14.25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4"/>
      <c r="O965" s="93"/>
      <c r="P965" s="93"/>
      <c r="Q965" s="93"/>
      <c r="R965" s="93"/>
      <c r="S965" s="93"/>
      <c r="T965" s="93"/>
      <c r="U965" s="93"/>
      <c r="V965" s="92"/>
      <c r="W965" s="92"/>
      <c r="X965" s="92"/>
      <c r="Y965" s="92"/>
      <c r="Z965" s="91"/>
    </row>
    <row r="966" spans="1:26" ht="14.25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4"/>
      <c r="O966" s="93"/>
      <c r="P966" s="93"/>
      <c r="Q966" s="93"/>
      <c r="R966" s="93"/>
      <c r="S966" s="93"/>
      <c r="T966" s="93"/>
      <c r="U966" s="93"/>
      <c r="V966" s="92"/>
      <c r="W966" s="92"/>
      <c r="X966" s="92"/>
      <c r="Y966" s="92"/>
      <c r="Z966" s="91"/>
    </row>
    <row r="967" spans="1:26" ht="14.25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4"/>
      <c r="O967" s="93"/>
      <c r="P967" s="93"/>
      <c r="Q967" s="93"/>
      <c r="R967" s="93"/>
      <c r="S967" s="93"/>
      <c r="T967" s="93"/>
      <c r="U967" s="93"/>
      <c r="V967" s="92"/>
      <c r="W967" s="92"/>
      <c r="X967" s="92"/>
      <c r="Y967" s="92"/>
      <c r="Z967" s="91"/>
    </row>
    <row r="968" spans="1:26" ht="14.25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4"/>
      <c r="O968" s="93"/>
      <c r="P968" s="93"/>
      <c r="Q968" s="93"/>
      <c r="R968" s="93"/>
      <c r="S968" s="93"/>
      <c r="T968" s="93"/>
      <c r="U968" s="93"/>
      <c r="V968" s="92"/>
      <c r="W968" s="92"/>
      <c r="X968" s="92"/>
      <c r="Y968" s="92"/>
      <c r="Z968" s="91"/>
    </row>
    <row r="969" spans="1:26" ht="14.25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4"/>
      <c r="O969" s="93"/>
      <c r="P969" s="93"/>
      <c r="Q969" s="93"/>
      <c r="R969" s="93"/>
      <c r="S969" s="93"/>
      <c r="T969" s="93"/>
      <c r="U969" s="93"/>
      <c r="V969" s="92"/>
      <c r="W969" s="92"/>
      <c r="X969" s="92"/>
      <c r="Y969" s="92"/>
      <c r="Z969" s="91"/>
    </row>
    <row r="970" spans="1:26" ht="14.25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4"/>
      <c r="O970" s="93"/>
      <c r="P970" s="93"/>
      <c r="Q970" s="93"/>
      <c r="R970" s="93"/>
      <c r="S970" s="93"/>
      <c r="T970" s="93"/>
      <c r="U970" s="93"/>
      <c r="V970" s="92"/>
      <c r="W970" s="92"/>
      <c r="X970" s="92"/>
      <c r="Y970" s="92"/>
      <c r="Z970" s="91"/>
    </row>
    <row r="971" spans="1:26" ht="14.25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4"/>
      <c r="O971" s="93"/>
      <c r="P971" s="93"/>
      <c r="Q971" s="93"/>
      <c r="R971" s="93"/>
      <c r="S971" s="93"/>
      <c r="T971" s="93"/>
      <c r="U971" s="93"/>
      <c r="V971" s="92"/>
      <c r="W971" s="92"/>
      <c r="X971" s="92"/>
      <c r="Y971" s="92"/>
      <c r="Z971" s="91"/>
    </row>
    <row r="972" spans="1:26" ht="14.25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4"/>
      <c r="O972" s="93"/>
      <c r="P972" s="93"/>
      <c r="Q972" s="93"/>
      <c r="R972" s="93"/>
      <c r="S972" s="93"/>
      <c r="T972" s="93"/>
      <c r="U972" s="93"/>
      <c r="V972" s="92"/>
      <c r="W972" s="92"/>
      <c r="X972" s="92"/>
      <c r="Y972" s="92"/>
      <c r="Z972" s="91"/>
    </row>
    <row r="973" spans="1:26" ht="14.25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4"/>
      <c r="O973" s="93"/>
      <c r="P973" s="93"/>
      <c r="Q973" s="93"/>
      <c r="R973" s="93"/>
      <c r="S973" s="93"/>
      <c r="T973" s="93"/>
      <c r="U973" s="93"/>
      <c r="V973" s="92"/>
      <c r="W973" s="92"/>
      <c r="X973" s="92"/>
      <c r="Y973" s="92"/>
      <c r="Z973" s="91"/>
    </row>
    <row r="974" spans="1:26" ht="14.25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4"/>
      <c r="O974" s="93"/>
      <c r="P974" s="93"/>
      <c r="Q974" s="93"/>
      <c r="R974" s="93"/>
      <c r="S974" s="93"/>
      <c r="T974" s="93"/>
      <c r="U974" s="93"/>
      <c r="V974" s="92"/>
      <c r="W974" s="92"/>
      <c r="X974" s="92"/>
      <c r="Y974" s="92"/>
      <c r="Z974" s="91"/>
    </row>
    <row r="975" spans="1:26" ht="14.25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4"/>
      <c r="O975" s="93"/>
      <c r="P975" s="93"/>
      <c r="Q975" s="93"/>
      <c r="R975" s="93"/>
      <c r="S975" s="93"/>
      <c r="T975" s="93"/>
      <c r="U975" s="93"/>
      <c r="V975" s="92"/>
      <c r="W975" s="92"/>
      <c r="X975" s="92"/>
      <c r="Y975" s="92"/>
      <c r="Z975" s="91"/>
    </row>
    <row r="976" spans="1:26" ht="14.25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4"/>
      <c r="O976" s="93"/>
      <c r="P976" s="93"/>
      <c r="Q976" s="93"/>
      <c r="R976" s="93"/>
      <c r="S976" s="93"/>
      <c r="T976" s="93"/>
      <c r="U976" s="93"/>
      <c r="V976" s="92"/>
      <c r="W976" s="92"/>
      <c r="X976" s="92"/>
      <c r="Y976" s="92"/>
      <c r="Z976" s="91"/>
    </row>
    <row r="977" spans="1:26" ht="14.25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4"/>
      <c r="O977" s="93"/>
      <c r="P977" s="93"/>
      <c r="Q977" s="93"/>
      <c r="R977" s="93"/>
      <c r="S977" s="93"/>
      <c r="T977" s="93"/>
      <c r="U977" s="93"/>
      <c r="V977" s="92"/>
      <c r="W977" s="92"/>
      <c r="X977" s="92"/>
      <c r="Y977" s="92"/>
      <c r="Z977" s="91"/>
    </row>
    <row r="978" spans="1:26" ht="14.25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4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1"/>
    </row>
    <row r="979" spans="1:26" ht="14.25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4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1"/>
    </row>
    <row r="980" spans="1:26" ht="14.25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4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1"/>
    </row>
    <row r="981" spans="1:26" ht="14.25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4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1"/>
    </row>
    <row r="982" spans="1:26" ht="14.25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4"/>
      <c r="O982" s="93"/>
      <c r="P982" s="93"/>
      <c r="Q982" s="93"/>
      <c r="R982" s="93"/>
      <c r="S982" s="93"/>
      <c r="T982" s="93"/>
      <c r="U982" s="93"/>
      <c r="V982" s="92"/>
      <c r="W982" s="92"/>
      <c r="X982" s="92"/>
      <c r="Y982" s="92"/>
      <c r="Z982" s="91"/>
    </row>
    <row r="983" spans="1:26" ht="14.25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4"/>
      <c r="O983" s="93"/>
      <c r="P983" s="93"/>
      <c r="Q983" s="93"/>
      <c r="R983" s="93"/>
      <c r="S983" s="93"/>
      <c r="T983" s="93"/>
      <c r="U983" s="93"/>
      <c r="V983" s="92"/>
      <c r="W983" s="92"/>
      <c r="X983" s="92"/>
      <c r="Y983" s="92"/>
      <c r="Z983" s="91"/>
    </row>
    <row r="984" spans="1:26" ht="14.25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4"/>
      <c r="O984" s="93"/>
      <c r="P984" s="93"/>
      <c r="Q984" s="93"/>
      <c r="R984" s="93"/>
      <c r="S984" s="93"/>
      <c r="T984" s="93"/>
      <c r="U984" s="93"/>
      <c r="V984" s="92"/>
      <c r="W984" s="92"/>
      <c r="X984" s="92"/>
      <c r="Y984" s="92"/>
      <c r="Z984" s="91"/>
    </row>
    <row r="985" spans="1:26" ht="14.25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4"/>
      <c r="O985" s="93"/>
      <c r="P985" s="93"/>
      <c r="Q985" s="93"/>
      <c r="R985" s="93"/>
      <c r="S985" s="93"/>
      <c r="T985" s="93"/>
      <c r="U985" s="93"/>
      <c r="V985" s="92"/>
      <c r="W985" s="92"/>
      <c r="X985" s="92"/>
      <c r="Y985" s="92"/>
      <c r="Z985" s="91"/>
    </row>
    <row r="986" spans="1:26" ht="14.25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4"/>
      <c r="O986" s="93"/>
      <c r="P986" s="93"/>
      <c r="Q986" s="93"/>
      <c r="R986" s="93"/>
      <c r="S986" s="93"/>
      <c r="T986" s="93"/>
      <c r="U986" s="93"/>
      <c r="V986" s="92"/>
      <c r="W986" s="92"/>
      <c r="X986" s="92"/>
      <c r="Y986" s="92"/>
      <c r="Z986" s="91"/>
    </row>
    <row r="987" spans="1:26" ht="14.25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4"/>
      <c r="O987" s="93"/>
      <c r="P987" s="93"/>
      <c r="Q987" s="93"/>
      <c r="R987" s="93"/>
      <c r="S987" s="93"/>
      <c r="T987" s="93"/>
      <c r="U987" s="93"/>
      <c r="V987" s="92"/>
      <c r="W987" s="92"/>
      <c r="X987" s="92"/>
      <c r="Y987" s="92"/>
      <c r="Z987" s="91"/>
    </row>
    <row r="988" spans="1:26" ht="14.25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4"/>
      <c r="O988" s="93"/>
      <c r="P988" s="93"/>
      <c r="Q988" s="93"/>
      <c r="R988" s="93"/>
      <c r="S988" s="93"/>
      <c r="T988" s="93"/>
      <c r="U988" s="93"/>
      <c r="V988" s="92"/>
      <c r="W988" s="92"/>
      <c r="X988" s="92"/>
      <c r="Y988" s="92"/>
      <c r="Z988" s="91"/>
    </row>
    <row r="989" spans="1:26" ht="14.25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4"/>
      <c r="O989" s="93"/>
      <c r="P989" s="93"/>
      <c r="Q989" s="93"/>
      <c r="R989" s="93"/>
      <c r="S989" s="93"/>
      <c r="T989" s="93"/>
      <c r="U989" s="93"/>
      <c r="V989" s="92"/>
      <c r="W989" s="92"/>
      <c r="X989" s="92"/>
      <c r="Y989" s="92"/>
      <c r="Z989" s="91"/>
    </row>
    <row r="990" spans="1:26" ht="14.25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4"/>
      <c r="O990" s="93"/>
      <c r="P990" s="93"/>
      <c r="Q990" s="93"/>
      <c r="R990" s="93"/>
      <c r="S990" s="93"/>
      <c r="T990" s="93"/>
      <c r="U990" s="93"/>
      <c r="V990" s="92"/>
      <c r="W990" s="92"/>
      <c r="X990" s="92"/>
      <c r="Y990" s="92"/>
      <c r="Z990" s="91"/>
    </row>
    <row r="991" spans="1:26" ht="14.25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4"/>
      <c r="O991" s="93"/>
      <c r="P991" s="93"/>
      <c r="Q991" s="93"/>
      <c r="R991" s="93"/>
      <c r="S991" s="93"/>
      <c r="T991" s="93"/>
      <c r="U991" s="93"/>
      <c r="V991" s="92"/>
      <c r="W991" s="92"/>
      <c r="X991" s="92"/>
      <c r="Y991" s="92"/>
      <c r="Z991" s="91"/>
    </row>
    <row r="992" spans="1:26" ht="14.25" customHeight="1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4"/>
      <c r="O992" s="93"/>
      <c r="P992" s="93"/>
      <c r="Q992" s="93"/>
      <c r="R992" s="93"/>
      <c r="S992" s="93"/>
      <c r="T992" s="93"/>
      <c r="U992" s="93"/>
      <c r="V992" s="92"/>
      <c r="W992" s="92"/>
      <c r="X992" s="92"/>
      <c r="Y992" s="92"/>
      <c r="Z992" s="91"/>
    </row>
    <row r="993" spans="1:26" ht="14.25" customHeight="1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4"/>
      <c r="O993" s="93"/>
      <c r="P993" s="93"/>
      <c r="Q993" s="93"/>
      <c r="R993" s="93"/>
      <c r="S993" s="93"/>
      <c r="T993" s="93"/>
      <c r="U993" s="93"/>
      <c r="V993" s="92"/>
      <c r="W993" s="92"/>
      <c r="X993" s="92"/>
      <c r="Y993" s="92"/>
      <c r="Z993" s="91"/>
    </row>
    <row r="994" spans="1:26" ht="14.25" customHeight="1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4"/>
      <c r="O994" s="93"/>
      <c r="P994" s="93"/>
      <c r="Q994" s="93"/>
      <c r="R994" s="93"/>
      <c r="S994" s="93"/>
      <c r="T994" s="93"/>
      <c r="U994" s="93"/>
      <c r="V994" s="92"/>
      <c r="W994" s="92"/>
      <c r="X994" s="92"/>
      <c r="Y994" s="92"/>
      <c r="Z994" s="91"/>
    </row>
    <row r="995" spans="1:26" ht="14.25" customHeight="1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4"/>
      <c r="O995" s="93"/>
      <c r="P995" s="93"/>
      <c r="Q995" s="93"/>
      <c r="R995" s="93"/>
      <c r="S995" s="93"/>
      <c r="T995" s="93"/>
      <c r="U995" s="93"/>
      <c r="V995" s="92"/>
      <c r="W995" s="92"/>
      <c r="X995" s="92"/>
      <c r="Y995" s="92"/>
      <c r="Z995" s="91"/>
    </row>
    <row r="996" spans="1:26" ht="14.25" customHeight="1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4"/>
      <c r="O996" s="93"/>
      <c r="P996" s="93"/>
      <c r="Q996" s="93"/>
      <c r="R996" s="93"/>
      <c r="S996" s="93"/>
      <c r="T996" s="93"/>
      <c r="U996" s="93"/>
      <c r="V996" s="92"/>
      <c r="W996" s="92"/>
      <c r="X996" s="92"/>
      <c r="Y996" s="92"/>
      <c r="Z996" s="91"/>
    </row>
    <row r="997" spans="1:26" ht="14.25" customHeight="1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4"/>
      <c r="O997" s="93"/>
      <c r="P997" s="93"/>
      <c r="Q997" s="93"/>
      <c r="R997" s="93"/>
      <c r="S997" s="93"/>
      <c r="T997" s="93"/>
      <c r="U997" s="93"/>
      <c r="V997" s="92"/>
      <c r="W997" s="92"/>
      <c r="X997" s="92"/>
      <c r="Y997" s="92"/>
      <c r="Z997" s="91"/>
    </row>
    <row r="998" spans="1:26" ht="14.25" customHeight="1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4"/>
      <c r="O998" s="93"/>
      <c r="P998" s="93"/>
      <c r="Q998" s="93"/>
      <c r="R998" s="93"/>
      <c r="S998" s="93"/>
      <c r="T998" s="93"/>
      <c r="U998" s="93"/>
      <c r="V998" s="92"/>
      <c r="W998" s="92"/>
      <c r="X998" s="92"/>
      <c r="Y998" s="92"/>
      <c r="Z998" s="91"/>
    </row>
    <row r="999" spans="1:26" ht="14.25" customHeight="1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4"/>
      <c r="O999" s="93"/>
      <c r="P999" s="93"/>
      <c r="Q999" s="93"/>
      <c r="R999" s="93"/>
      <c r="S999" s="93"/>
      <c r="T999" s="93"/>
      <c r="U999" s="93"/>
      <c r="V999" s="92"/>
      <c r="W999" s="92"/>
      <c r="X999" s="92"/>
      <c r="Y999" s="92"/>
      <c r="Z999" s="91"/>
    </row>
    <row r="1000" spans="1:26" ht="14.25" customHeight="1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4"/>
      <c r="O1000" s="93"/>
      <c r="P1000" s="93"/>
      <c r="Q1000" s="93"/>
      <c r="R1000" s="93"/>
      <c r="S1000" s="93"/>
      <c r="T1000" s="93"/>
      <c r="U1000" s="93"/>
      <c r="V1000" s="92"/>
      <c r="W1000" s="92"/>
      <c r="X1000" s="92"/>
      <c r="Y1000" s="92"/>
      <c r="Z1000" s="91"/>
    </row>
  </sheetData>
  <sheetProtection password="DE00" sheet="1" objects="1" scenarios="1"/>
  <mergeCells count="22">
    <mergeCell ref="B38:C38"/>
    <mergeCell ref="A45:C45"/>
    <mergeCell ref="P21:Q21"/>
    <mergeCell ref="S21:T21"/>
    <mergeCell ref="J3:L4"/>
    <mergeCell ref="J5:L5"/>
    <mergeCell ref="J6:L6"/>
    <mergeCell ref="J7:L7"/>
    <mergeCell ref="J8:L8"/>
    <mergeCell ref="M19:T19"/>
    <mergeCell ref="R20:R21"/>
    <mergeCell ref="M22:T22"/>
    <mergeCell ref="A4:I4"/>
    <mergeCell ref="A5:B5"/>
    <mergeCell ref="O20:O21"/>
    <mergeCell ref="M21:N21"/>
    <mergeCell ref="E3:H3"/>
    <mergeCell ref="C3:D3"/>
    <mergeCell ref="C1:H1"/>
    <mergeCell ref="J1:L1"/>
    <mergeCell ref="C2:H2"/>
    <mergeCell ref="J2:L2"/>
  </mergeCells>
  <conditionalFormatting sqref="N50 M114:M1000">
    <cfRule type="cellIs" dxfId="5" priority="3" stopIfTrue="1" operator="equal">
      <formula>"[Unsatisfactory]"</formula>
    </cfRule>
  </conditionalFormatting>
  <conditionalFormatting sqref="K50">
    <cfRule type="cellIs" dxfId="4" priority="2" stopIfTrue="1" operator="notEqual">
      <formula>"&gt;"</formula>
    </cfRule>
  </conditionalFormatting>
  <conditionalFormatting sqref="J20">
    <cfRule type="cellIs" dxfId="3" priority="1" stopIfTrue="1" operator="equal">
      <formula>"THE WALL DESIGN IS INADEQUATE."</formula>
    </cfRule>
  </conditionalFormatting>
  <dataValidations count="2">
    <dataValidation type="list" allowBlank="1" showErrorMessage="1" sqref="N20 T20 Q20">
      <formula1>'CALCUL Mrd'!$C$49:$C$57</formula1>
    </dataValidation>
    <dataValidation type="list" allowBlank="1" showErrorMessage="1" sqref="M20 S20 P20">
      <formula1>'CALCUL Mrd'!$B$48:$B$57</formula1>
    </dataValidation>
  </dataValidations>
  <hyperlinks>
    <hyperlink ref="J3" r:id="rId1"/>
  </hyperlinks>
  <pageMargins left="0.70866141732283472" right="0.70866141732283472" top="0.74803149606299213" bottom="0.74803149606299213" header="0" footer="0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9"/>
  <dimension ref="B1:T1000"/>
  <sheetViews>
    <sheetView workbookViewId="0">
      <selection activeCell="H10" sqref="H10"/>
    </sheetView>
  </sheetViews>
  <sheetFormatPr defaultColWidth="14.42578125" defaultRowHeight="15" customHeight="1"/>
  <cols>
    <col min="1" max="1" width="10.7109375" style="90" customWidth="1"/>
    <col min="2" max="2" width="37.7109375" style="90" customWidth="1"/>
    <col min="3" max="6" width="10.7109375" style="90" customWidth="1"/>
    <col min="7" max="11" width="11.42578125" style="90" customWidth="1"/>
    <col min="12" max="12" width="14.7109375" style="90" customWidth="1"/>
    <col min="13" max="15" width="11.5703125" style="90" customWidth="1"/>
    <col min="16" max="18" width="11.42578125" style="90" customWidth="1"/>
    <col min="19" max="20" width="11.42578125" style="211" customWidth="1"/>
    <col min="21" max="26" width="10.7109375" style="90" customWidth="1"/>
    <col min="27" max="16384" width="14.42578125" style="90"/>
  </cols>
  <sheetData>
    <row r="1" spans="2:20" ht="14.25" customHeight="1">
      <c r="G1" s="91"/>
      <c r="H1" s="91"/>
      <c r="I1" s="91"/>
      <c r="J1" s="91"/>
      <c r="K1" s="91"/>
      <c r="L1" s="177"/>
      <c r="M1" s="176"/>
      <c r="N1" s="176"/>
      <c r="O1" s="176"/>
      <c r="P1" s="91"/>
      <c r="Q1" s="91"/>
      <c r="R1" s="91"/>
      <c r="S1" s="205"/>
      <c r="T1" s="205"/>
    </row>
    <row r="2" spans="2:20" ht="14.25" customHeight="1">
      <c r="F2" s="125"/>
      <c r="G2" s="91"/>
      <c r="H2" s="91"/>
      <c r="I2" s="91"/>
      <c r="J2" s="91"/>
      <c r="K2" s="91"/>
      <c r="L2" s="177"/>
      <c r="M2" s="176"/>
      <c r="N2" s="176"/>
      <c r="O2" s="176"/>
      <c r="P2" s="91"/>
      <c r="Q2" s="91"/>
      <c r="R2" s="91"/>
      <c r="S2" s="205"/>
      <c r="T2" s="205"/>
    </row>
    <row r="3" spans="2:20" ht="14.25" customHeight="1">
      <c r="F3" s="125"/>
      <c r="G3" s="91"/>
      <c r="H3" s="91"/>
      <c r="I3" s="91"/>
      <c r="J3" s="91"/>
      <c r="K3" s="91"/>
      <c r="L3" s="177"/>
      <c r="M3" s="176"/>
      <c r="N3" s="176"/>
      <c r="O3" s="176"/>
      <c r="P3" s="91"/>
      <c r="Q3" s="91"/>
      <c r="R3" s="91"/>
      <c r="S3" s="205"/>
      <c r="T3" s="205"/>
    </row>
    <row r="4" spans="2:20" ht="14.25" customHeight="1">
      <c r="F4" s="125"/>
      <c r="G4" s="91"/>
      <c r="H4" s="91"/>
      <c r="I4" s="91"/>
      <c r="J4" s="91"/>
      <c r="K4" s="91"/>
      <c r="L4" s="177"/>
      <c r="M4" s="176"/>
      <c r="N4" s="176"/>
      <c r="O4" s="176"/>
      <c r="P4" s="91"/>
      <c r="Q4" s="91"/>
      <c r="R4" s="91"/>
      <c r="S4" s="205"/>
      <c r="T4" s="205"/>
    </row>
    <row r="5" spans="2:20" ht="14.25" customHeight="1">
      <c r="F5" s="125"/>
      <c r="G5" s="91"/>
      <c r="H5" s="91"/>
      <c r="I5" s="91"/>
      <c r="J5" s="193" t="s">
        <v>207</v>
      </c>
      <c r="K5" s="193" t="s">
        <v>206</v>
      </c>
      <c r="L5" s="194" t="s">
        <v>205</v>
      </c>
      <c r="M5" s="193" t="s">
        <v>204</v>
      </c>
      <c r="N5" s="193" t="s">
        <v>203</v>
      </c>
      <c r="O5" s="193" t="s">
        <v>202</v>
      </c>
      <c r="P5" s="193" t="s">
        <v>124</v>
      </c>
      <c r="Q5" s="193" t="s">
        <v>201</v>
      </c>
      <c r="R5" s="193" t="s">
        <v>200</v>
      </c>
      <c r="S5" s="206" t="s">
        <v>199</v>
      </c>
      <c r="T5" s="206" t="s">
        <v>198</v>
      </c>
    </row>
    <row r="6" spans="2:20" ht="14.25" customHeight="1">
      <c r="B6" s="190" t="s">
        <v>132</v>
      </c>
      <c r="F6" s="125"/>
      <c r="G6" s="91"/>
      <c r="H6" s="91"/>
      <c r="I6" s="178">
        <v>-100</v>
      </c>
      <c r="J6" s="176" t="str">
        <f t="shared" ref="J6:J37" si="0">IF(K6&lt;=0,"Domaine 1",IF(AND(K6&gt;0,K6&lt;=$H$16*$H$21/($H$21+$H$20)),"Domaine 2",IF(K6&lt;=$H$23,"Domaine 3",IF(K6&lt;=$H$16,"Domaine 4",IF(K6&lt;=$H$11,"Domaine 4a","Domaine 5")))))</f>
        <v>Domaine 1</v>
      </c>
      <c r="K6" s="180">
        <f t="shared" ref="K6:K37" si="1">I6*$H$16</f>
        <v>-157.50000000000003</v>
      </c>
      <c r="L6" s="182" t="str">
        <f t="shared" ref="L6:L37" si="2">IF(K6&lt;=0,"N/A",IF(K6&lt;=$H$16*$H$21/($H$21+$H$20),"N/A",IF(K6&lt;=$H$23,$H$21 * ($H$16 - K6) /K6,IF(K6&lt;=$H$16,$H$21 * ($H$16 - K6) /K6,IF(K6&lt;=$H$11,$H$21 * (K6-$H$16) /K6,$H$22 * (K6 - $H$16) / (K6 -$H$11 / 2))))))</f>
        <v>N/A</v>
      </c>
      <c r="M6" s="181" t="str">
        <f t="shared" ref="M6:M37" si="3">IF(L6="N/A","N/A",IF(L6&gt;=0,MIN(L6*$H$17,$H$19),MAX(L6*$H$17,-$H$19)))</f>
        <v>N/A</v>
      </c>
      <c r="N6" s="182">
        <f t="shared" ref="N6:N37" si="4">IF(K6&lt;=0,$H$20*($H$15-K6)/($H$16-K6),IF(K6&lt;=$H$16*$H$21/($H$21+$H$20),$H$20*(K6-$H$15)/($H$16-K6),IF(K6&lt;=$H$23,$H$20*(K6-$H$15)/K6,IF(K6&lt;=$H$16,$H$20*(K6-$H$15)/K6,IF(K6&lt;=$H$11,$H$20*(K6-$H$15)/K6,$H$22 * (K6 - $H$15) / (K6 - $H$11 / 2))))))</f>
        <v>9.9025616847399044E-3</v>
      </c>
      <c r="O6" s="181">
        <f t="shared" ref="O6:O37" si="5">IF(N6&gt;=0,MIN(N6*$H$17,$H$19),MAX(N6*$H$17,-$H$19))</f>
        <v>400</v>
      </c>
      <c r="P6" s="125">
        <f t="shared" ref="P6:P37" si="6">1000*IF(K6&lt;0,-H$14*(O6-0.8*H$18)-H$12*H$19,IF(K6&lt;=H$16*H$21/(H$21+H$20),0.8*H$18*K6*H$10+H$14*(O6-0.8*H$18)-H$12*H$19,IF(K6&lt;=H$23,0.8*H$18*K6*H$10+H$14*(O6-0.8*H$18)-H$12*M6,IF(K6&lt;=H$16,0.8*H$18*K6*H$10+H$14*(O6-0.8*H$18)-H$12*M6,IF(K6&lt;=H$11,0.8*H$18*K6*H$10+H$14*(O6-0.8*H$18)+H$12*M6,H$18*(1-(1-0.8)*H$11/K6)*H$11*H$10+H$14*(O6-0.8*H$18)+H$12*M6)))))</f>
        <v>-708.91666666666674</v>
      </c>
      <c r="Q6" s="125">
        <f t="shared" ref="Q6:Q37" si="7">1000*IF(K6&lt;0,-H$14*(O6-0.8*H$18)*(H$11/2-H$15)-H$12*H$19*(H$11/2-H$16),IF(K6&lt;=H$16*H$21/(H$21+H$20),0.8*H$18*K6*H$10*(H$11/2-0.8*K6/2)+H$14*(O6-0.8*H$18)*(H$11/2-H$15)-H$12*H$19*(H$11/2-H$16),IF(K6&lt;=H$23,0.8*H$18*K6*H$10*(H$11/2-0.8*K6/2)+H$14*(O6-0.8*H$18)*(H$11/2-H$15)-H$12*M6*(H$11/2-H$16),IF(K6&lt;=H$16,0.8*H$18*K6*H$10*(H$11/2-0.8*K6/2)+H$14*(O6-0.8*H$18)*(H$11/2-H$15)-H$12*M6*(H$11/2-H$16),IF(K6&lt;=H$11,0.8*H$18*K6*H$10*(H$11/2-0.8*K6/2)+H$14*(O6-0.8*H$18)*(H$11/2-H$15)+H$12*M6*(H$11/2-H$16),H$18*(1-(1-0.8)*H$11/K6)*H$11*H$10*(H$11/2 -(1- (1-0.8)*H$11/K6)*H$11/2) + H$14*O6*(H$11/2-H$15)+H$12*M6*(H$11/2-H$16))))))</f>
        <v>11.689583333333363</v>
      </c>
      <c r="R6" s="178">
        <f>'Moment resistant'!$H$14</f>
        <v>600.51</v>
      </c>
      <c r="S6" s="205"/>
      <c r="T6" s="207"/>
    </row>
    <row r="7" spans="2:20" ht="14.25" customHeight="1">
      <c r="B7" s="191">
        <v>1</v>
      </c>
      <c r="C7" s="91" t="s">
        <v>197</v>
      </c>
      <c r="F7" s="125"/>
      <c r="G7" s="91"/>
      <c r="H7" s="91"/>
      <c r="I7" s="178">
        <v>-10</v>
      </c>
      <c r="J7" s="176" t="str">
        <f t="shared" si="0"/>
        <v>Domaine 1</v>
      </c>
      <c r="K7" s="180">
        <f t="shared" si="1"/>
        <v>-15.750000000000002</v>
      </c>
      <c r="L7" s="182" t="str">
        <f t="shared" si="2"/>
        <v>N/A</v>
      </c>
      <c r="M7" s="181" t="str">
        <f t="shared" si="3"/>
        <v>N/A</v>
      </c>
      <c r="N7" s="182">
        <f t="shared" si="4"/>
        <v>9.105339105339106E-3</v>
      </c>
      <c r="O7" s="181">
        <f t="shared" si="5"/>
        <v>400</v>
      </c>
      <c r="P7" s="125">
        <f t="shared" si="6"/>
        <v>-708.91666666666674</v>
      </c>
      <c r="Q7" s="125">
        <f t="shared" si="7"/>
        <v>11.689583333333363</v>
      </c>
      <c r="R7" s="178">
        <f>'Moment resistant'!$H$14</f>
        <v>600.51</v>
      </c>
      <c r="S7" s="208" t="str">
        <f t="shared" ref="S7:S38" si="8">IF(OR(AND(P7&gt;=R7,P6&lt;=R7),AND(P7&lt;=R7,P6&gt;=R7)),Q7+(Q6-Q7)*(P7-R7)/(P7-P6),"")</f>
        <v/>
      </c>
      <c r="T7" s="209" t="str">
        <f t="shared" ref="T7:T38" si="9">IF(OR(AND(P7&gt;=R7,P6&lt;=R7),AND(P7&lt;=R7,P6&gt;=R7)),K7+(K6-K7)*(P7-R7)/(P7-P6),"")</f>
        <v/>
      </c>
    </row>
    <row r="8" spans="2:20" ht="14.25" customHeight="1">
      <c r="B8" s="191">
        <v>0.9</v>
      </c>
      <c r="C8" s="91" t="s">
        <v>196</v>
      </c>
      <c r="F8" s="125"/>
      <c r="G8" s="91"/>
      <c r="H8" s="91"/>
      <c r="I8" s="178">
        <v>-1</v>
      </c>
      <c r="J8" s="176" t="str">
        <f t="shared" si="0"/>
        <v>Domaine 1</v>
      </c>
      <c r="K8" s="180">
        <f t="shared" si="1"/>
        <v>-1.5750000000000002</v>
      </c>
      <c r="L8" s="182" t="str">
        <f t="shared" si="2"/>
        <v>N/A</v>
      </c>
      <c r="M8" s="181" t="str">
        <f t="shared" si="3"/>
        <v>N/A</v>
      </c>
      <c r="N8" s="182">
        <f t="shared" si="4"/>
        <v>5.0793650793650785E-3</v>
      </c>
      <c r="O8" s="181">
        <f t="shared" si="5"/>
        <v>400</v>
      </c>
      <c r="P8" s="125">
        <f t="shared" si="6"/>
        <v>-708.91666666666674</v>
      </c>
      <c r="Q8" s="125">
        <f t="shared" si="7"/>
        <v>11.689583333333363</v>
      </c>
      <c r="R8" s="178">
        <f>'Moment resistant'!$H$14</f>
        <v>600.51</v>
      </c>
      <c r="S8" s="208" t="str">
        <f t="shared" si="8"/>
        <v/>
      </c>
      <c r="T8" s="209" t="str">
        <f t="shared" si="9"/>
        <v/>
      </c>
    </row>
    <row r="9" spans="2:20" ht="14.25" customHeight="1">
      <c r="B9" s="191">
        <v>0.85</v>
      </c>
      <c r="C9" s="91" t="s">
        <v>195</v>
      </c>
      <c r="F9" s="125"/>
      <c r="G9" s="91"/>
      <c r="H9" s="91"/>
      <c r="I9" s="178">
        <v>-0.9</v>
      </c>
      <c r="J9" s="176" t="str">
        <f t="shared" si="0"/>
        <v>Domaine 1</v>
      </c>
      <c r="K9" s="180">
        <f t="shared" si="1"/>
        <v>-1.4175000000000002</v>
      </c>
      <c r="L9" s="182" t="str">
        <f t="shared" si="2"/>
        <v>N/A</v>
      </c>
      <c r="M9" s="181" t="str">
        <f t="shared" si="3"/>
        <v>N/A</v>
      </c>
      <c r="N9" s="182">
        <f t="shared" si="4"/>
        <v>4.8203842940685044E-3</v>
      </c>
      <c r="O9" s="181">
        <f t="shared" si="5"/>
        <v>400</v>
      </c>
      <c r="P9" s="125">
        <f t="shared" si="6"/>
        <v>-708.91666666666674</v>
      </c>
      <c r="Q9" s="125">
        <f t="shared" si="7"/>
        <v>11.689583333333363</v>
      </c>
      <c r="R9" s="178">
        <f>'Moment resistant'!$H$14</f>
        <v>600.51</v>
      </c>
      <c r="S9" s="208" t="str">
        <f t="shared" si="8"/>
        <v/>
      </c>
      <c r="T9" s="209" t="str">
        <f t="shared" si="9"/>
        <v/>
      </c>
    </row>
    <row r="10" spans="2:20" ht="14.25" customHeight="1">
      <c r="F10" s="125"/>
      <c r="G10" s="192" t="s">
        <v>194</v>
      </c>
      <c r="H10" s="91">
        <f>'Moment resistant'!$H$16/100</f>
        <v>0.2</v>
      </c>
      <c r="I10" s="178">
        <v>-0.8</v>
      </c>
      <c r="J10" s="176" t="str">
        <f t="shared" si="0"/>
        <v>Domaine 1</v>
      </c>
      <c r="K10" s="180">
        <f t="shared" si="1"/>
        <v>-1.2600000000000002</v>
      </c>
      <c r="L10" s="182" t="str">
        <f t="shared" si="2"/>
        <v>N/A</v>
      </c>
      <c r="M10" s="181" t="str">
        <f t="shared" si="3"/>
        <v>N/A</v>
      </c>
      <c r="N10" s="182">
        <f t="shared" si="4"/>
        <v>4.5326278659611995E-3</v>
      </c>
      <c r="O10" s="181">
        <f t="shared" si="5"/>
        <v>400</v>
      </c>
      <c r="P10" s="125">
        <f t="shared" si="6"/>
        <v>-708.91666666666674</v>
      </c>
      <c r="Q10" s="125">
        <f t="shared" si="7"/>
        <v>11.689583333333363</v>
      </c>
      <c r="R10" s="178">
        <f>'Moment resistant'!$H$14</f>
        <v>600.51</v>
      </c>
      <c r="S10" s="208" t="str">
        <f t="shared" si="8"/>
        <v/>
      </c>
      <c r="T10" s="209" t="str">
        <f t="shared" si="9"/>
        <v/>
      </c>
    </row>
    <row r="11" spans="2:20" ht="14.25" customHeight="1">
      <c r="B11" s="190" t="s">
        <v>193</v>
      </c>
      <c r="F11" s="125"/>
      <c r="G11" s="185" t="s">
        <v>192</v>
      </c>
      <c r="H11" s="91">
        <f>'Moment resistant'!$H$17/100</f>
        <v>1.6</v>
      </c>
      <c r="I11" s="178">
        <v>-0.7</v>
      </c>
      <c r="J11" s="176" t="str">
        <f t="shared" si="0"/>
        <v>Domaine 1</v>
      </c>
      <c r="K11" s="180">
        <f t="shared" si="1"/>
        <v>-1.1025</v>
      </c>
      <c r="L11" s="182" t="str">
        <f t="shared" si="2"/>
        <v>N/A</v>
      </c>
      <c r="M11" s="181" t="str">
        <f t="shared" si="3"/>
        <v>N/A</v>
      </c>
      <c r="N11" s="182">
        <f t="shared" si="4"/>
        <v>4.2110177404295051E-3</v>
      </c>
      <c r="O11" s="181">
        <f t="shared" si="5"/>
        <v>400</v>
      </c>
      <c r="P11" s="125">
        <f t="shared" si="6"/>
        <v>-708.91666666666674</v>
      </c>
      <c r="Q11" s="125">
        <f t="shared" si="7"/>
        <v>11.689583333333363</v>
      </c>
      <c r="R11" s="178">
        <f>'Moment resistant'!$H$14</f>
        <v>600.51</v>
      </c>
      <c r="S11" s="208" t="str">
        <f t="shared" si="8"/>
        <v/>
      </c>
      <c r="T11" s="209" t="str">
        <f t="shared" si="9"/>
        <v/>
      </c>
    </row>
    <row r="12" spans="2:20" ht="14.25" customHeight="1">
      <c r="B12" s="191">
        <v>1.5</v>
      </c>
      <c r="F12" s="125"/>
      <c r="G12" s="185" t="s">
        <v>191</v>
      </c>
      <c r="H12" s="91">
        <f>0.0001*'Moment resistant'!$H$18</f>
        <v>9.050000000000001E-4</v>
      </c>
      <c r="I12" s="178">
        <v>-0.6</v>
      </c>
      <c r="J12" s="176" t="str">
        <f t="shared" si="0"/>
        <v>Domaine 1</v>
      </c>
      <c r="K12" s="180">
        <f t="shared" si="1"/>
        <v>-0.94500000000000006</v>
      </c>
      <c r="L12" s="182" t="str">
        <f t="shared" si="2"/>
        <v>N/A</v>
      </c>
      <c r="M12" s="181" t="str">
        <f t="shared" si="3"/>
        <v>N/A</v>
      </c>
      <c r="N12" s="182">
        <f t="shared" si="4"/>
        <v>3.8492063492063487E-3</v>
      </c>
      <c r="O12" s="181">
        <f t="shared" si="5"/>
        <v>400</v>
      </c>
      <c r="P12" s="125">
        <f t="shared" si="6"/>
        <v>-708.91666666666674</v>
      </c>
      <c r="Q12" s="125">
        <f t="shared" si="7"/>
        <v>11.689583333333363</v>
      </c>
      <c r="R12" s="178">
        <f>'Moment resistant'!$H$14</f>
        <v>600.51</v>
      </c>
      <c r="S12" s="208" t="str">
        <f t="shared" si="8"/>
        <v/>
      </c>
      <c r="T12" s="209" t="str">
        <f t="shared" si="9"/>
        <v/>
      </c>
    </row>
    <row r="13" spans="2:20" ht="14.25" customHeight="1">
      <c r="B13" s="191">
        <v>1.2</v>
      </c>
      <c r="F13" s="125"/>
      <c r="G13" s="185" t="s">
        <v>190</v>
      </c>
      <c r="H13" s="91">
        <f>0.01*'Moment resistant'!$H$19</f>
        <v>2.5000000000000001E-2</v>
      </c>
      <c r="I13" s="178">
        <v>-0.5</v>
      </c>
      <c r="J13" s="176" t="str">
        <f t="shared" si="0"/>
        <v>Domaine 1</v>
      </c>
      <c r="K13" s="180">
        <f t="shared" si="1"/>
        <v>-0.78750000000000009</v>
      </c>
      <c r="L13" s="182" t="str">
        <f t="shared" si="2"/>
        <v>N/A</v>
      </c>
      <c r="M13" s="181" t="str">
        <f t="shared" si="3"/>
        <v>N/A</v>
      </c>
      <c r="N13" s="182">
        <f t="shared" si="4"/>
        <v>3.4391534391534397E-3</v>
      </c>
      <c r="O13" s="181">
        <f t="shared" si="5"/>
        <v>400</v>
      </c>
      <c r="P13" s="125">
        <f t="shared" si="6"/>
        <v>-708.91666666666674</v>
      </c>
      <c r="Q13" s="125">
        <f t="shared" si="7"/>
        <v>11.689583333333363</v>
      </c>
      <c r="R13" s="178">
        <f>'Moment resistant'!$H$14</f>
        <v>600.51</v>
      </c>
      <c r="S13" s="208" t="str">
        <f t="shared" si="8"/>
        <v/>
      </c>
      <c r="T13" s="209" t="str">
        <f t="shared" si="9"/>
        <v/>
      </c>
    </row>
    <row r="14" spans="2:20" ht="14.25" customHeight="1">
      <c r="F14" s="125"/>
      <c r="G14" s="185" t="s">
        <v>189</v>
      </c>
      <c r="H14" s="91">
        <f>0.0001*'Moment resistant'!$H$20</f>
        <v>9.050000000000001E-4</v>
      </c>
      <c r="I14" s="178">
        <v>-0.4</v>
      </c>
      <c r="J14" s="176" t="str">
        <f t="shared" si="0"/>
        <v>Domaine 1</v>
      </c>
      <c r="K14" s="180">
        <f t="shared" si="1"/>
        <v>-0.63000000000000012</v>
      </c>
      <c r="L14" s="182" t="str">
        <f t="shared" si="2"/>
        <v>N/A</v>
      </c>
      <c r="M14" s="181" t="str">
        <f t="shared" si="3"/>
        <v>N/A</v>
      </c>
      <c r="N14" s="182">
        <f t="shared" si="4"/>
        <v>2.970521541950114E-3</v>
      </c>
      <c r="O14" s="181">
        <f t="shared" si="5"/>
        <v>400</v>
      </c>
      <c r="P14" s="125">
        <f t="shared" si="6"/>
        <v>-708.91666666666674</v>
      </c>
      <c r="Q14" s="125">
        <f t="shared" si="7"/>
        <v>11.689583333333363</v>
      </c>
      <c r="R14" s="178">
        <f>'Moment resistant'!$H$14</f>
        <v>600.51</v>
      </c>
      <c r="S14" s="208" t="str">
        <f t="shared" si="8"/>
        <v/>
      </c>
      <c r="T14" s="209" t="str">
        <f t="shared" si="9"/>
        <v/>
      </c>
    </row>
    <row r="15" spans="2:20" ht="14.25" customHeight="1">
      <c r="B15" s="190" t="s">
        <v>188</v>
      </c>
      <c r="F15" s="125"/>
      <c r="G15" s="185" t="s">
        <v>187</v>
      </c>
      <c r="H15" s="91">
        <f>0.01*'Moment resistant'!$H$21</f>
        <v>2.5000000000000001E-2</v>
      </c>
      <c r="I15" s="178">
        <v>-0.3</v>
      </c>
      <c r="J15" s="176" t="str">
        <f t="shared" si="0"/>
        <v>Domaine 1</v>
      </c>
      <c r="K15" s="180">
        <f t="shared" si="1"/>
        <v>-0.47250000000000003</v>
      </c>
      <c r="L15" s="182" t="str">
        <f t="shared" si="2"/>
        <v>N/A</v>
      </c>
      <c r="M15" s="181" t="str">
        <f t="shared" si="3"/>
        <v>N/A</v>
      </c>
      <c r="N15" s="182">
        <f t="shared" si="4"/>
        <v>2.4297924297924296E-3</v>
      </c>
      <c r="O15" s="181">
        <f t="shared" si="5"/>
        <v>400</v>
      </c>
      <c r="P15" s="125">
        <f t="shared" si="6"/>
        <v>-708.91666666666674</v>
      </c>
      <c r="Q15" s="125">
        <f t="shared" si="7"/>
        <v>11.689583333333363</v>
      </c>
      <c r="R15" s="178">
        <f>'Moment resistant'!$H$14</f>
        <v>600.51</v>
      </c>
      <c r="S15" s="208" t="str">
        <f t="shared" si="8"/>
        <v/>
      </c>
      <c r="T15" s="209" t="str">
        <f t="shared" si="9"/>
        <v/>
      </c>
    </row>
    <row r="16" spans="2:20" ht="14.25" customHeight="1">
      <c r="B16" s="191">
        <v>1.1499999999999999</v>
      </c>
      <c r="F16" s="125"/>
      <c r="G16" s="185" t="s">
        <v>186</v>
      </c>
      <c r="H16" s="136">
        <f>$H$11-$H$13</f>
        <v>1.5750000000000002</v>
      </c>
      <c r="I16" s="178">
        <v>-0.2</v>
      </c>
      <c r="J16" s="176" t="str">
        <f t="shared" si="0"/>
        <v>Domaine 1</v>
      </c>
      <c r="K16" s="180">
        <f t="shared" si="1"/>
        <v>-0.31500000000000006</v>
      </c>
      <c r="L16" s="182" t="str">
        <f t="shared" si="2"/>
        <v>N/A</v>
      </c>
      <c r="M16" s="181" t="str">
        <f t="shared" si="3"/>
        <v>N/A</v>
      </c>
      <c r="N16" s="182">
        <f t="shared" si="4"/>
        <v>1.7989417989417991E-3</v>
      </c>
      <c r="O16" s="181">
        <f t="shared" si="5"/>
        <v>359.7883597883598</v>
      </c>
      <c r="P16" s="125">
        <f t="shared" si="6"/>
        <v>-672.52513227513236</v>
      </c>
      <c r="Q16" s="125">
        <f t="shared" si="7"/>
        <v>39.893022486772537</v>
      </c>
      <c r="R16" s="178">
        <f>'Moment resistant'!$H$14</f>
        <v>600.51</v>
      </c>
      <c r="S16" s="208" t="str">
        <f t="shared" si="8"/>
        <v/>
      </c>
      <c r="T16" s="209" t="str">
        <f t="shared" si="9"/>
        <v/>
      </c>
    </row>
    <row r="17" spans="2:20" ht="14.25" customHeight="1">
      <c r="B17" s="191">
        <v>1</v>
      </c>
      <c r="F17" s="125"/>
      <c r="G17" s="185" t="s">
        <v>185</v>
      </c>
      <c r="H17" s="91">
        <v>200000</v>
      </c>
      <c r="I17" s="178">
        <v>-0.1</v>
      </c>
      <c r="J17" s="176" t="str">
        <f t="shared" si="0"/>
        <v>Domaine 1</v>
      </c>
      <c r="K17" s="180">
        <f t="shared" si="1"/>
        <v>-0.15750000000000003</v>
      </c>
      <c r="L17" s="182" t="str">
        <f t="shared" si="2"/>
        <v>N/A</v>
      </c>
      <c r="M17" s="181" t="str">
        <f t="shared" si="3"/>
        <v>N/A</v>
      </c>
      <c r="N17" s="182">
        <f t="shared" si="4"/>
        <v>1.0533910533910534E-3</v>
      </c>
      <c r="O17" s="181">
        <f t="shared" si="5"/>
        <v>210.67821067821069</v>
      </c>
      <c r="P17" s="125">
        <f t="shared" si="6"/>
        <v>-537.58044733044744</v>
      </c>
      <c r="Q17" s="125">
        <f t="shared" si="7"/>
        <v>144.47515331890338</v>
      </c>
      <c r="R17" s="178">
        <f>'Moment resistant'!$H$14</f>
        <v>600.51</v>
      </c>
      <c r="S17" s="208" t="str">
        <f t="shared" si="8"/>
        <v/>
      </c>
      <c r="T17" s="209" t="str">
        <f t="shared" si="9"/>
        <v/>
      </c>
    </row>
    <row r="18" spans="2:20" ht="14.25" customHeight="1">
      <c r="F18" s="125"/>
      <c r="G18" s="185" t="s">
        <v>184</v>
      </c>
      <c r="H18" s="189">
        <f>0.85 * 'Moment resistant'!$H$7 / ('Moment resistant'!$H$10 * 'Moment resistant'!$H$11)</f>
        <v>20.833333333333332</v>
      </c>
      <c r="I18" s="178">
        <v>1.11E-2</v>
      </c>
      <c r="J18" s="176" t="str">
        <f t="shared" si="0"/>
        <v>Domaine 2</v>
      </c>
      <c r="K18" s="180">
        <f t="shared" si="1"/>
        <v>1.7482500000000002E-2</v>
      </c>
      <c r="L18" s="182" t="str">
        <f t="shared" si="2"/>
        <v>N/A</v>
      </c>
      <c r="M18" s="181" t="str">
        <f t="shared" si="3"/>
        <v>N/A</v>
      </c>
      <c r="N18" s="182">
        <f t="shared" si="4"/>
        <v>-4.8265910334875847E-5</v>
      </c>
      <c r="O18" s="181">
        <f t="shared" si="5"/>
        <v>-9.6531820669751696</v>
      </c>
      <c r="P18" s="125">
        <f t="shared" si="6"/>
        <v>-327.54446310394593</v>
      </c>
      <c r="Q18" s="125">
        <f t="shared" si="7"/>
        <v>308.30239901944208</v>
      </c>
      <c r="R18" s="178">
        <f>'Moment resistant'!$H$14</f>
        <v>600.51</v>
      </c>
      <c r="S18" s="208" t="str">
        <f t="shared" si="8"/>
        <v/>
      </c>
      <c r="T18" s="209" t="str">
        <f t="shared" si="9"/>
        <v/>
      </c>
    </row>
    <row r="19" spans="2:20" ht="14.25" customHeight="1">
      <c r="B19" s="190" t="s">
        <v>183</v>
      </c>
      <c r="F19" s="125"/>
      <c r="G19" s="185" t="s">
        <v>182</v>
      </c>
      <c r="H19" s="189">
        <f>'Moment resistant'!$H$8 / 'Moment resistant'!$H$12</f>
        <v>400</v>
      </c>
      <c r="I19" s="178">
        <v>0.02</v>
      </c>
      <c r="J19" s="176" t="str">
        <f t="shared" si="0"/>
        <v>Domaine 2</v>
      </c>
      <c r="K19" s="180">
        <f t="shared" si="1"/>
        <v>3.1500000000000007E-2</v>
      </c>
      <c r="L19" s="182" t="str">
        <f t="shared" si="2"/>
        <v>N/A</v>
      </c>
      <c r="M19" s="181" t="str">
        <f t="shared" si="3"/>
        <v>N/A</v>
      </c>
      <c r="N19" s="182">
        <f t="shared" si="4"/>
        <v>4.2112082928409493E-5</v>
      </c>
      <c r="O19" s="181">
        <f t="shared" si="5"/>
        <v>8.4224165856818978</v>
      </c>
      <c r="P19" s="125">
        <f t="shared" si="6"/>
        <v>-264.46104632329121</v>
      </c>
      <c r="Q19" s="125">
        <f t="shared" si="7"/>
        <v>357.44468909944942</v>
      </c>
      <c r="R19" s="178">
        <f>'Moment resistant'!$H$14</f>
        <v>600.51</v>
      </c>
      <c r="S19" s="208" t="str">
        <f t="shared" si="8"/>
        <v/>
      </c>
      <c r="T19" s="209" t="str">
        <f t="shared" si="9"/>
        <v/>
      </c>
    </row>
    <row r="20" spans="2:20" ht="14.25" customHeight="1">
      <c r="B20" s="185" t="s">
        <v>181</v>
      </c>
      <c r="C20" s="91">
        <v>22.5</v>
      </c>
      <c r="F20" s="125"/>
      <c r="G20" s="185" t="s">
        <v>180</v>
      </c>
      <c r="H20" s="188">
        <f>0.01</f>
        <v>0.01</v>
      </c>
      <c r="I20" s="178">
        <v>0.03</v>
      </c>
      <c r="J20" s="176" t="str">
        <f t="shared" si="0"/>
        <v>Domaine 2</v>
      </c>
      <c r="K20" s="180">
        <f t="shared" si="1"/>
        <v>4.725E-2</v>
      </c>
      <c r="L20" s="182" t="str">
        <f t="shared" si="2"/>
        <v>N/A</v>
      </c>
      <c r="M20" s="181" t="str">
        <f t="shared" si="3"/>
        <v>N/A</v>
      </c>
      <c r="N20" s="182">
        <f t="shared" si="4"/>
        <v>1.4563901161839305E-4</v>
      </c>
      <c r="O20" s="181">
        <f t="shared" si="5"/>
        <v>29.127802323678608</v>
      </c>
      <c r="P20" s="125">
        <f t="shared" si="6"/>
        <v>-193.22267223040421</v>
      </c>
      <c r="Q20" s="125">
        <f t="shared" si="7"/>
        <v>412.31317902143684</v>
      </c>
      <c r="R20" s="178">
        <f>'Moment resistant'!$H$14</f>
        <v>600.51</v>
      </c>
      <c r="S20" s="208" t="str">
        <f t="shared" si="8"/>
        <v/>
      </c>
      <c r="T20" s="209" t="str">
        <f t="shared" si="9"/>
        <v/>
      </c>
    </row>
    <row r="21" spans="2:20" ht="14.25" customHeight="1">
      <c r="B21" s="185" t="s">
        <v>179</v>
      </c>
      <c r="C21" s="91">
        <v>8</v>
      </c>
      <c r="F21" s="125"/>
      <c r="G21" s="185" t="s">
        <v>178</v>
      </c>
      <c r="H21" s="136">
        <f>0.0035</f>
        <v>3.5000000000000001E-3</v>
      </c>
      <c r="I21" s="178">
        <v>0.04</v>
      </c>
      <c r="J21" s="176" t="str">
        <f t="shared" si="0"/>
        <v>Domaine 2</v>
      </c>
      <c r="K21" s="180">
        <f t="shared" si="1"/>
        <v>6.3000000000000014E-2</v>
      </c>
      <c r="L21" s="182" t="str">
        <f t="shared" si="2"/>
        <v>N/A</v>
      </c>
      <c r="M21" s="181" t="str">
        <f t="shared" si="3"/>
        <v>N/A</v>
      </c>
      <c r="N21" s="182">
        <f t="shared" si="4"/>
        <v>2.5132275132275136E-4</v>
      </c>
      <c r="O21" s="181">
        <f t="shared" si="5"/>
        <v>50.264550264550273</v>
      </c>
      <c r="P21" s="125">
        <f t="shared" si="6"/>
        <v>-121.59391534391531</v>
      </c>
      <c r="Q21" s="125">
        <f t="shared" si="7"/>
        <v>466.82271560846578</v>
      </c>
      <c r="R21" s="178">
        <f>'Moment resistant'!$H$14</f>
        <v>600.51</v>
      </c>
      <c r="S21" s="208" t="str">
        <f t="shared" si="8"/>
        <v/>
      </c>
      <c r="T21" s="209" t="str">
        <f t="shared" si="9"/>
        <v/>
      </c>
    </row>
    <row r="22" spans="2:20" ht="14.25" customHeight="1">
      <c r="B22" s="185" t="s">
        <v>177</v>
      </c>
      <c r="C22" s="91">
        <v>12</v>
      </c>
      <c r="F22" s="125"/>
      <c r="G22" s="185" t="s">
        <v>176</v>
      </c>
      <c r="H22" s="186">
        <f>$H$19/200000</f>
        <v>2E-3</v>
      </c>
      <c r="I22" s="178">
        <v>0.05</v>
      </c>
      <c r="J22" s="176" t="str">
        <f t="shared" si="0"/>
        <v>Domaine 2</v>
      </c>
      <c r="K22" s="180">
        <f t="shared" si="1"/>
        <v>7.8750000000000014E-2</v>
      </c>
      <c r="L22" s="182" t="str">
        <f t="shared" si="2"/>
        <v>N/A</v>
      </c>
      <c r="M22" s="181" t="str">
        <f t="shared" si="3"/>
        <v>N/A</v>
      </c>
      <c r="N22" s="182">
        <f t="shared" si="4"/>
        <v>3.5923141186299087E-4</v>
      </c>
      <c r="O22" s="181">
        <f t="shared" si="5"/>
        <v>71.846282372598168</v>
      </c>
      <c r="P22" s="125">
        <f t="shared" si="6"/>
        <v>-49.562447786131891</v>
      </c>
      <c r="Q22" s="125">
        <f t="shared" si="7"/>
        <v>520.98285296574784</v>
      </c>
      <c r="R22" s="178">
        <f>'Moment resistant'!$H$14</f>
        <v>600.51</v>
      </c>
      <c r="S22" s="208" t="str">
        <f t="shared" si="8"/>
        <v/>
      </c>
      <c r="T22" s="209" t="str">
        <f t="shared" si="9"/>
        <v/>
      </c>
    </row>
    <row r="23" spans="2:20" ht="14.25" customHeight="1">
      <c r="B23" s="185" t="s">
        <v>175</v>
      </c>
      <c r="C23" s="91">
        <v>16</v>
      </c>
      <c r="F23" s="125"/>
      <c r="G23" s="187" t="s">
        <v>174</v>
      </c>
      <c r="H23" s="186">
        <f>0.259 * $H$16</f>
        <v>0.40792500000000004</v>
      </c>
      <c r="I23" s="178">
        <v>7.0000000000000007E-2</v>
      </c>
      <c r="J23" s="176" t="str">
        <f t="shared" si="0"/>
        <v>Domaine 2</v>
      </c>
      <c r="K23" s="180">
        <f t="shared" si="1"/>
        <v>0.11025000000000003</v>
      </c>
      <c r="L23" s="182" t="str">
        <f t="shared" si="2"/>
        <v>N/A</v>
      </c>
      <c r="M23" s="181" t="str">
        <f t="shared" si="3"/>
        <v>N/A</v>
      </c>
      <c r="N23" s="182">
        <f t="shared" si="4"/>
        <v>5.8201058201058208E-4</v>
      </c>
      <c r="O23" s="181">
        <f t="shared" si="5"/>
        <v>116.40211640211642</v>
      </c>
      <c r="P23" s="125">
        <f t="shared" si="6"/>
        <v>95.760582010582127</v>
      </c>
      <c r="Q23" s="125">
        <f t="shared" si="7"/>
        <v>628.2952010582012</v>
      </c>
      <c r="R23" s="178">
        <f>'Moment resistant'!$H$14</f>
        <v>600.51</v>
      </c>
      <c r="S23" s="208" t="str">
        <f t="shared" si="8"/>
        <v/>
      </c>
      <c r="T23" s="209" t="str">
        <f t="shared" si="9"/>
        <v/>
      </c>
    </row>
    <row r="24" spans="2:20" ht="14.25" customHeight="1">
      <c r="B24" s="185" t="s">
        <v>173</v>
      </c>
      <c r="C24" s="91">
        <v>20</v>
      </c>
      <c r="F24" s="125"/>
      <c r="G24" s="91"/>
      <c r="H24" s="91"/>
      <c r="I24" s="178">
        <v>0.08</v>
      </c>
      <c r="J24" s="176" t="str">
        <f t="shared" si="0"/>
        <v>Domaine 2</v>
      </c>
      <c r="K24" s="180">
        <f t="shared" si="1"/>
        <v>0.12600000000000003</v>
      </c>
      <c r="L24" s="182" t="str">
        <f t="shared" si="2"/>
        <v>N/A</v>
      </c>
      <c r="M24" s="181" t="str">
        <f t="shared" si="3"/>
        <v>N/A</v>
      </c>
      <c r="N24" s="182">
        <f t="shared" si="4"/>
        <v>6.9703243616287111E-4</v>
      </c>
      <c r="O24" s="181">
        <f t="shared" si="5"/>
        <v>139.40648723257422</v>
      </c>
      <c r="P24" s="125">
        <f t="shared" si="6"/>
        <v>169.0795376121464</v>
      </c>
      <c r="Q24" s="125">
        <f t="shared" si="7"/>
        <v>681.4686416494136</v>
      </c>
      <c r="R24" s="178">
        <f>'Moment resistant'!$H$14</f>
        <v>600.51</v>
      </c>
      <c r="S24" s="208" t="str">
        <f t="shared" si="8"/>
        <v/>
      </c>
      <c r="T24" s="209" t="str">
        <f t="shared" si="9"/>
        <v/>
      </c>
    </row>
    <row r="25" spans="2:20" ht="14.25" customHeight="1">
      <c r="B25" s="185" t="s">
        <v>172</v>
      </c>
      <c r="C25" s="91">
        <v>25</v>
      </c>
      <c r="F25" s="125"/>
      <c r="G25" s="91"/>
      <c r="H25" s="91"/>
      <c r="I25" s="178">
        <v>0.09</v>
      </c>
      <c r="J25" s="176" t="str">
        <f t="shared" si="0"/>
        <v>Domaine 2</v>
      </c>
      <c r="K25" s="180">
        <f t="shared" si="1"/>
        <v>0.14175000000000001</v>
      </c>
      <c r="L25" s="182" t="str">
        <f t="shared" si="2"/>
        <v>N/A</v>
      </c>
      <c r="M25" s="181" t="str">
        <f t="shared" si="3"/>
        <v>N/A</v>
      </c>
      <c r="N25" s="182">
        <f t="shared" si="4"/>
        <v>8.1458224315367179E-4</v>
      </c>
      <c r="O25" s="181">
        <f t="shared" si="5"/>
        <v>162.91644863073435</v>
      </c>
      <c r="P25" s="125">
        <f t="shared" si="6"/>
        <v>242.85605267748127</v>
      </c>
      <c r="Q25" s="125">
        <f t="shared" si="7"/>
        <v>734.33519082504813</v>
      </c>
      <c r="R25" s="178">
        <f>'Moment resistant'!$H$14</f>
        <v>600.51</v>
      </c>
      <c r="S25" s="208" t="str">
        <f t="shared" si="8"/>
        <v/>
      </c>
      <c r="T25" s="209" t="str">
        <f t="shared" si="9"/>
        <v/>
      </c>
    </row>
    <row r="26" spans="2:20" ht="14.25" customHeight="1">
      <c r="B26" s="185" t="s">
        <v>171</v>
      </c>
      <c r="C26" s="91">
        <v>30</v>
      </c>
      <c r="F26" s="125"/>
      <c r="G26" s="91"/>
      <c r="H26" s="91"/>
      <c r="I26" s="178">
        <v>0.1</v>
      </c>
      <c r="J26" s="176" t="str">
        <f t="shared" si="0"/>
        <v>Domaine 2</v>
      </c>
      <c r="K26" s="180">
        <f t="shared" si="1"/>
        <v>0.15750000000000003</v>
      </c>
      <c r="L26" s="182" t="str">
        <f t="shared" si="2"/>
        <v>N/A</v>
      </c>
      <c r="M26" s="181" t="str">
        <f t="shared" si="3"/>
        <v>N/A</v>
      </c>
      <c r="N26" s="182">
        <f t="shared" si="4"/>
        <v>9.3474426807760161E-4</v>
      </c>
      <c r="O26" s="181">
        <f t="shared" si="5"/>
        <v>186.94885361552033</v>
      </c>
      <c r="P26" s="125">
        <f t="shared" si="6"/>
        <v>317.10537918871279</v>
      </c>
      <c r="Q26" s="125">
        <f t="shared" si="7"/>
        <v>786.90666887125246</v>
      </c>
      <c r="R26" s="178">
        <f>'Moment resistant'!$H$14</f>
        <v>600.51</v>
      </c>
      <c r="S26" s="208" t="str">
        <f t="shared" si="8"/>
        <v/>
      </c>
      <c r="T26" s="209" t="str">
        <f t="shared" si="9"/>
        <v/>
      </c>
    </row>
    <row r="27" spans="2:20" ht="14.25" customHeight="1">
      <c r="B27" s="185" t="s">
        <v>170</v>
      </c>
      <c r="C27" s="91">
        <v>35</v>
      </c>
      <c r="F27" s="125"/>
      <c r="G27" s="106" t="s">
        <v>169</v>
      </c>
      <c r="H27" s="106" t="s">
        <v>168</v>
      </c>
      <c r="I27" s="178">
        <v>0.11</v>
      </c>
      <c r="J27" s="176" t="str">
        <f t="shared" si="0"/>
        <v>Domaine 2</v>
      </c>
      <c r="K27" s="180">
        <f t="shared" si="1"/>
        <v>0.17325000000000002</v>
      </c>
      <c r="L27" s="182" t="str">
        <f t="shared" si="2"/>
        <v>N/A</v>
      </c>
      <c r="M27" s="181" t="str">
        <f t="shared" si="3"/>
        <v>N/A</v>
      </c>
      <c r="N27" s="182">
        <f t="shared" si="4"/>
        <v>1.0576065632245408E-3</v>
      </c>
      <c r="O27" s="181">
        <f t="shared" si="5"/>
        <v>211.52131264490816</v>
      </c>
      <c r="P27" s="125">
        <f t="shared" si="6"/>
        <v>391.84345461030875</v>
      </c>
      <c r="Q27" s="125">
        <f t="shared" si="7"/>
        <v>839.1954273229893</v>
      </c>
      <c r="R27" s="178">
        <f>'Moment resistant'!$H$14</f>
        <v>600.51</v>
      </c>
      <c r="S27" s="208" t="str">
        <f t="shared" si="8"/>
        <v/>
      </c>
      <c r="T27" s="209" t="str">
        <f t="shared" si="9"/>
        <v/>
      </c>
    </row>
    <row r="28" spans="2:20" ht="14.25" customHeight="1">
      <c r="B28" s="185" t="s">
        <v>167</v>
      </c>
      <c r="C28" s="91">
        <v>40</v>
      </c>
      <c r="F28" s="125"/>
      <c r="G28" s="125">
        <v>0</v>
      </c>
      <c r="H28" s="91">
        <f>'Moment resistant'!$H$14</f>
        <v>600.51</v>
      </c>
      <c r="I28" s="178">
        <v>0.12</v>
      </c>
      <c r="J28" s="176" t="str">
        <f t="shared" si="0"/>
        <v>Domaine 2</v>
      </c>
      <c r="K28" s="180">
        <f t="shared" si="1"/>
        <v>0.189</v>
      </c>
      <c r="L28" s="182" t="str">
        <f t="shared" si="2"/>
        <v>N/A</v>
      </c>
      <c r="M28" s="181" t="str">
        <f t="shared" si="3"/>
        <v>N/A</v>
      </c>
      <c r="N28" s="182">
        <f t="shared" si="4"/>
        <v>1.1832611832611833E-3</v>
      </c>
      <c r="O28" s="181">
        <f t="shared" si="5"/>
        <v>236.65223665223664</v>
      </c>
      <c r="P28" s="125">
        <f t="shared" si="6"/>
        <v>467.08694083694098</v>
      </c>
      <c r="Q28" s="125">
        <f t="shared" si="7"/>
        <v>891.21437914862929</v>
      </c>
      <c r="R28" s="178">
        <f>'Moment resistant'!$H$14</f>
        <v>600.51</v>
      </c>
      <c r="S28" s="208" t="str">
        <f t="shared" si="8"/>
        <v/>
      </c>
      <c r="T28" s="209" t="str">
        <f t="shared" si="9"/>
        <v/>
      </c>
    </row>
    <row r="29" spans="2:20" ht="14.25" customHeight="1">
      <c r="B29" s="185" t="s">
        <v>166</v>
      </c>
      <c r="C29" s="91">
        <v>45</v>
      </c>
      <c r="F29" s="125"/>
      <c r="G29" s="125">
        <f>MAX(S7:S85)</f>
        <v>981.90514180782282</v>
      </c>
      <c r="H29" s="91">
        <f>'Moment resistant'!$H$14</f>
        <v>600.51</v>
      </c>
      <c r="I29" s="178">
        <v>0.13</v>
      </c>
      <c r="J29" s="176" t="str">
        <f t="shared" si="0"/>
        <v>Domaine 2</v>
      </c>
      <c r="K29" s="180">
        <f t="shared" si="1"/>
        <v>0.20475000000000004</v>
      </c>
      <c r="L29" s="182" t="str">
        <f t="shared" si="2"/>
        <v>N/A</v>
      </c>
      <c r="M29" s="181" t="str">
        <f t="shared" si="3"/>
        <v>N/A</v>
      </c>
      <c r="N29" s="182">
        <f t="shared" si="4"/>
        <v>1.3118044152526914E-3</v>
      </c>
      <c r="O29" s="181">
        <f t="shared" si="5"/>
        <v>262.36088305053829</v>
      </c>
      <c r="P29" s="125">
        <f t="shared" si="6"/>
        <v>542.85326582740413</v>
      </c>
      <c r="Q29" s="125">
        <f t="shared" si="7"/>
        <v>942.97703101623824</v>
      </c>
      <c r="R29" s="178">
        <f>'Moment resistant'!$H$14</f>
        <v>600.51</v>
      </c>
      <c r="S29" s="208" t="str">
        <f t="shared" si="8"/>
        <v/>
      </c>
      <c r="T29" s="209" t="str">
        <f t="shared" si="9"/>
        <v/>
      </c>
    </row>
    <row r="30" spans="2:20" ht="14.25" customHeight="1">
      <c r="B30" s="185" t="s">
        <v>165</v>
      </c>
      <c r="C30" s="91">
        <v>50</v>
      </c>
      <c r="F30" s="125"/>
      <c r="G30" s="125">
        <f>MAX(S7:S85)</f>
        <v>981.90514180782282</v>
      </c>
      <c r="H30" s="125">
        <v>0</v>
      </c>
      <c r="I30" s="178">
        <v>0.14000000000000001</v>
      </c>
      <c r="J30" s="176" t="str">
        <f t="shared" si="0"/>
        <v>Domaine 2</v>
      </c>
      <c r="K30" s="180">
        <f t="shared" si="1"/>
        <v>0.22050000000000006</v>
      </c>
      <c r="L30" s="182" t="str">
        <f t="shared" si="2"/>
        <v>N/A</v>
      </c>
      <c r="M30" s="181" t="str">
        <f t="shared" si="3"/>
        <v>N/A</v>
      </c>
      <c r="N30" s="182">
        <f t="shared" si="4"/>
        <v>1.443337024732374E-3</v>
      </c>
      <c r="O30" s="181">
        <f t="shared" si="5"/>
        <v>288.66740494647479</v>
      </c>
      <c r="P30" s="125">
        <f t="shared" si="6"/>
        <v>619.16066814322664</v>
      </c>
      <c r="Q30" s="125">
        <f t="shared" si="7"/>
        <v>994.49751781100076</v>
      </c>
      <c r="R30" s="178">
        <f>'Moment resistant'!$H$14</f>
        <v>600.51</v>
      </c>
      <c r="S30" s="208">
        <f t="shared" si="8"/>
        <v>981.90514180782282</v>
      </c>
      <c r="T30" s="209">
        <f t="shared" si="9"/>
        <v>0.21665046490457052</v>
      </c>
    </row>
    <row r="31" spans="2:20" ht="14.25" customHeight="1">
      <c r="F31" s="125"/>
      <c r="G31" s="125">
        <f>MAX(S7:S85)</f>
        <v>981.90514180782282</v>
      </c>
      <c r="H31" s="91">
        <f>'Moment resistant'!$H$14</f>
        <v>600.51</v>
      </c>
      <c r="I31" s="178">
        <v>0.15</v>
      </c>
      <c r="J31" s="176" t="str">
        <f t="shared" si="0"/>
        <v>Domaine 2</v>
      </c>
      <c r="K31" s="180">
        <f t="shared" si="1"/>
        <v>0.23625000000000002</v>
      </c>
      <c r="L31" s="182" t="str">
        <f t="shared" si="2"/>
        <v>N/A</v>
      </c>
      <c r="M31" s="181" t="str">
        <f t="shared" si="3"/>
        <v>N/A</v>
      </c>
      <c r="N31" s="182">
        <f t="shared" si="4"/>
        <v>1.5779645191409898E-3</v>
      </c>
      <c r="O31" s="181">
        <f t="shared" si="5"/>
        <v>315.59290382819796</v>
      </c>
      <c r="P31" s="125">
        <f t="shared" si="6"/>
        <v>696.02824463118588</v>
      </c>
      <c r="Q31" s="125">
        <f t="shared" si="7"/>
        <v>1045.7906395891691</v>
      </c>
      <c r="R31" s="178">
        <f>'Moment resistant'!$H$14</f>
        <v>600.51</v>
      </c>
      <c r="S31" s="208" t="str">
        <f t="shared" si="8"/>
        <v/>
      </c>
      <c r="T31" s="209" t="str">
        <f t="shared" si="9"/>
        <v/>
      </c>
    </row>
    <row r="32" spans="2:20" ht="14.25" customHeight="1">
      <c r="F32" s="125"/>
      <c r="G32" s="91" t="s">
        <v>164</v>
      </c>
      <c r="H32" s="125">
        <f>MIN(P6:P2751)</f>
        <v>-708.91666666666674</v>
      </c>
      <c r="I32" s="178">
        <v>0.16</v>
      </c>
      <c r="J32" s="176" t="str">
        <f t="shared" si="0"/>
        <v>Domaine 2</v>
      </c>
      <c r="K32" s="180">
        <f t="shared" si="1"/>
        <v>0.25200000000000006</v>
      </c>
      <c r="L32" s="182" t="str">
        <f t="shared" si="2"/>
        <v>N/A</v>
      </c>
      <c r="M32" s="181" t="str">
        <f t="shared" si="3"/>
        <v>N/A</v>
      </c>
      <c r="N32" s="182">
        <f t="shared" si="4"/>
        <v>1.7157974300831447E-3</v>
      </c>
      <c r="O32" s="181">
        <f t="shared" si="5"/>
        <v>343.15948601662893</v>
      </c>
      <c r="P32" s="125">
        <f t="shared" si="6"/>
        <v>773.47600151171616</v>
      </c>
      <c r="Q32" s="125">
        <f t="shared" si="7"/>
        <v>1096.8719011715802</v>
      </c>
      <c r="R32" s="178">
        <f>'Moment resistant'!$H$14</f>
        <v>600.51</v>
      </c>
      <c r="S32" s="208" t="str">
        <f t="shared" si="8"/>
        <v/>
      </c>
      <c r="T32" s="209" t="str">
        <f t="shared" si="9"/>
        <v/>
      </c>
    </row>
    <row r="33" spans="2:20" ht="14.25" customHeight="1">
      <c r="F33" s="125"/>
      <c r="G33" s="91" t="s">
        <v>163</v>
      </c>
      <c r="H33" s="125">
        <f>MAX(P6:P2751)</f>
        <v>7374.0506184715314</v>
      </c>
      <c r="I33" s="178">
        <v>0.17</v>
      </c>
      <c r="J33" s="176" t="str">
        <f t="shared" si="0"/>
        <v>Domaine 2</v>
      </c>
      <c r="K33" s="180">
        <f t="shared" si="1"/>
        <v>0.26775000000000004</v>
      </c>
      <c r="L33" s="182" t="str">
        <f t="shared" si="2"/>
        <v>N/A</v>
      </c>
      <c r="M33" s="181" t="str">
        <f t="shared" si="3"/>
        <v>N/A</v>
      </c>
      <c r="N33" s="182">
        <f t="shared" si="4"/>
        <v>1.8569516159877605E-3</v>
      </c>
      <c r="O33" s="181">
        <f t="shared" si="5"/>
        <v>371.39032319755211</v>
      </c>
      <c r="P33" s="125">
        <f t="shared" si="6"/>
        <v>851.52490916045156</v>
      </c>
      <c r="Q33" s="125">
        <f t="shared" si="7"/>
        <v>1147.7575545993502</v>
      </c>
      <c r="R33" s="178">
        <f>'Moment resistant'!$H$14</f>
        <v>600.51</v>
      </c>
      <c r="S33" s="208" t="str">
        <f t="shared" si="8"/>
        <v/>
      </c>
      <c r="T33" s="209" t="str">
        <f t="shared" si="9"/>
        <v/>
      </c>
    </row>
    <row r="34" spans="2:20" ht="14.25" customHeight="1">
      <c r="F34" s="125"/>
      <c r="G34" s="91" t="s">
        <v>162</v>
      </c>
      <c r="H34" s="125">
        <f>-1000*(H12+H14)*H19</f>
        <v>-724.00000000000011</v>
      </c>
      <c r="I34" s="178">
        <v>0.18</v>
      </c>
      <c r="J34" s="176" t="str">
        <f t="shared" si="0"/>
        <v>Domaine 2</v>
      </c>
      <c r="K34" s="180">
        <f t="shared" si="1"/>
        <v>0.28350000000000003</v>
      </c>
      <c r="L34" s="182" t="str">
        <f t="shared" si="2"/>
        <v>N/A</v>
      </c>
      <c r="M34" s="181" t="str">
        <f t="shared" si="3"/>
        <v>N/A</v>
      </c>
      <c r="N34" s="182">
        <f t="shared" si="4"/>
        <v>2.0015485869144404E-3</v>
      </c>
      <c r="O34" s="181">
        <f t="shared" si="5"/>
        <v>400</v>
      </c>
      <c r="P34" s="125">
        <f t="shared" si="6"/>
        <v>929.91666666666674</v>
      </c>
      <c r="Q34" s="125">
        <f t="shared" si="7"/>
        <v>1198.2474166666668</v>
      </c>
      <c r="R34" s="178">
        <f>'Moment resistant'!$H$14</f>
        <v>600.51</v>
      </c>
      <c r="S34" s="208" t="str">
        <f t="shared" si="8"/>
        <v/>
      </c>
      <c r="T34" s="209" t="str">
        <f t="shared" si="9"/>
        <v/>
      </c>
    </row>
    <row r="35" spans="2:20" ht="14.25" customHeight="1">
      <c r="F35" s="125"/>
      <c r="G35" s="91" t="s">
        <v>161</v>
      </c>
      <c r="H35" s="125">
        <f>1000*((H12+H14)*H19+H10*H11*H18)</f>
        <v>7390.6666666666679</v>
      </c>
      <c r="I35" s="178">
        <v>0.19</v>
      </c>
      <c r="J35" s="176" t="str">
        <f t="shared" si="0"/>
        <v>Domaine 2</v>
      </c>
      <c r="K35" s="180">
        <f t="shared" si="1"/>
        <v>0.29925000000000002</v>
      </c>
      <c r="L35" s="182" t="str">
        <f t="shared" si="2"/>
        <v>N/A</v>
      </c>
      <c r="M35" s="181" t="str">
        <f t="shared" si="3"/>
        <v>N/A</v>
      </c>
      <c r="N35" s="182">
        <f t="shared" si="4"/>
        <v>2.1497158534195568E-3</v>
      </c>
      <c r="O35" s="181">
        <f t="shared" si="5"/>
        <v>400</v>
      </c>
      <c r="P35" s="125">
        <f t="shared" si="6"/>
        <v>982.41666666666674</v>
      </c>
      <c r="Q35" s="125">
        <f t="shared" si="7"/>
        <v>1228.0096666666668</v>
      </c>
      <c r="R35" s="178">
        <f>'Moment resistant'!$H$14</f>
        <v>600.51</v>
      </c>
      <c r="S35" s="208" t="str">
        <f t="shared" si="8"/>
        <v/>
      </c>
      <c r="T35" s="209" t="str">
        <f t="shared" si="9"/>
        <v/>
      </c>
    </row>
    <row r="36" spans="2:20" ht="14.25" customHeight="1">
      <c r="F36" s="125"/>
      <c r="G36" s="91"/>
      <c r="H36" s="91"/>
      <c r="I36" s="178">
        <v>0.2</v>
      </c>
      <c r="J36" s="176" t="str">
        <f t="shared" si="0"/>
        <v>Domaine 2</v>
      </c>
      <c r="K36" s="180">
        <f t="shared" si="1"/>
        <v>0.31500000000000006</v>
      </c>
      <c r="L36" s="182" t="str">
        <f t="shared" si="2"/>
        <v>N/A</v>
      </c>
      <c r="M36" s="181" t="str">
        <f t="shared" si="3"/>
        <v>N/A</v>
      </c>
      <c r="N36" s="182">
        <f t="shared" si="4"/>
        <v>2.3015873015873015E-3</v>
      </c>
      <c r="O36" s="181">
        <f t="shared" si="5"/>
        <v>400</v>
      </c>
      <c r="P36" s="125">
        <f t="shared" si="6"/>
        <v>1034.9166666666672</v>
      </c>
      <c r="Q36" s="125">
        <f t="shared" si="7"/>
        <v>1257.1104166666671</v>
      </c>
      <c r="R36" s="178">
        <f>'Moment resistant'!$H$14</f>
        <v>600.51</v>
      </c>
      <c r="S36" s="208" t="str">
        <f t="shared" si="8"/>
        <v/>
      </c>
      <c r="T36" s="209" t="str">
        <f t="shared" si="9"/>
        <v/>
      </c>
    </row>
    <row r="37" spans="2:20" ht="14.25" customHeight="1">
      <c r="F37" s="125"/>
      <c r="G37" s="91"/>
      <c r="H37" s="184">
        <f>IF(MAX(T7:T85)&lt;0,"&lt; 0",IF(MAX(T7:T85)&gt;H11,"&gt; h",100*MAX(T7:T85)))</f>
        <v>21.665046490457051</v>
      </c>
      <c r="I37" s="178">
        <v>0.25900000000000001</v>
      </c>
      <c r="J37" s="176" t="str">
        <f t="shared" si="0"/>
        <v>Domaine 2</v>
      </c>
      <c r="K37" s="180">
        <f t="shared" si="1"/>
        <v>0.40792500000000004</v>
      </c>
      <c r="L37" s="182" t="str">
        <f t="shared" si="2"/>
        <v>N/A</v>
      </c>
      <c r="M37" s="181" t="str">
        <f t="shared" si="3"/>
        <v>N/A</v>
      </c>
      <c r="N37" s="182">
        <f t="shared" si="4"/>
        <v>3.28106591264486E-3</v>
      </c>
      <c r="O37" s="181">
        <f t="shared" si="5"/>
        <v>400</v>
      </c>
      <c r="P37" s="125">
        <f t="shared" si="6"/>
        <v>1344.666666666667</v>
      </c>
      <c r="Q37" s="125">
        <f t="shared" si="7"/>
        <v>1415.3400091666667</v>
      </c>
      <c r="R37" s="178">
        <f>'Moment resistant'!$H$14</f>
        <v>600.51</v>
      </c>
      <c r="S37" s="208" t="str">
        <f t="shared" si="8"/>
        <v/>
      </c>
      <c r="T37" s="209" t="str">
        <f t="shared" si="9"/>
        <v/>
      </c>
    </row>
    <row r="38" spans="2:20" ht="14.25" customHeight="1">
      <c r="F38" s="125"/>
      <c r="G38" s="91"/>
      <c r="H38" s="184" t="str">
        <f>IF(MAX(T7:T85)&lt;0.259*H16,"Pivot A",IF(AND(MAX(T7:T85)&gt;=0.259*H16,MAX(T7:T85)&lt;H11),"Pivot B","Pivot C"))</f>
        <v>Pivot A</v>
      </c>
      <c r="I38" s="178">
        <v>0.3</v>
      </c>
      <c r="J38" s="176" t="str">
        <f t="shared" ref="J38:J69" si="10">IF(K38&lt;=0,"Domaine 1",IF(AND(K38&gt;0,K38&lt;=$H$16*$H$21/($H$21+$H$20)),"Domaine 2",IF(K38&lt;=$H$23,"Domaine 3",IF(K38&lt;=$H$16,"Domaine 4",IF(K38&lt;=$H$11,"Domaine 4a","Domaine 5")))))</f>
        <v>Domaine 4</v>
      </c>
      <c r="K38" s="180">
        <f t="shared" ref="K38:K69" si="11">I38*$H$16</f>
        <v>0.47250000000000003</v>
      </c>
      <c r="L38" s="182">
        <f t="shared" ref="L38:L69" si="12">IF(K38&lt;=0,"N/A",IF(K38&lt;=$H$16*$H$21/($H$21+$H$20),"N/A",IF(K38&lt;=$H$23,$H$21 * ($H$16 - K38) /K38,IF(K38&lt;=$H$16,$H$21 * ($H$16 - K38) /K38,IF(K38&lt;=$H$11,$H$21 * (K38-$H$16) /K38,$H$22 * (K38 - $H$16) / (K38 -$H$11 / 2))))))</f>
        <v>8.1666666666666658E-3</v>
      </c>
      <c r="M38" s="181">
        <f t="shared" ref="M38:M69" si="13">IF(L38="N/A","N/A",IF(L38&gt;=0,MIN(L38*$H$17,$H$19),MAX(L38*$H$17,-$H$19)))</f>
        <v>400</v>
      </c>
      <c r="N38" s="182">
        <f t="shared" ref="N38:N69" si="14">IF(K38&lt;=0,$H$20*($H$15-K38)/($H$16-K38),IF(K38&lt;=$H$16*$H$21/($H$21+$H$20),$H$20*(K38-$H$15)/($H$16-K38),IF(K38&lt;=$H$23,$H$20*(K38-$H$15)/K38,IF(K38&lt;=$H$16,$H$20*(K38-$H$15)/K38,IF(K38&lt;=$H$11,$H$20*(K38-$H$15)/K38,$H$22 * (K38 - $H$15) / (K38 - $H$11 / 2))))))</f>
        <v>9.4708994708994701E-3</v>
      </c>
      <c r="O38" s="181">
        <f t="shared" ref="O38:O69" si="15">IF(N38&gt;=0,MIN(N38*$H$17,$H$19),MAX(N38*$H$17,-$H$19))</f>
        <v>400</v>
      </c>
      <c r="P38" s="125">
        <f t="shared" ref="P38:P69" si="16">1000*IF(K38&lt;0,-H$14*(O38-0.8*H$18)-H$12*H$19,IF(K38&lt;=H$16*H$21/(H$21+H$20),0.8*H$18*K38*H$10+H$14*(O38-0.8*H$18)-H$12*H$19,IF(K38&lt;=H$23,0.8*H$18*K38*H$10+H$14*(O38-0.8*H$18)-H$12*M38,IF(K38&lt;=H$16,0.8*H$18*K38*H$10+H$14*(O38-0.8*H$18)-H$12*M38,IF(K38&lt;=H$11,0.8*H$18*K38*H$10+H$14*(O38-0.8*H$18)+H$12*M38,H$18*(1-(1-0.8)*H$11/K38)*H$11*H$10+H$14*(O38-0.8*H$18)+H$12*M38)))))</f>
        <v>1559.9166666666667</v>
      </c>
      <c r="Q38" s="125">
        <f t="shared" ref="Q38:Q69" si="17">1000*IF(K38&lt;0,-H$14*(O38-0.8*H$18)*(H$11/2-H$15)-H$12*H$19*(H$11/2-H$16),IF(K38&lt;=H$16*H$21/(H$21+H$20),0.8*H$18*K38*H$10*(H$11/2-0.8*K38/2)+H$14*(O38-0.8*H$18)*(H$11/2-H$15)-H$12*H$19*(H$11/2-H$16),IF(K38&lt;=H$23,0.8*H$18*K38*H$10*(H$11/2-0.8*K38/2)+H$14*(O38-0.8*H$18)*(H$11/2-H$15)-H$12*M38*(H$11/2-H$16),IF(K38&lt;=H$16,0.8*H$18*K38*H$10*(H$11/2-0.8*K38/2)+H$14*(O38-0.8*H$18)*(H$11/2-H$15)-H$12*M38*(H$11/2-H$16),IF(K38&lt;=H$11,0.8*H$18*K38*H$10*(H$11/2-0.8*K38/2)+H$14*(O38-0.8*H$18)*(H$11/2-H$15)+H$12*M38*(H$11/2-H$16),H$18*(1-(1-0.8)*H$11/K38)*H$11*H$10*(H$11/2 -(1- (1-0.8)*H$11/K38)*H$11/2) + H$14*O38*(H$11/2-H$15)+H$12*M38*(H$11/2-H$16))))))</f>
        <v>1511.7354166666671</v>
      </c>
      <c r="R38" s="178">
        <f>'Moment resistant'!$H$14</f>
        <v>600.51</v>
      </c>
      <c r="S38" s="208" t="str">
        <f t="shared" si="8"/>
        <v/>
      </c>
      <c r="T38" s="209" t="str">
        <f t="shared" si="9"/>
        <v/>
      </c>
    </row>
    <row r="39" spans="2:20" ht="14.25" customHeight="1">
      <c r="F39" s="125"/>
      <c r="G39" s="91"/>
      <c r="H39" s="183" t="str">
        <f>IF(AND(MAX(T7:T85)&gt;0,MAX(T7:T85)&lt;H11),"Section Partiellement Comprimée",IF(MAX(T7:T85)&lt;=0,"Section Entierement Tendue","Section Entierement Comprimée "))</f>
        <v>Section Partiellement Comprimée</v>
      </c>
      <c r="I39" s="178">
        <v>0.4</v>
      </c>
      <c r="J39" s="176" t="str">
        <f t="shared" si="10"/>
        <v>Domaine 4</v>
      </c>
      <c r="K39" s="180">
        <f t="shared" si="11"/>
        <v>0.63000000000000012</v>
      </c>
      <c r="L39" s="182">
        <f t="shared" si="12"/>
        <v>5.2499999999999995E-3</v>
      </c>
      <c r="M39" s="181">
        <f t="shared" si="13"/>
        <v>400</v>
      </c>
      <c r="N39" s="182">
        <f t="shared" si="14"/>
        <v>9.6031746031746031E-3</v>
      </c>
      <c r="O39" s="181">
        <f t="shared" si="15"/>
        <v>400</v>
      </c>
      <c r="P39" s="125">
        <f t="shared" si="16"/>
        <v>2084.9166666666674</v>
      </c>
      <c r="Q39" s="125">
        <f t="shared" si="17"/>
        <v>1700.2104166666675</v>
      </c>
      <c r="R39" s="178">
        <f>'Moment resistant'!$H$14</f>
        <v>600.51</v>
      </c>
      <c r="S39" s="208" t="str">
        <f t="shared" ref="S39:S70" si="18">IF(OR(AND(P39&gt;=R39,P38&lt;=R39),AND(P39&lt;=R39,P38&gt;=R39)),Q39+(Q38-Q39)*(P39-R39)/(P39-P38),"")</f>
        <v/>
      </c>
      <c r="T39" s="209" t="str">
        <f t="shared" ref="T39:T70" si="19">IF(OR(AND(P39&gt;=R39,P38&lt;=R39),AND(P39&lt;=R39,P38&gt;=R39)),K39+(K38-K39)*(P39-R39)/(P39-P38),"")</f>
        <v/>
      </c>
    </row>
    <row r="40" spans="2:20" ht="14.25" customHeight="1">
      <c r="F40" s="125"/>
      <c r="G40" s="91"/>
      <c r="H40" s="91"/>
      <c r="I40" s="178">
        <v>0.5</v>
      </c>
      <c r="J40" s="176" t="str">
        <f t="shared" si="10"/>
        <v>Domaine 4</v>
      </c>
      <c r="K40" s="180">
        <f t="shared" si="11"/>
        <v>0.78750000000000009</v>
      </c>
      <c r="L40" s="182">
        <f t="shared" si="12"/>
        <v>3.5000000000000001E-3</v>
      </c>
      <c r="M40" s="181">
        <f t="shared" si="13"/>
        <v>400</v>
      </c>
      <c r="N40" s="182">
        <f t="shared" si="14"/>
        <v>9.6825396825396832E-3</v>
      </c>
      <c r="O40" s="181">
        <f t="shared" si="15"/>
        <v>400</v>
      </c>
      <c r="P40" s="125">
        <f t="shared" si="16"/>
        <v>2609.916666666667</v>
      </c>
      <c r="Q40" s="125">
        <f t="shared" si="17"/>
        <v>1822.5354166666671</v>
      </c>
      <c r="R40" s="178">
        <f>'Moment resistant'!$H$14</f>
        <v>600.51</v>
      </c>
      <c r="S40" s="208" t="str">
        <f t="shared" si="18"/>
        <v/>
      </c>
      <c r="T40" s="209" t="str">
        <f t="shared" si="19"/>
        <v/>
      </c>
    </row>
    <row r="41" spans="2:20" ht="14.25" customHeight="1">
      <c r="F41" s="125"/>
      <c r="G41" s="91"/>
      <c r="H41" s="91"/>
      <c r="I41" s="178">
        <v>0.55000000000000004</v>
      </c>
      <c r="J41" s="176" t="str">
        <f t="shared" si="10"/>
        <v>Domaine 4</v>
      </c>
      <c r="K41" s="180">
        <f t="shared" si="11"/>
        <v>0.86625000000000019</v>
      </c>
      <c r="L41" s="182">
        <f t="shared" si="12"/>
        <v>2.8636363636363633E-3</v>
      </c>
      <c r="M41" s="181">
        <f t="shared" si="13"/>
        <v>400</v>
      </c>
      <c r="N41" s="182">
        <f t="shared" si="14"/>
        <v>9.7113997113997107E-3</v>
      </c>
      <c r="O41" s="181">
        <f t="shared" si="15"/>
        <v>400</v>
      </c>
      <c r="P41" s="125">
        <f t="shared" si="16"/>
        <v>2872.4166666666674</v>
      </c>
      <c r="Q41" s="125">
        <f t="shared" si="17"/>
        <v>1858.8916666666673</v>
      </c>
      <c r="R41" s="178">
        <f>'Moment resistant'!$H$14</f>
        <v>600.51</v>
      </c>
      <c r="S41" s="208" t="str">
        <f t="shared" si="18"/>
        <v/>
      </c>
      <c r="T41" s="209" t="str">
        <f t="shared" si="19"/>
        <v/>
      </c>
    </row>
    <row r="42" spans="2:20" ht="14.25" customHeight="1">
      <c r="F42" s="125"/>
      <c r="G42" s="91"/>
      <c r="H42" s="91"/>
      <c r="I42" s="178">
        <v>0.6</v>
      </c>
      <c r="J42" s="176" t="str">
        <f t="shared" si="10"/>
        <v>Domaine 4</v>
      </c>
      <c r="K42" s="180">
        <f t="shared" si="11"/>
        <v>0.94500000000000006</v>
      </c>
      <c r="L42" s="182">
        <f t="shared" si="12"/>
        <v>2.3333333333333335E-3</v>
      </c>
      <c r="M42" s="181">
        <f t="shared" si="13"/>
        <v>400</v>
      </c>
      <c r="N42" s="182">
        <f t="shared" si="14"/>
        <v>9.7354497354497343E-3</v>
      </c>
      <c r="O42" s="181">
        <f t="shared" si="15"/>
        <v>400</v>
      </c>
      <c r="P42" s="125">
        <f t="shared" si="16"/>
        <v>3134.916666666667</v>
      </c>
      <c r="Q42" s="125">
        <f t="shared" si="17"/>
        <v>1878.710416666667</v>
      </c>
      <c r="R42" s="178">
        <f>'Moment resistant'!$H$14</f>
        <v>600.51</v>
      </c>
      <c r="S42" s="208" t="str">
        <f t="shared" si="18"/>
        <v/>
      </c>
      <c r="T42" s="209" t="str">
        <f t="shared" si="19"/>
        <v/>
      </c>
    </row>
    <row r="43" spans="2:20" ht="14.25" customHeight="1">
      <c r="F43" s="125"/>
      <c r="G43" s="91"/>
      <c r="H43" s="91"/>
      <c r="I43" s="178">
        <v>0.7</v>
      </c>
      <c r="J43" s="176" t="str">
        <f t="shared" si="10"/>
        <v>Domaine 4</v>
      </c>
      <c r="K43" s="180">
        <f t="shared" si="11"/>
        <v>1.1025</v>
      </c>
      <c r="L43" s="182">
        <f t="shared" si="12"/>
        <v>1.5000000000000005E-3</v>
      </c>
      <c r="M43" s="181">
        <f t="shared" si="13"/>
        <v>300.00000000000011</v>
      </c>
      <c r="N43" s="182">
        <f t="shared" si="14"/>
        <v>9.7732426303854883E-3</v>
      </c>
      <c r="O43" s="181">
        <f t="shared" si="15"/>
        <v>400</v>
      </c>
      <c r="P43" s="125">
        <f t="shared" si="16"/>
        <v>3750.4166666666674</v>
      </c>
      <c r="Q43" s="125">
        <f t="shared" si="17"/>
        <v>1798.5979166666673</v>
      </c>
      <c r="R43" s="178">
        <f>'Moment resistant'!$H$14</f>
        <v>600.51</v>
      </c>
      <c r="S43" s="208" t="str">
        <f t="shared" si="18"/>
        <v/>
      </c>
      <c r="T43" s="209" t="str">
        <f t="shared" si="19"/>
        <v/>
      </c>
    </row>
    <row r="44" spans="2:20" ht="14.25" customHeight="1">
      <c r="F44" s="125"/>
      <c r="G44" s="91"/>
      <c r="H44" s="91"/>
      <c r="I44" s="178">
        <v>0.8</v>
      </c>
      <c r="J44" s="176" t="str">
        <f t="shared" si="10"/>
        <v>Domaine 4</v>
      </c>
      <c r="K44" s="180">
        <f t="shared" si="11"/>
        <v>1.2600000000000002</v>
      </c>
      <c r="L44" s="182">
        <f t="shared" si="12"/>
        <v>8.7499999999999969E-4</v>
      </c>
      <c r="M44" s="181">
        <f t="shared" si="13"/>
        <v>174.99999999999994</v>
      </c>
      <c r="N44" s="182">
        <f t="shared" si="14"/>
        <v>9.8015873015873025E-3</v>
      </c>
      <c r="O44" s="181">
        <f t="shared" si="15"/>
        <v>400</v>
      </c>
      <c r="P44" s="125">
        <f t="shared" si="16"/>
        <v>4388.5416666666688</v>
      </c>
      <c r="Q44" s="125">
        <f t="shared" si="17"/>
        <v>1634.8010416666671</v>
      </c>
      <c r="R44" s="178">
        <f>'Moment resistant'!$H$14</f>
        <v>600.51</v>
      </c>
      <c r="S44" s="208" t="str">
        <f t="shared" si="18"/>
        <v/>
      </c>
      <c r="T44" s="209" t="str">
        <f t="shared" si="19"/>
        <v/>
      </c>
    </row>
    <row r="45" spans="2:20" ht="14.25" customHeight="1">
      <c r="F45" s="125"/>
      <c r="G45" s="91"/>
      <c r="H45" s="91"/>
      <c r="I45" s="178">
        <v>0.9</v>
      </c>
      <c r="J45" s="176" t="str">
        <f t="shared" si="10"/>
        <v>Domaine 4</v>
      </c>
      <c r="K45" s="180">
        <f t="shared" si="11"/>
        <v>1.4175000000000002</v>
      </c>
      <c r="L45" s="182">
        <f t="shared" si="12"/>
        <v>3.8888888888888876E-4</v>
      </c>
      <c r="M45" s="181">
        <f t="shared" si="13"/>
        <v>77.777777777777757</v>
      </c>
      <c r="N45" s="182">
        <f t="shared" si="14"/>
        <v>9.8236331569664919E-3</v>
      </c>
      <c r="O45" s="181">
        <f t="shared" si="15"/>
        <v>400</v>
      </c>
      <c r="P45" s="125">
        <f t="shared" si="16"/>
        <v>5001.5277777777783</v>
      </c>
      <c r="Q45" s="125">
        <f t="shared" si="17"/>
        <v>1424.3368055555557</v>
      </c>
      <c r="R45" s="178">
        <f>'Moment resistant'!$H$14</f>
        <v>600.51</v>
      </c>
      <c r="S45" s="208" t="str">
        <f t="shared" si="18"/>
        <v/>
      </c>
      <c r="T45" s="209" t="str">
        <f t="shared" si="19"/>
        <v/>
      </c>
    </row>
    <row r="46" spans="2:20" ht="14.25" customHeight="1">
      <c r="F46" s="125"/>
      <c r="G46" s="91"/>
      <c r="H46" s="91"/>
      <c r="I46" s="178">
        <v>0.95</v>
      </c>
      <c r="J46" s="176" t="str">
        <f t="shared" si="10"/>
        <v>Domaine 4</v>
      </c>
      <c r="K46" s="180">
        <f t="shared" si="11"/>
        <v>1.4962500000000001</v>
      </c>
      <c r="L46" s="182">
        <f t="shared" si="12"/>
        <v>1.8421052631578972E-4</v>
      </c>
      <c r="M46" s="181">
        <f t="shared" si="13"/>
        <v>36.842105263157947</v>
      </c>
      <c r="N46" s="182">
        <f t="shared" si="14"/>
        <v>9.8329156223893079E-3</v>
      </c>
      <c r="O46" s="181">
        <f t="shared" si="15"/>
        <v>400</v>
      </c>
      <c r="P46" s="125">
        <f t="shared" si="16"/>
        <v>5301.0745614035104</v>
      </c>
      <c r="Q46" s="125">
        <f t="shared" si="17"/>
        <v>1299.6817982456141</v>
      </c>
      <c r="R46" s="178">
        <f>'Moment resistant'!$H$14</f>
        <v>600.51</v>
      </c>
      <c r="S46" s="208" t="str">
        <f t="shared" si="18"/>
        <v/>
      </c>
      <c r="T46" s="209" t="str">
        <f t="shared" si="19"/>
        <v/>
      </c>
    </row>
    <row r="47" spans="2:20" ht="14.25" customHeight="1">
      <c r="F47" s="125"/>
      <c r="G47" s="91"/>
      <c r="H47" s="91"/>
      <c r="I47" s="178">
        <v>1</v>
      </c>
      <c r="J47" s="176" t="str">
        <f t="shared" si="10"/>
        <v>Domaine 4</v>
      </c>
      <c r="K47" s="180">
        <f t="shared" si="11"/>
        <v>1.5750000000000002</v>
      </c>
      <c r="L47" s="182">
        <f t="shared" si="12"/>
        <v>0</v>
      </c>
      <c r="M47" s="181">
        <f t="shared" si="13"/>
        <v>0</v>
      </c>
      <c r="N47" s="182">
        <f t="shared" si="14"/>
        <v>9.8412698412698417E-3</v>
      </c>
      <c r="O47" s="181">
        <f t="shared" si="15"/>
        <v>400</v>
      </c>
      <c r="P47" s="125">
        <f t="shared" si="16"/>
        <v>5596.9166666666679</v>
      </c>
      <c r="Q47" s="125">
        <f t="shared" si="17"/>
        <v>1161.3604166666664</v>
      </c>
      <c r="R47" s="178">
        <f>'Moment resistant'!$H$14</f>
        <v>600.51</v>
      </c>
      <c r="S47" s="208" t="str">
        <f t="shared" si="18"/>
        <v/>
      </c>
      <c r="T47" s="209" t="str">
        <f t="shared" si="19"/>
        <v/>
      </c>
    </row>
    <row r="48" spans="2:20" ht="14.25" customHeight="1">
      <c r="B48" s="91">
        <v>0</v>
      </c>
      <c r="F48" s="125"/>
      <c r="G48" s="91"/>
      <c r="H48" s="91"/>
      <c r="I48" s="178">
        <v>1.02</v>
      </c>
      <c r="J48" s="176" t="str">
        <f t="shared" si="10"/>
        <v>Domaine 5</v>
      </c>
      <c r="K48" s="180">
        <f t="shared" si="11"/>
        <v>1.6065000000000003</v>
      </c>
      <c r="L48" s="182">
        <f t="shared" si="12"/>
        <v>7.8115313081215311E-5</v>
      </c>
      <c r="M48" s="181">
        <f t="shared" si="13"/>
        <v>15.623062616243063</v>
      </c>
      <c r="N48" s="182">
        <f t="shared" si="14"/>
        <v>3.9218846869187845E-3</v>
      </c>
      <c r="O48" s="181">
        <f t="shared" si="15"/>
        <v>400</v>
      </c>
      <c r="P48" s="125">
        <f t="shared" si="16"/>
        <v>5699.7836221604903</v>
      </c>
      <c r="Q48" s="125">
        <f t="shared" si="17"/>
        <v>1120.332735154381</v>
      </c>
      <c r="R48" s="178">
        <f>'Moment resistant'!$H$14</f>
        <v>600.51</v>
      </c>
      <c r="S48" s="208" t="str">
        <f t="shared" si="18"/>
        <v/>
      </c>
      <c r="T48" s="209" t="str">
        <f t="shared" si="19"/>
        <v/>
      </c>
    </row>
    <row r="49" spans="2:20" ht="14.25" customHeight="1">
      <c r="B49" s="91">
        <v>1</v>
      </c>
      <c r="C49" s="91" t="s">
        <v>160</v>
      </c>
      <c r="D49" s="91">
        <v>8</v>
      </c>
      <c r="E49" s="125">
        <f t="shared" ref="E49:E57" si="20">0.01*PI()*D49*D49/4</f>
        <v>0.50265482457436694</v>
      </c>
      <c r="F49" s="125"/>
      <c r="G49" s="91"/>
      <c r="H49" s="91"/>
      <c r="I49" s="178">
        <v>1.04</v>
      </c>
      <c r="J49" s="176" t="str">
        <f t="shared" si="10"/>
        <v>Domaine 5</v>
      </c>
      <c r="K49" s="180">
        <f t="shared" si="11"/>
        <v>1.6380000000000003</v>
      </c>
      <c r="L49" s="182">
        <f t="shared" si="12"/>
        <v>1.5035799522673064E-4</v>
      </c>
      <c r="M49" s="181">
        <f t="shared" si="13"/>
        <v>30.071599045346129</v>
      </c>
      <c r="N49" s="182">
        <f t="shared" si="14"/>
        <v>3.8496420047732694E-3</v>
      </c>
      <c r="O49" s="181">
        <f t="shared" si="15"/>
        <v>400</v>
      </c>
      <c r="P49" s="125">
        <f t="shared" si="16"/>
        <v>5738.3968280680692</v>
      </c>
      <c r="Q49" s="125">
        <f t="shared" si="17"/>
        <v>1097.829675841019</v>
      </c>
      <c r="R49" s="178">
        <f>'Moment resistant'!$H$14</f>
        <v>600.51</v>
      </c>
      <c r="S49" s="208" t="str">
        <f t="shared" si="18"/>
        <v/>
      </c>
      <c r="T49" s="209" t="str">
        <f t="shared" si="19"/>
        <v/>
      </c>
    </row>
    <row r="50" spans="2:20" ht="14.25" customHeight="1">
      <c r="B50" s="91">
        <v>2</v>
      </c>
      <c r="C50" s="91" t="s">
        <v>159</v>
      </c>
      <c r="D50" s="91">
        <v>10</v>
      </c>
      <c r="E50" s="125">
        <f t="shared" si="20"/>
        <v>0.78539816339744828</v>
      </c>
      <c r="F50" s="125"/>
      <c r="G50" s="91"/>
      <c r="H50" s="91"/>
      <c r="I50" s="178">
        <v>1.06</v>
      </c>
      <c r="J50" s="176" t="str">
        <f t="shared" si="10"/>
        <v>Domaine 5</v>
      </c>
      <c r="K50" s="180">
        <f t="shared" si="11"/>
        <v>1.6695000000000002</v>
      </c>
      <c r="L50" s="182">
        <f t="shared" si="12"/>
        <v>2.1736630247268549E-4</v>
      </c>
      <c r="M50" s="181">
        <f t="shared" si="13"/>
        <v>43.473260494537101</v>
      </c>
      <c r="N50" s="182">
        <f t="shared" si="14"/>
        <v>3.7826336975273146E-3</v>
      </c>
      <c r="O50" s="181">
        <f t="shared" si="15"/>
        <v>400</v>
      </c>
      <c r="P50" s="125">
        <f t="shared" si="16"/>
        <v>5775.0989411588571</v>
      </c>
      <c r="Q50" s="125">
        <f t="shared" si="17"/>
        <v>1076.3798627224569</v>
      </c>
      <c r="R50" s="178">
        <f>'Moment resistant'!$H$14</f>
        <v>600.51</v>
      </c>
      <c r="S50" s="208" t="str">
        <f t="shared" si="18"/>
        <v/>
      </c>
      <c r="T50" s="209" t="str">
        <f t="shared" si="19"/>
        <v/>
      </c>
    </row>
    <row r="51" spans="2:20" ht="14.25" customHeight="1">
      <c r="B51" s="91">
        <v>3</v>
      </c>
      <c r="C51" s="91" t="s">
        <v>108</v>
      </c>
      <c r="D51" s="91">
        <v>12</v>
      </c>
      <c r="E51" s="125">
        <f t="shared" si="20"/>
        <v>1.1309733552923256</v>
      </c>
      <c r="F51" s="125"/>
      <c r="G51" s="91"/>
      <c r="H51" s="91"/>
      <c r="I51" s="178">
        <v>1.08</v>
      </c>
      <c r="J51" s="176" t="str">
        <f t="shared" si="10"/>
        <v>Domaine 5</v>
      </c>
      <c r="K51" s="180">
        <f t="shared" si="11"/>
        <v>1.7010000000000003</v>
      </c>
      <c r="L51" s="182">
        <f t="shared" si="12"/>
        <v>2.7968923418423988E-4</v>
      </c>
      <c r="M51" s="181">
        <f t="shared" si="13"/>
        <v>55.937846836847974</v>
      </c>
      <c r="N51" s="182">
        <f t="shared" si="14"/>
        <v>3.7203107658157603E-3</v>
      </c>
      <c r="O51" s="181">
        <f t="shared" si="15"/>
        <v>400</v>
      </c>
      <c r="P51" s="125">
        <f t="shared" si="16"/>
        <v>5810.0428675935027</v>
      </c>
      <c r="Q51" s="125">
        <f t="shared" si="17"/>
        <v>1055.8966203538819</v>
      </c>
      <c r="R51" s="178">
        <f>'Moment resistant'!$H$14</f>
        <v>600.51</v>
      </c>
      <c r="S51" s="208" t="str">
        <f t="shared" si="18"/>
        <v/>
      </c>
      <c r="T51" s="209" t="str">
        <f t="shared" si="19"/>
        <v/>
      </c>
    </row>
    <row r="52" spans="2:20" ht="14.25" customHeight="1">
      <c r="B52" s="91">
        <v>4</v>
      </c>
      <c r="C52" s="91" t="s">
        <v>109</v>
      </c>
      <c r="D52" s="91">
        <v>14</v>
      </c>
      <c r="E52" s="125">
        <f t="shared" si="20"/>
        <v>1.5393804002589988</v>
      </c>
      <c r="F52" s="125"/>
      <c r="G52" s="91"/>
      <c r="H52" s="91"/>
      <c r="I52" s="178">
        <v>1.0900000000000001</v>
      </c>
      <c r="J52" s="176" t="str">
        <f t="shared" si="10"/>
        <v>Domaine 5</v>
      </c>
      <c r="K52" s="180">
        <f t="shared" si="11"/>
        <v>1.7167500000000002</v>
      </c>
      <c r="L52" s="182">
        <f t="shared" si="12"/>
        <v>3.0924461412598864E-4</v>
      </c>
      <c r="M52" s="181">
        <f t="shared" si="13"/>
        <v>61.848922825197725</v>
      </c>
      <c r="N52" s="182">
        <f t="shared" si="14"/>
        <v>3.6907553858740116E-3</v>
      </c>
      <c r="O52" s="181">
        <f t="shared" si="15"/>
        <v>400</v>
      </c>
      <c r="P52" s="125">
        <f t="shared" si="16"/>
        <v>5826.8984850980705</v>
      </c>
      <c r="Q52" s="125">
        <f t="shared" si="17"/>
        <v>1045.9933050712557</v>
      </c>
      <c r="R52" s="178">
        <f>'Moment resistant'!$H$14</f>
        <v>600.51</v>
      </c>
      <c r="S52" s="208" t="str">
        <f t="shared" si="18"/>
        <v/>
      </c>
      <c r="T52" s="209" t="str">
        <f t="shared" si="19"/>
        <v/>
      </c>
    </row>
    <row r="53" spans="2:20" ht="14.25" customHeight="1">
      <c r="B53" s="91">
        <v>5</v>
      </c>
      <c r="C53" s="91" t="s">
        <v>106</v>
      </c>
      <c r="D53" s="91">
        <v>16</v>
      </c>
      <c r="E53" s="125">
        <f t="shared" si="20"/>
        <v>2.0106192982974678</v>
      </c>
      <c r="F53" s="125"/>
      <c r="G53" s="91"/>
      <c r="H53" s="91"/>
      <c r="I53" s="178">
        <v>1.095</v>
      </c>
      <c r="J53" s="176" t="str">
        <f t="shared" si="10"/>
        <v>Domaine 5</v>
      </c>
      <c r="K53" s="180">
        <f t="shared" si="11"/>
        <v>1.7246250000000001</v>
      </c>
      <c r="L53" s="182">
        <f t="shared" si="12"/>
        <v>3.2364472083276982E-4</v>
      </c>
      <c r="M53" s="181">
        <f t="shared" si="13"/>
        <v>64.728944166553958</v>
      </c>
      <c r="N53" s="182">
        <f t="shared" si="14"/>
        <v>3.6763552791672302E-3</v>
      </c>
      <c r="O53" s="181">
        <f t="shared" si="15"/>
        <v>400</v>
      </c>
      <c r="P53" s="125">
        <f t="shared" si="16"/>
        <v>5835.1791424183539</v>
      </c>
      <c r="Q53" s="125">
        <f t="shared" si="17"/>
        <v>1041.1223491692808</v>
      </c>
      <c r="R53" s="178">
        <f>'Moment resistant'!$H$14</f>
        <v>600.51</v>
      </c>
      <c r="S53" s="208" t="str">
        <f t="shared" si="18"/>
        <v/>
      </c>
      <c r="T53" s="209" t="str">
        <f t="shared" si="19"/>
        <v/>
      </c>
    </row>
    <row r="54" spans="2:20" ht="14.25" customHeight="1">
      <c r="B54" s="91">
        <v>6</v>
      </c>
      <c r="C54" s="91" t="s">
        <v>158</v>
      </c>
      <c r="D54" s="91">
        <v>20</v>
      </c>
      <c r="E54" s="125">
        <f t="shared" si="20"/>
        <v>3.1415926535897931</v>
      </c>
      <c r="F54" s="125"/>
      <c r="G54" s="91"/>
      <c r="H54" s="91"/>
      <c r="I54" s="178">
        <v>1</v>
      </c>
      <c r="J54" s="176" t="str">
        <f t="shared" si="10"/>
        <v>Domaine 4</v>
      </c>
      <c r="K54" s="180">
        <f t="shared" si="11"/>
        <v>1.5750000000000002</v>
      </c>
      <c r="L54" s="182">
        <f t="shared" si="12"/>
        <v>0</v>
      </c>
      <c r="M54" s="181">
        <f t="shared" si="13"/>
        <v>0</v>
      </c>
      <c r="N54" s="182">
        <f t="shared" si="14"/>
        <v>9.8412698412698417E-3</v>
      </c>
      <c r="O54" s="181">
        <f t="shared" si="15"/>
        <v>400</v>
      </c>
      <c r="P54" s="125">
        <f t="shared" si="16"/>
        <v>5596.9166666666679</v>
      </c>
      <c r="Q54" s="125">
        <f t="shared" si="17"/>
        <v>1161.3604166666664</v>
      </c>
      <c r="R54" s="178">
        <f>'Moment resistant'!$H$14</f>
        <v>600.51</v>
      </c>
      <c r="S54" s="208" t="str">
        <f t="shared" si="18"/>
        <v/>
      </c>
      <c r="T54" s="209" t="str">
        <f t="shared" si="19"/>
        <v/>
      </c>
    </row>
    <row r="55" spans="2:20" ht="14.25" customHeight="1">
      <c r="B55" s="91">
        <v>7</v>
      </c>
      <c r="C55" s="91" t="s">
        <v>157</v>
      </c>
      <c r="D55" s="91">
        <v>25</v>
      </c>
      <c r="E55" s="125">
        <f t="shared" si="20"/>
        <v>4.9087385212340529</v>
      </c>
      <c r="F55" s="125"/>
      <c r="G55" s="91"/>
      <c r="H55" s="91"/>
      <c r="I55" s="178">
        <v>1.1000000000000001</v>
      </c>
      <c r="J55" s="176" t="str">
        <f t="shared" si="10"/>
        <v>Domaine 5</v>
      </c>
      <c r="K55" s="180">
        <f t="shared" si="11"/>
        <v>1.7325000000000004</v>
      </c>
      <c r="L55" s="182">
        <f t="shared" si="12"/>
        <v>3.3780160857908875E-4</v>
      </c>
      <c r="M55" s="181">
        <f t="shared" si="13"/>
        <v>67.56032171581775</v>
      </c>
      <c r="N55" s="182">
        <f t="shared" si="14"/>
        <v>3.6621983914209111E-3</v>
      </c>
      <c r="O55" s="181">
        <f t="shared" si="15"/>
        <v>400</v>
      </c>
      <c r="P55" s="125">
        <f t="shared" si="16"/>
        <v>5843.3641931249185</v>
      </c>
      <c r="Q55" s="125">
        <f t="shared" si="17"/>
        <v>1036.3038065936191</v>
      </c>
      <c r="R55" s="178">
        <f>'Moment resistant'!$H$14</f>
        <v>600.51</v>
      </c>
      <c r="S55" s="208" t="str">
        <f t="shared" si="18"/>
        <v/>
      </c>
      <c r="T55" s="209" t="str">
        <f t="shared" si="19"/>
        <v/>
      </c>
    </row>
    <row r="56" spans="2:20" ht="14.25" customHeight="1">
      <c r="B56" s="91">
        <v>8</v>
      </c>
      <c r="C56" s="91" t="s">
        <v>156</v>
      </c>
      <c r="D56" s="91">
        <v>32</v>
      </c>
      <c r="E56" s="125">
        <f t="shared" si="20"/>
        <v>8.0424771931898711</v>
      </c>
      <c r="F56" s="125"/>
      <c r="G56" s="91"/>
      <c r="H56" s="91"/>
      <c r="I56" s="178">
        <v>1.1100000000000001</v>
      </c>
      <c r="J56" s="176" t="str">
        <f t="shared" si="10"/>
        <v>Domaine 5</v>
      </c>
      <c r="K56" s="180">
        <f t="shared" si="11"/>
        <v>1.7482500000000003</v>
      </c>
      <c r="L56" s="182">
        <f t="shared" si="12"/>
        <v>3.6540996572633812E-4</v>
      </c>
      <c r="M56" s="181">
        <f t="shared" si="13"/>
        <v>73.081993145267617</v>
      </c>
      <c r="N56" s="182">
        <f t="shared" si="14"/>
        <v>3.6345900342736616E-3</v>
      </c>
      <c r="O56" s="181">
        <f t="shared" si="15"/>
        <v>400</v>
      </c>
      <c r="P56" s="125">
        <f t="shared" si="16"/>
        <v>5859.4546501952482</v>
      </c>
      <c r="Q56" s="125">
        <f t="shared" si="17"/>
        <v>1026.8199806993343</v>
      </c>
      <c r="R56" s="178">
        <f>'Moment resistant'!$H$14</f>
        <v>600.51</v>
      </c>
      <c r="S56" s="208" t="str">
        <f t="shared" si="18"/>
        <v/>
      </c>
      <c r="T56" s="209" t="str">
        <f t="shared" si="19"/>
        <v/>
      </c>
    </row>
    <row r="57" spans="2:20" ht="14.25" customHeight="1">
      <c r="B57" s="91">
        <v>9</v>
      </c>
      <c r="C57" s="91" t="s">
        <v>155</v>
      </c>
      <c r="D57" s="91">
        <v>40</v>
      </c>
      <c r="E57" s="125">
        <f t="shared" si="20"/>
        <v>12.566370614359172</v>
      </c>
      <c r="F57" s="125"/>
      <c r="G57" s="91"/>
      <c r="H57" s="91"/>
      <c r="I57" s="178">
        <v>1.1200000000000001</v>
      </c>
      <c r="J57" s="176" t="str">
        <f t="shared" si="10"/>
        <v>Domaine 5</v>
      </c>
      <c r="K57" s="180">
        <f t="shared" si="11"/>
        <v>1.7640000000000005</v>
      </c>
      <c r="L57" s="182">
        <f t="shared" si="12"/>
        <v>3.9211618257261455E-4</v>
      </c>
      <c r="M57" s="181">
        <f t="shared" si="13"/>
        <v>78.423236514522912</v>
      </c>
      <c r="N57" s="182">
        <f t="shared" si="14"/>
        <v>3.6078838174273854E-3</v>
      </c>
      <c r="O57" s="181">
        <f t="shared" si="15"/>
        <v>400</v>
      </c>
      <c r="P57" s="125">
        <f t="shared" si="16"/>
        <v>5875.1837244349108</v>
      </c>
      <c r="Q57" s="125">
        <f t="shared" si="17"/>
        <v>1017.5341515559446</v>
      </c>
      <c r="R57" s="178">
        <f>'Moment resistant'!$H$14</f>
        <v>600.51</v>
      </c>
      <c r="S57" s="208" t="str">
        <f t="shared" si="18"/>
        <v/>
      </c>
      <c r="T57" s="209" t="str">
        <f t="shared" si="19"/>
        <v/>
      </c>
    </row>
    <row r="58" spans="2:20" ht="14.25" customHeight="1">
      <c r="F58" s="125"/>
      <c r="G58" s="91"/>
      <c r="H58" s="91"/>
      <c r="I58" s="178">
        <v>1.1299999999999999</v>
      </c>
      <c r="J58" s="176" t="str">
        <f t="shared" si="10"/>
        <v>Domaine 5</v>
      </c>
      <c r="K58" s="180">
        <f t="shared" si="11"/>
        <v>1.7797499999999999</v>
      </c>
      <c r="L58" s="182">
        <f t="shared" si="12"/>
        <v>4.179637662669044E-4</v>
      </c>
      <c r="M58" s="181">
        <f t="shared" si="13"/>
        <v>83.592753253380877</v>
      </c>
      <c r="N58" s="182">
        <f t="shared" si="14"/>
        <v>3.5820362337330956E-3</v>
      </c>
      <c r="O58" s="181">
        <f t="shared" si="15"/>
        <v>400</v>
      </c>
      <c r="P58" s="125">
        <f t="shared" si="16"/>
        <v>5890.5645498087451</v>
      </c>
      <c r="Q58" s="125">
        <f t="shared" si="17"/>
        <v>1008.4390758028696</v>
      </c>
      <c r="R58" s="178">
        <f>'Moment resistant'!$H$14</f>
        <v>600.51</v>
      </c>
      <c r="S58" s="208" t="str">
        <f t="shared" si="18"/>
        <v/>
      </c>
      <c r="T58" s="209" t="str">
        <f t="shared" si="19"/>
        <v/>
      </c>
    </row>
    <row r="59" spans="2:20" ht="14.25" customHeight="1">
      <c r="F59" s="125"/>
      <c r="G59" s="91"/>
      <c r="H59" s="91"/>
      <c r="I59" s="178">
        <v>1.1399999999999999</v>
      </c>
      <c r="J59" s="176" t="str">
        <f t="shared" si="10"/>
        <v>Domaine 5</v>
      </c>
      <c r="K59" s="180">
        <f t="shared" si="11"/>
        <v>1.7955000000000001</v>
      </c>
      <c r="L59" s="182">
        <f t="shared" si="12"/>
        <v>4.4299347061777981E-4</v>
      </c>
      <c r="M59" s="181">
        <f t="shared" si="13"/>
        <v>88.598694123555958</v>
      </c>
      <c r="N59" s="182">
        <f t="shared" si="14"/>
        <v>3.5570065293822201E-3</v>
      </c>
      <c r="O59" s="181">
        <f t="shared" si="15"/>
        <v>400</v>
      </c>
      <c r="P59" s="125">
        <f t="shared" si="16"/>
        <v>5905.6095773946654</v>
      </c>
      <c r="Q59" s="125">
        <f t="shared" si="17"/>
        <v>999.52791000785021</v>
      </c>
      <c r="R59" s="178">
        <f>'Moment resistant'!$H$14</f>
        <v>600.51</v>
      </c>
      <c r="S59" s="208" t="str">
        <f t="shared" si="18"/>
        <v/>
      </c>
      <c r="T59" s="209" t="str">
        <f t="shared" si="19"/>
        <v/>
      </c>
    </row>
    <row r="60" spans="2:20" ht="14.25" customHeight="1">
      <c r="F60" s="125"/>
      <c r="G60" s="91"/>
      <c r="H60" s="91"/>
      <c r="I60" s="178">
        <v>1.1499999999999999</v>
      </c>
      <c r="J60" s="176" t="str">
        <f t="shared" si="10"/>
        <v>Domaine 5</v>
      </c>
      <c r="K60" s="180">
        <f t="shared" si="11"/>
        <v>1.81125</v>
      </c>
      <c r="L60" s="182">
        <f t="shared" si="12"/>
        <v>4.6724351050679824E-4</v>
      </c>
      <c r="M60" s="181">
        <f t="shared" si="13"/>
        <v>93.448702101359643</v>
      </c>
      <c r="N60" s="182">
        <f t="shared" si="14"/>
        <v>3.5327564894932018E-3</v>
      </c>
      <c r="O60" s="181">
        <f t="shared" si="15"/>
        <v>400</v>
      </c>
      <c r="P60" s="125">
        <f t="shared" si="16"/>
        <v>5920.3306222156252</v>
      </c>
      <c r="Q60" s="125">
        <f t="shared" si="17"/>
        <v>990.79418112829114</v>
      </c>
      <c r="R60" s="178">
        <f>'Moment resistant'!$H$14</f>
        <v>600.51</v>
      </c>
      <c r="S60" s="208" t="str">
        <f t="shared" si="18"/>
        <v/>
      </c>
      <c r="T60" s="209" t="str">
        <f t="shared" si="19"/>
        <v/>
      </c>
    </row>
    <row r="61" spans="2:20" ht="14.25" customHeight="1">
      <c r="F61" s="125"/>
      <c r="G61" s="91"/>
      <c r="H61" s="91"/>
      <c r="I61" s="178">
        <v>1.2</v>
      </c>
      <c r="J61" s="176" t="str">
        <f t="shared" si="10"/>
        <v>Domaine 5</v>
      </c>
      <c r="K61" s="180">
        <f t="shared" si="11"/>
        <v>1.8900000000000001</v>
      </c>
      <c r="L61" s="182">
        <f t="shared" si="12"/>
        <v>5.7798165137614669E-4</v>
      </c>
      <c r="M61" s="181">
        <f t="shared" si="13"/>
        <v>115.59633027522933</v>
      </c>
      <c r="N61" s="182">
        <f t="shared" si="14"/>
        <v>3.4220183486238535E-3</v>
      </c>
      <c r="O61" s="181">
        <f t="shared" si="15"/>
        <v>400</v>
      </c>
      <c r="P61" s="125">
        <f t="shared" si="16"/>
        <v>5989.4502168179552</v>
      </c>
      <c r="Q61" s="125">
        <f t="shared" si="17"/>
        <v>949.58326990642013</v>
      </c>
      <c r="R61" s="178">
        <f>'Moment resistant'!$H$14</f>
        <v>600.51</v>
      </c>
      <c r="S61" s="208" t="str">
        <f t="shared" si="18"/>
        <v/>
      </c>
      <c r="T61" s="209" t="str">
        <f t="shared" si="19"/>
        <v/>
      </c>
    </row>
    <row r="62" spans="2:20" ht="14.25" customHeight="1">
      <c r="F62" s="125"/>
      <c r="G62" s="91"/>
      <c r="H62" s="91"/>
      <c r="I62" s="178">
        <v>1.3</v>
      </c>
      <c r="J62" s="176" t="str">
        <f t="shared" si="10"/>
        <v>Domaine 5</v>
      </c>
      <c r="K62" s="180">
        <f t="shared" si="11"/>
        <v>2.0475000000000003</v>
      </c>
      <c r="L62" s="182">
        <f t="shared" si="12"/>
        <v>7.5751503006012035E-4</v>
      </c>
      <c r="M62" s="181">
        <f t="shared" si="13"/>
        <v>151.50300601202406</v>
      </c>
      <c r="N62" s="182">
        <f t="shared" si="14"/>
        <v>3.2424849699398796E-3</v>
      </c>
      <c r="O62" s="181">
        <f t="shared" si="15"/>
        <v>400</v>
      </c>
      <c r="P62" s="125">
        <f t="shared" si="16"/>
        <v>6108.7725118531744</v>
      </c>
      <c r="Q62" s="125">
        <f t="shared" si="17"/>
        <v>877.55447778340999</v>
      </c>
      <c r="R62" s="178">
        <f>'Moment resistant'!$H$14</f>
        <v>600.51</v>
      </c>
      <c r="S62" s="208" t="str">
        <f t="shared" si="18"/>
        <v/>
      </c>
      <c r="T62" s="209" t="str">
        <f t="shared" si="19"/>
        <v/>
      </c>
    </row>
    <row r="63" spans="2:20" ht="14.25" customHeight="1">
      <c r="F63" s="125"/>
      <c r="G63" s="91"/>
      <c r="H63" s="91"/>
      <c r="I63" s="178">
        <v>1.32</v>
      </c>
      <c r="J63" s="176" t="str">
        <f t="shared" si="10"/>
        <v>Domaine 5</v>
      </c>
      <c r="K63" s="180">
        <f t="shared" si="11"/>
        <v>2.0790000000000002</v>
      </c>
      <c r="L63" s="182">
        <f t="shared" si="12"/>
        <v>7.8811571540265827E-4</v>
      </c>
      <c r="M63" s="181">
        <f t="shared" si="13"/>
        <v>157.62314308053166</v>
      </c>
      <c r="N63" s="182">
        <f t="shared" si="14"/>
        <v>3.2118842845973417E-3</v>
      </c>
      <c r="O63" s="181">
        <f t="shared" si="15"/>
        <v>400</v>
      </c>
      <c r="P63" s="125">
        <f t="shared" si="16"/>
        <v>6130.0979183535219</v>
      </c>
      <c r="Q63" s="125">
        <f t="shared" si="17"/>
        <v>864.55034875442561</v>
      </c>
      <c r="R63" s="178">
        <f>'Moment resistant'!$H$14</f>
        <v>600.51</v>
      </c>
      <c r="S63" s="208" t="str">
        <f t="shared" si="18"/>
        <v/>
      </c>
      <c r="T63" s="209" t="str">
        <f t="shared" si="19"/>
        <v/>
      </c>
    </row>
    <row r="64" spans="2:20" ht="14.25" customHeight="1">
      <c r="F64" s="125"/>
      <c r="G64" s="91"/>
      <c r="H64" s="91"/>
      <c r="I64" s="178">
        <v>1.325</v>
      </c>
      <c r="J64" s="176" t="str">
        <f t="shared" si="10"/>
        <v>Domaine 5</v>
      </c>
      <c r="K64" s="180">
        <f t="shared" si="11"/>
        <v>2.086875</v>
      </c>
      <c r="L64" s="182">
        <f t="shared" si="12"/>
        <v>7.9553181155900905E-4</v>
      </c>
      <c r="M64" s="181">
        <f t="shared" si="13"/>
        <v>159.1063623118018</v>
      </c>
      <c r="N64" s="182">
        <f t="shared" si="14"/>
        <v>3.2044681884409914E-3</v>
      </c>
      <c r="O64" s="181">
        <f t="shared" si="15"/>
        <v>400</v>
      </c>
      <c r="P64" s="125">
        <f t="shared" si="16"/>
        <v>6135.312436887888</v>
      </c>
      <c r="Q64" s="125">
        <f t="shared" si="17"/>
        <v>861.3641091407402</v>
      </c>
      <c r="R64" s="178">
        <f>'Moment resistant'!$H$14</f>
        <v>600.51</v>
      </c>
      <c r="S64" s="208" t="str">
        <f t="shared" si="18"/>
        <v/>
      </c>
      <c r="T64" s="209" t="str">
        <f t="shared" si="19"/>
        <v/>
      </c>
    </row>
    <row r="65" spans="6:20" ht="14.25" customHeight="1">
      <c r="F65" s="125"/>
      <c r="G65" s="91"/>
      <c r="H65" s="91"/>
      <c r="I65" s="178">
        <v>1.33</v>
      </c>
      <c r="J65" s="176" t="str">
        <f t="shared" si="10"/>
        <v>Domaine 5</v>
      </c>
      <c r="K65" s="180">
        <f t="shared" si="11"/>
        <v>2.0947500000000003</v>
      </c>
      <c r="L65" s="182">
        <f t="shared" si="12"/>
        <v>8.0285769453562468E-4</v>
      </c>
      <c r="M65" s="181">
        <f t="shared" si="13"/>
        <v>160.57153890712493</v>
      </c>
      <c r="N65" s="182">
        <f t="shared" si="14"/>
        <v>3.1971423054643752E-3</v>
      </c>
      <c r="O65" s="181">
        <f t="shared" si="15"/>
        <v>400</v>
      </c>
      <c r="P65" s="125">
        <f t="shared" si="16"/>
        <v>6140.481512512436</v>
      </c>
      <c r="Q65" s="125">
        <f t="shared" si="17"/>
        <v>858.20310104868122</v>
      </c>
      <c r="R65" s="178">
        <f>'Moment resistant'!$H$14</f>
        <v>600.51</v>
      </c>
      <c r="S65" s="208" t="str">
        <f t="shared" si="18"/>
        <v/>
      </c>
      <c r="T65" s="209" t="str">
        <f t="shared" si="19"/>
        <v/>
      </c>
    </row>
    <row r="66" spans="6:20" ht="14.25" customHeight="1">
      <c r="F66" s="125"/>
      <c r="G66" s="91"/>
      <c r="H66" s="91"/>
      <c r="I66" s="178">
        <v>1.335</v>
      </c>
      <c r="J66" s="176" t="str">
        <f t="shared" si="10"/>
        <v>Domaine 5</v>
      </c>
      <c r="K66" s="180">
        <f t="shared" si="11"/>
        <v>2.1026250000000002</v>
      </c>
      <c r="L66" s="182">
        <f t="shared" si="12"/>
        <v>8.1009500047980027E-4</v>
      </c>
      <c r="M66" s="181">
        <f t="shared" si="13"/>
        <v>162.01900009596005</v>
      </c>
      <c r="N66" s="182">
        <f t="shared" si="14"/>
        <v>3.1899049995202E-3</v>
      </c>
      <c r="O66" s="181">
        <f t="shared" si="15"/>
        <v>400</v>
      </c>
      <c r="P66" s="125">
        <f t="shared" si="16"/>
        <v>6145.6057684970665</v>
      </c>
      <c r="Q66" s="125">
        <f t="shared" si="17"/>
        <v>855.0669934831493</v>
      </c>
      <c r="R66" s="178">
        <f>'Moment resistant'!$H$14</f>
        <v>600.51</v>
      </c>
      <c r="S66" s="208" t="str">
        <f t="shared" si="18"/>
        <v/>
      </c>
      <c r="T66" s="209" t="str">
        <f t="shared" si="19"/>
        <v/>
      </c>
    </row>
    <row r="67" spans="6:20" ht="14.25" customHeight="1">
      <c r="F67" s="125"/>
      <c r="G67" s="91"/>
      <c r="H67" s="91"/>
      <c r="I67" s="178">
        <v>1.34</v>
      </c>
      <c r="J67" s="176" t="str">
        <f t="shared" si="10"/>
        <v>Domaine 5</v>
      </c>
      <c r="K67" s="180">
        <f t="shared" si="11"/>
        <v>2.1105000000000005</v>
      </c>
      <c r="L67" s="182">
        <f t="shared" si="12"/>
        <v>8.1724532621136985E-4</v>
      </c>
      <c r="M67" s="181">
        <f t="shared" si="13"/>
        <v>163.44906524227397</v>
      </c>
      <c r="N67" s="182">
        <f t="shared" si="14"/>
        <v>3.1827546737886302E-3</v>
      </c>
      <c r="O67" s="181">
        <f t="shared" si="15"/>
        <v>400</v>
      </c>
      <c r="P67" s="125">
        <f t="shared" si="16"/>
        <v>6150.6858161109094</v>
      </c>
      <c r="Q67" s="125">
        <f t="shared" si="17"/>
        <v>851.95546188815695</v>
      </c>
      <c r="R67" s="178">
        <f>'Moment resistant'!$H$14</f>
        <v>600.51</v>
      </c>
      <c r="S67" s="208" t="str">
        <f t="shared" si="18"/>
        <v/>
      </c>
      <c r="T67" s="209" t="str">
        <f t="shared" si="19"/>
        <v/>
      </c>
    </row>
    <row r="68" spans="6:20" ht="14.25" customHeight="1">
      <c r="F68" s="125"/>
      <c r="G68" s="91"/>
      <c r="H68" s="91"/>
      <c r="I68" s="178">
        <v>1.36</v>
      </c>
      <c r="J68" s="176" t="str">
        <f t="shared" si="10"/>
        <v>Domaine 5</v>
      </c>
      <c r="K68" s="180">
        <f t="shared" si="11"/>
        <v>2.1420000000000003</v>
      </c>
      <c r="L68" s="182">
        <f t="shared" si="12"/>
        <v>8.4500745156482877E-4</v>
      </c>
      <c r="M68" s="181">
        <f t="shared" si="13"/>
        <v>169.00149031296576</v>
      </c>
      <c r="N68" s="182">
        <f t="shared" si="14"/>
        <v>3.1549925484351711E-3</v>
      </c>
      <c r="O68" s="181">
        <f t="shared" si="15"/>
        <v>400</v>
      </c>
      <c r="P68" s="125">
        <f t="shared" si="16"/>
        <v>6170.5757449361608</v>
      </c>
      <c r="Q68" s="125">
        <f t="shared" si="17"/>
        <v>839.74882004980225</v>
      </c>
      <c r="R68" s="178">
        <f>'Moment resistant'!$H$14</f>
        <v>600.51</v>
      </c>
      <c r="S68" s="208" t="str">
        <f t="shared" si="18"/>
        <v/>
      </c>
      <c r="T68" s="209" t="str">
        <f t="shared" si="19"/>
        <v/>
      </c>
    </row>
    <row r="69" spans="6:20" ht="14.25" customHeight="1">
      <c r="F69" s="125"/>
      <c r="G69" s="91"/>
      <c r="H69" s="91"/>
      <c r="I69" s="178">
        <v>1.38</v>
      </c>
      <c r="J69" s="176" t="str">
        <f t="shared" si="10"/>
        <v>Domaine 5</v>
      </c>
      <c r="K69" s="180">
        <f t="shared" si="11"/>
        <v>2.1735000000000002</v>
      </c>
      <c r="L69" s="182">
        <f t="shared" si="12"/>
        <v>8.7149617764834366E-4</v>
      </c>
      <c r="M69" s="181">
        <f t="shared" si="13"/>
        <v>174.29923552966872</v>
      </c>
      <c r="N69" s="182">
        <f t="shared" si="14"/>
        <v>3.1285038223516563E-3</v>
      </c>
      <c r="O69" s="181">
        <f t="shared" si="15"/>
        <v>400</v>
      </c>
      <c r="P69" s="125">
        <f t="shared" si="16"/>
        <v>6189.8043193881522</v>
      </c>
      <c r="Q69" s="125">
        <f t="shared" si="17"/>
        <v>827.91099201908855</v>
      </c>
      <c r="R69" s="178">
        <f>'Moment resistant'!$H$14</f>
        <v>600.51</v>
      </c>
      <c r="S69" s="208" t="str">
        <f t="shared" si="18"/>
        <v/>
      </c>
      <c r="T69" s="209" t="str">
        <f t="shared" si="19"/>
        <v/>
      </c>
    </row>
    <row r="70" spans="6:20" ht="14.25" customHeight="1">
      <c r="F70" s="125"/>
      <c r="G70" s="91"/>
      <c r="H70" s="91"/>
      <c r="I70" s="178">
        <v>1.4</v>
      </c>
      <c r="J70" s="176" t="str">
        <f t="shared" ref="J70:J85" si="21">IF(K70&lt;=0,"Domaine 1",IF(AND(K70&gt;0,K70&lt;=$H$16*$H$21/($H$21+$H$20)),"Domaine 2",IF(K70&lt;=$H$23,"Domaine 3",IF(K70&lt;=$H$16,"Domaine 4",IF(K70&lt;=$H$11,"Domaine 4a","Domaine 5")))))</f>
        <v>Domaine 5</v>
      </c>
      <c r="K70" s="180">
        <f t="shared" ref="K70:K85" si="22">I70*$H$16</f>
        <v>2.2050000000000001</v>
      </c>
      <c r="L70" s="182">
        <f t="shared" ref="L70:L85" si="23">IF(K70&lt;=0,"N/A",IF(K70&lt;=$H$16*$H$21/($H$21+$H$20),"N/A",IF(K70&lt;=$H$23,$H$21 * ($H$16 - K70) /K70,IF(K70&lt;=$H$16,$H$21 * ($H$16 - K70) /K70,IF(K70&lt;=$H$11,$H$21 * (K70-$H$16) /K70,$H$22 * (K70 - $H$16) / (K70 -$H$11 / 2))))))</f>
        <v>8.9679715302491084E-4</v>
      </c>
      <c r="M70" s="181">
        <f t="shared" ref="M70:M85" si="24">IF(L70="N/A","N/A",IF(L70&gt;=0,MIN(L70*$H$17,$H$19),MAX(L70*$H$17,-$H$19)))</f>
        <v>179.35943060498218</v>
      </c>
      <c r="N70" s="182">
        <f t="shared" ref="N70:N85" si="25">IF(K70&lt;=0,$H$20*($H$15-K70)/($H$16-K70),IF(K70&lt;=$H$16*$H$21/($H$21+$H$20),$H$20*(K70-$H$15)/($H$16-K70),IF(K70&lt;=$H$23,$H$20*(K70-$H$15)/K70,IF(K70&lt;=$H$16,$H$20*(K70-$H$15)/K70,IF(K70&lt;=$H$11,$H$20*(K70-$H$15)/K70,$H$22 * (K70 - $H$15) / (K70 - $H$11 / 2))))))</f>
        <v>3.1032028469750892E-3</v>
      </c>
      <c r="O70" s="181">
        <f t="shared" ref="O70:O85" si="26">IF(N70&gt;=0,MIN(N70*$H$17,$H$19),MAX(N70*$H$17,-$H$19))</f>
        <v>400</v>
      </c>
      <c r="P70" s="125">
        <f t="shared" ref="P70:P85" si="27">1000*IF(K70&lt;0,-H$14*(O70-0.8*H$18)-H$12*H$19,IF(K70&lt;=H$16*H$21/(H$21+H$20),0.8*H$18*K70*H$10+H$14*(O70-0.8*H$18)-H$12*H$19,IF(K70&lt;=H$23,0.8*H$18*K70*H$10+H$14*(O70-0.8*H$18)-H$12*M70,IF(K70&lt;=H$16,0.8*H$18*K70*H$10+H$14*(O70-0.8*H$18)-H$12*M70,IF(K70&lt;=H$11,0.8*H$18*K70*H$10+H$14*(O70-0.8*H$18)+H$12*M70,H$18*(1-(1-0.8)*H$11/K70)*H$11*H$10+H$14*(O70-0.8*H$18)+H$12*M70)))))</f>
        <v>6208.4055076755885</v>
      </c>
      <c r="Q70" s="125">
        <f t="shared" ref="Q70:Q85" si="28">1000*IF(K70&lt;0,-H$14*(O70-0.8*H$18)*(H$11/2-H$15)-H$12*H$19*(H$11/2-H$16),IF(K70&lt;=H$16*H$21/(H$21+H$20),0.8*H$18*K70*H$10*(H$11/2-0.8*K70/2)+H$14*(O70-0.8*H$18)*(H$11/2-H$15)-H$12*H$19*(H$11/2-H$16),IF(K70&lt;=H$23,0.8*H$18*K70*H$10*(H$11/2-0.8*K70/2)+H$14*(O70-0.8*H$18)*(H$11/2-H$15)-H$12*M70*(H$11/2-H$16),IF(K70&lt;=H$16,0.8*H$18*K70*H$10*(H$11/2-0.8*K70/2)+H$14*(O70-0.8*H$18)*(H$11/2-H$15)-H$12*M70*(H$11/2-H$16),IF(K70&lt;=H$11,0.8*H$18*K70*H$10*(H$11/2-0.8*K70/2)+H$14*(O70-0.8*H$18)*(H$11/2-H$15)+H$12*M70*(H$11/2-H$16),H$18*(1-(1-0.8)*H$11/K70)*H$11*H$10*(H$11/2 -(1- (1-0.8)*H$11/K70)*H$11/2) + H$14*O70*(H$11/2-H$15)+H$12*M70*(H$11/2-H$16))))))</f>
        <v>816.42395641871462</v>
      </c>
      <c r="R70" s="178">
        <f>'Moment resistant'!$H$14</f>
        <v>600.51</v>
      </c>
      <c r="S70" s="208" t="str">
        <f t="shared" si="18"/>
        <v/>
      </c>
      <c r="T70" s="209" t="str">
        <f t="shared" si="19"/>
        <v/>
      </c>
    </row>
    <row r="71" spans="6:20" ht="14.25" customHeight="1">
      <c r="F71" s="125"/>
      <c r="G71" s="91"/>
      <c r="H71" s="91"/>
      <c r="I71" s="178">
        <v>1.5</v>
      </c>
      <c r="J71" s="176" t="str">
        <f t="shared" si="21"/>
        <v>Domaine 5</v>
      </c>
      <c r="K71" s="180">
        <f t="shared" si="22"/>
        <v>2.3625000000000003</v>
      </c>
      <c r="L71" s="182">
        <f t="shared" si="23"/>
        <v>1.008E-3</v>
      </c>
      <c r="M71" s="181">
        <f t="shared" si="24"/>
        <v>201.6</v>
      </c>
      <c r="N71" s="182">
        <f t="shared" si="25"/>
        <v>2.9920000000000003E-3</v>
      </c>
      <c r="O71" s="181">
        <f t="shared" si="26"/>
        <v>400</v>
      </c>
      <c r="P71" s="125">
        <f t="shared" si="27"/>
        <v>6293.033097001764</v>
      </c>
      <c r="Q71" s="125">
        <f t="shared" si="28"/>
        <v>763.70269128710436</v>
      </c>
      <c r="R71" s="178">
        <f>'Moment resistant'!$H$14</f>
        <v>600.51</v>
      </c>
      <c r="S71" s="208" t="str">
        <f t="shared" ref="S71:S85" si="29">IF(OR(AND(P71&gt;=R71,P70&lt;=R71),AND(P71&lt;=R71,P70&gt;=R71)),Q71+(Q70-Q71)*(P71-R71)/(P71-P70),"")</f>
        <v/>
      </c>
      <c r="T71" s="209" t="str">
        <f t="shared" ref="T71:T85" si="30">IF(OR(AND(P71&gt;=R71,P70&lt;=R71),AND(P71&lt;=R71,P70&gt;=R71)),K71+(K70-K71)*(P71-R71)/(P71-P70),"")</f>
        <v/>
      </c>
    </row>
    <row r="72" spans="6:20" ht="14.25" customHeight="1">
      <c r="F72" s="125"/>
      <c r="G72" s="91"/>
      <c r="H72" s="91"/>
      <c r="I72" s="178">
        <v>1.52</v>
      </c>
      <c r="J72" s="176" t="str">
        <f t="shared" si="21"/>
        <v>Domaine 5</v>
      </c>
      <c r="K72" s="180">
        <f t="shared" si="22"/>
        <v>2.3940000000000001</v>
      </c>
      <c r="L72" s="182">
        <f t="shared" si="23"/>
        <v>1.027603513174404E-3</v>
      </c>
      <c r="M72" s="181">
        <f t="shared" si="24"/>
        <v>205.52070263488079</v>
      </c>
      <c r="N72" s="182">
        <f t="shared" si="25"/>
        <v>2.9723964868255963E-3</v>
      </c>
      <c r="O72" s="181">
        <f t="shared" si="26"/>
        <v>400</v>
      </c>
      <c r="P72" s="125">
        <f t="shared" si="27"/>
        <v>6308.4628886275377</v>
      </c>
      <c r="Q72" s="125">
        <f t="shared" si="28"/>
        <v>754.00558905058563</v>
      </c>
      <c r="R72" s="178">
        <f>'Moment resistant'!$H$14</f>
        <v>600.51</v>
      </c>
      <c r="S72" s="208" t="str">
        <f t="shared" si="29"/>
        <v/>
      </c>
      <c r="T72" s="209" t="str">
        <f t="shared" si="30"/>
        <v/>
      </c>
    </row>
    <row r="73" spans="6:20" ht="14.25" customHeight="1">
      <c r="F73" s="125"/>
      <c r="G73" s="91"/>
      <c r="H73" s="91"/>
      <c r="I73" s="178">
        <v>1.54</v>
      </c>
      <c r="J73" s="176" t="str">
        <f t="shared" si="21"/>
        <v>Domaine 5</v>
      </c>
      <c r="K73" s="180">
        <f t="shared" si="22"/>
        <v>2.4255000000000004</v>
      </c>
      <c r="L73" s="182">
        <f t="shared" si="23"/>
        <v>1.0464472470009228E-3</v>
      </c>
      <c r="M73" s="181">
        <f t="shared" si="24"/>
        <v>209.28944940018457</v>
      </c>
      <c r="N73" s="182">
        <f t="shared" si="25"/>
        <v>2.9535527529990775E-3</v>
      </c>
      <c r="O73" s="181">
        <f t="shared" si="26"/>
        <v>400</v>
      </c>
      <c r="P73" s="125">
        <f t="shared" si="27"/>
        <v>6323.446548353907</v>
      </c>
      <c r="Q73" s="125">
        <f t="shared" si="28"/>
        <v>744.56293960686628</v>
      </c>
      <c r="R73" s="178">
        <f>'Moment resistant'!$H$14</f>
        <v>600.51</v>
      </c>
      <c r="S73" s="208" t="str">
        <f t="shared" si="29"/>
        <v/>
      </c>
      <c r="T73" s="209" t="str">
        <f t="shared" si="30"/>
        <v/>
      </c>
    </row>
    <row r="74" spans="6:20" ht="14.25" customHeight="1">
      <c r="F74" s="125"/>
      <c r="G74" s="91"/>
      <c r="H74" s="91"/>
      <c r="I74" s="178">
        <v>1.56</v>
      </c>
      <c r="J74" s="176" t="str">
        <f t="shared" si="21"/>
        <v>Domaine 5</v>
      </c>
      <c r="K74" s="180">
        <f t="shared" si="22"/>
        <v>2.4570000000000003</v>
      </c>
      <c r="L74" s="182">
        <f t="shared" si="23"/>
        <v>1.0645745322872661E-3</v>
      </c>
      <c r="M74" s="181">
        <f t="shared" si="24"/>
        <v>212.91490645745321</v>
      </c>
      <c r="N74" s="182">
        <f t="shared" si="25"/>
        <v>2.9354254677127342E-3</v>
      </c>
      <c r="O74" s="181">
        <f t="shared" si="26"/>
        <v>400</v>
      </c>
      <c r="P74" s="125">
        <f t="shared" si="27"/>
        <v>6338.0037887431281</v>
      </c>
      <c r="Q74" s="125">
        <f t="shared" si="28"/>
        <v>735.36421396427897</v>
      </c>
      <c r="R74" s="178">
        <f>'Moment resistant'!$H$14</f>
        <v>600.51</v>
      </c>
      <c r="S74" s="208" t="str">
        <f t="shared" si="29"/>
        <v/>
      </c>
      <c r="T74" s="209" t="str">
        <f t="shared" si="30"/>
        <v/>
      </c>
    </row>
    <row r="75" spans="6:20" ht="14.25" customHeight="1">
      <c r="F75" s="125"/>
      <c r="G75" s="91"/>
      <c r="H75" s="91"/>
      <c r="I75" s="178">
        <v>1.58</v>
      </c>
      <c r="J75" s="176" t="str">
        <f t="shared" si="21"/>
        <v>Domaine 5</v>
      </c>
      <c r="K75" s="180">
        <f t="shared" si="22"/>
        <v>2.4885000000000006</v>
      </c>
      <c r="L75" s="182">
        <f t="shared" si="23"/>
        <v>1.0820254663902874E-3</v>
      </c>
      <c r="M75" s="181">
        <f t="shared" si="24"/>
        <v>216.40509327805748</v>
      </c>
      <c r="N75" s="182">
        <f t="shared" si="25"/>
        <v>2.9179745336097127E-3</v>
      </c>
      <c r="O75" s="181">
        <f t="shared" si="26"/>
        <v>400</v>
      </c>
      <c r="P75" s="125">
        <f t="shared" si="27"/>
        <v>6352.1531361060815</v>
      </c>
      <c r="Q75" s="125">
        <f t="shared" si="28"/>
        <v>726.39950023207166</v>
      </c>
      <c r="R75" s="178">
        <f>'Moment resistant'!$H$14</f>
        <v>600.51</v>
      </c>
      <c r="S75" s="208" t="str">
        <f t="shared" si="29"/>
        <v/>
      </c>
      <c r="T75" s="209" t="str">
        <f t="shared" si="30"/>
        <v/>
      </c>
    </row>
    <row r="76" spans="6:20" ht="14.25" customHeight="1">
      <c r="F76" s="125"/>
      <c r="G76" s="91"/>
      <c r="H76" s="91"/>
      <c r="I76" s="178">
        <v>1.6</v>
      </c>
      <c r="J76" s="176" t="str">
        <f t="shared" si="21"/>
        <v>Domaine 5</v>
      </c>
      <c r="K76" s="180">
        <f t="shared" si="22"/>
        <v>2.5200000000000005</v>
      </c>
      <c r="L76" s="182">
        <f t="shared" si="23"/>
        <v>1.0988372093023258E-3</v>
      </c>
      <c r="M76" s="181">
        <f t="shared" si="24"/>
        <v>219.76744186046514</v>
      </c>
      <c r="N76" s="182">
        <f t="shared" si="25"/>
        <v>2.9011627906976745E-3</v>
      </c>
      <c r="O76" s="181">
        <f t="shared" si="26"/>
        <v>400</v>
      </c>
      <c r="P76" s="125">
        <f t="shared" si="27"/>
        <v>6365.9120216562078</v>
      </c>
      <c r="Q76" s="125">
        <f t="shared" si="28"/>
        <v>717.65945568221537</v>
      </c>
      <c r="R76" s="178">
        <f>'Moment resistant'!$H$14</f>
        <v>600.51</v>
      </c>
      <c r="S76" s="208" t="str">
        <f t="shared" si="29"/>
        <v/>
      </c>
      <c r="T76" s="209" t="str">
        <f t="shared" si="30"/>
        <v/>
      </c>
    </row>
    <row r="77" spans="6:20" ht="14.25" customHeight="1">
      <c r="F77" s="125"/>
      <c r="G77" s="91"/>
      <c r="H77" s="91"/>
      <c r="I77" s="178">
        <v>1.7</v>
      </c>
      <c r="J77" s="176" t="str">
        <f t="shared" si="21"/>
        <v>Domaine 5</v>
      </c>
      <c r="K77" s="180">
        <f t="shared" si="22"/>
        <v>2.6775000000000002</v>
      </c>
      <c r="L77" s="182">
        <f t="shared" si="23"/>
        <v>1.1744340878828228E-3</v>
      </c>
      <c r="M77" s="181">
        <f t="shared" si="24"/>
        <v>234.88681757656457</v>
      </c>
      <c r="N77" s="182">
        <f t="shared" si="25"/>
        <v>2.8255659121171773E-3</v>
      </c>
      <c r="O77" s="181">
        <f t="shared" si="26"/>
        <v>400</v>
      </c>
      <c r="P77" s="125">
        <f t="shared" si="27"/>
        <v>6429.3927535357989</v>
      </c>
      <c r="Q77" s="125">
        <f t="shared" si="28"/>
        <v>677.03699607848705</v>
      </c>
      <c r="R77" s="178">
        <f>'Moment resistant'!$H$14</f>
        <v>600.51</v>
      </c>
      <c r="S77" s="208" t="str">
        <f t="shared" si="29"/>
        <v/>
      </c>
      <c r="T77" s="209" t="str">
        <f t="shared" si="30"/>
        <v/>
      </c>
    </row>
    <row r="78" spans="6:20" ht="14.25" customHeight="1">
      <c r="F78" s="125"/>
      <c r="G78" s="91"/>
      <c r="H78" s="91"/>
      <c r="I78" s="178">
        <v>1.8</v>
      </c>
      <c r="J78" s="176" t="str">
        <f t="shared" si="21"/>
        <v>Domaine 5</v>
      </c>
      <c r="K78" s="180">
        <f t="shared" si="22"/>
        <v>2.8350000000000004</v>
      </c>
      <c r="L78" s="182">
        <f t="shared" si="23"/>
        <v>1.2383292383292385E-3</v>
      </c>
      <c r="M78" s="181">
        <f t="shared" si="24"/>
        <v>247.66584766584771</v>
      </c>
      <c r="N78" s="182">
        <f t="shared" si="25"/>
        <v>2.761670761670762E-3</v>
      </c>
      <c r="O78" s="181">
        <f t="shared" si="26"/>
        <v>400</v>
      </c>
      <c r="P78" s="125">
        <f t="shared" si="27"/>
        <v>6485.222395194618</v>
      </c>
      <c r="Q78" s="125">
        <f t="shared" si="28"/>
        <v>640.89170574625177</v>
      </c>
      <c r="R78" s="178">
        <f>'Moment resistant'!$H$14</f>
        <v>600.51</v>
      </c>
      <c r="S78" s="208" t="str">
        <f t="shared" si="29"/>
        <v/>
      </c>
      <c r="T78" s="209" t="str">
        <f t="shared" si="30"/>
        <v/>
      </c>
    </row>
    <row r="79" spans="6:20" ht="14.25" customHeight="1">
      <c r="F79" s="125"/>
      <c r="G79" s="91"/>
      <c r="H79" s="91"/>
      <c r="I79" s="178">
        <v>1.9</v>
      </c>
      <c r="J79" s="176" t="str">
        <f t="shared" si="21"/>
        <v>Domaine 5</v>
      </c>
      <c r="K79" s="180">
        <f t="shared" si="22"/>
        <v>2.9925000000000002</v>
      </c>
      <c r="L79" s="182">
        <f t="shared" si="23"/>
        <v>1.2930444697833523E-3</v>
      </c>
      <c r="M79" s="181">
        <f t="shared" si="24"/>
        <v>258.60889395667044</v>
      </c>
      <c r="N79" s="182">
        <f t="shared" si="25"/>
        <v>2.7069555302166484E-3</v>
      </c>
      <c r="O79" s="181">
        <f t="shared" si="26"/>
        <v>400</v>
      </c>
      <c r="P79" s="125">
        <f t="shared" si="27"/>
        <v>6534.7310378918291</v>
      </c>
      <c r="Q79" s="125">
        <f t="shared" si="28"/>
        <v>608.496832107827</v>
      </c>
      <c r="R79" s="178">
        <f>'Moment resistant'!$H$14</f>
        <v>600.51</v>
      </c>
      <c r="S79" s="208" t="str">
        <f t="shared" si="29"/>
        <v/>
      </c>
      <c r="T79" s="209" t="str">
        <f t="shared" si="30"/>
        <v/>
      </c>
    </row>
    <row r="80" spans="6:20" ht="14.25" customHeight="1">
      <c r="F80" s="125"/>
      <c r="G80" s="91"/>
      <c r="H80" s="91"/>
      <c r="I80" s="178">
        <v>2</v>
      </c>
      <c r="J80" s="176" t="str">
        <f t="shared" si="21"/>
        <v>Domaine 5</v>
      </c>
      <c r="K80" s="180">
        <f t="shared" si="22"/>
        <v>3.1500000000000004</v>
      </c>
      <c r="L80" s="182">
        <f t="shared" si="23"/>
        <v>1.3404255319148935E-3</v>
      </c>
      <c r="M80" s="181">
        <f t="shared" si="24"/>
        <v>268.08510638297872</v>
      </c>
      <c r="N80" s="182">
        <f t="shared" si="25"/>
        <v>2.6595744680851063E-3</v>
      </c>
      <c r="O80" s="181">
        <f t="shared" si="26"/>
        <v>400</v>
      </c>
      <c r="P80" s="125">
        <f t="shared" si="27"/>
        <v>6578.9516773612522</v>
      </c>
      <c r="Q80" s="125">
        <f t="shared" si="28"/>
        <v>579.2808578093701</v>
      </c>
      <c r="R80" s="178">
        <f>'Moment resistant'!$H$14</f>
        <v>600.51</v>
      </c>
      <c r="S80" s="208" t="str">
        <f t="shared" si="29"/>
        <v/>
      </c>
      <c r="T80" s="209" t="str">
        <f t="shared" si="30"/>
        <v/>
      </c>
    </row>
    <row r="81" spans="6:20" ht="14.25" customHeight="1">
      <c r="F81" s="125"/>
      <c r="G81" s="91"/>
      <c r="H81" s="91"/>
      <c r="I81" s="178">
        <v>3</v>
      </c>
      <c r="J81" s="176" t="str">
        <f t="shared" si="21"/>
        <v>Domaine 5</v>
      </c>
      <c r="K81" s="180">
        <f t="shared" si="22"/>
        <v>4.7250000000000005</v>
      </c>
      <c r="L81" s="182">
        <f t="shared" si="23"/>
        <v>1.6050955414012738E-3</v>
      </c>
      <c r="M81" s="181">
        <f t="shared" si="24"/>
        <v>321.01910828025478</v>
      </c>
      <c r="N81" s="182">
        <f t="shared" si="25"/>
        <v>2.3949044585987256E-3</v>
      </c>
      <c r="O81" s="181">
        <f t="shared" si="26"/>
        <v>400</v>
      </c>
      <c r="P81" s="125">
        <f t="shared" si="27"/>
        <v>6852.6065081611787</v>
      </c>
      <c r="Q81" s="125">
        <f t="shared" si="28"/>
        <v>392.13234301802646</v>
      </c>
      <c r="R81" s="178">
        <f>'Moment resistant'!$H$14</f>
        <v>600.51</v>
      </c>
      <c r="S81" s="208" t="str">
        <f t="shared" si="29"/>
        <v/>
      </c>
      <c r="T81" s="209" t="str">
        <f t="shared" si="30"/>
        <v/>
      </c>
    </row>
    <row r="82" spans="6:20" ht="14.25" customHeight="1">
      <c r="G82" s="91"/>
      <c r="H82" s="91"/>
      <c r="I82" s="178">
        <v>4</v>
      </c>
      <c r="J82" s="176" t="str">
        <f t="shared" si="21"/>
        <v>Domaine 5</v>
      </c>
      <c r="K82" s="180">
        <f t="shared" si="22"/>
        <v>6.3000000000000007</v>
      </c>
      <c r="L82" s="182">
        <f t="shared" si="23"/>
        <v>1.7181818181818181E-3</v>
      </c>
      <c r="M82" s="181">
        <f t="shared" si="24"/>
        <v>343.63636363636363</v>
      </c>
      <c r="N82" s="182">
        <f t="shared" si="25"/>
        <v>2.2818181818181817E-3</v>
      </c>
      <c r="O82" s="181">
        <f t="shared" si="26"/>
        <v>400</v>
      </c>
      <c r="P82" s="125">
        <f t="shared" si="27"/>
        <v>6985.949903799904</v>
      </c>
      <c r="Q82" s="125">
        <f t="shared" si="28"/>
        <v>296.67154322896414</v>
      </c>
      <c r="R82" s="178">
        <f>'Moment resistant'!$H$14</f>
        <v>600.51</v>
      </c>
      <c r="S82" s="208" t="str">
        <f t="shared" si="29"/>
        <v/>
      </c>
      <c r="T82" s="209" t="str">
        <f t="shared" si="30"/>
        <v/>
      </c>
    </row>
    <row r="83" spans="6:20" ht="14.25" customHeight="1">
      <c r="G83" s="91"/>
      <c r="H83" s="91"/>
      <c r="I83" s="178">
        <v>10</v>
      </c>
      <c r="J83" s="176" t="str">
        <f t="shared" si="21"/>
        <v>Domaine 5</v>
      </c>
      <c r="K83" s="180">
        <f t="shared" si="22"/>
        <v>15.750000000000002</v>
      </c>
      <c r="L83" s="182">
        <f t="shared" si="23"/>
        <v>1.8963210702341137E-3</v>
      </c>
      <c r="M83" s="181">
        <f t="shared" si="24"/>
        <v>379.26421404682276</v>
      </c>
      <c r="N83" s="182">
        <f t="shared" si="25"/>
        <v>2.1036789297658866E-3</v>
      </c>
      <c r="O83" s="181">
        <f t="shared" si="26"/>
        <v>400</v>
      </c>
      <c r="P83" s="125">
        <f t="shared" si="27"/>
        <v>7221.3677115959727</v>
      </c>
      <c r="Q83" s="125">
        <f t="shared" si="28"/>
        <v>120.70175453268916</v>
      </c>
      <c r="R83" s="178">
        <f>'Moment resistant'!$H$14</f>
        <v>600.51</v>
      </c>
      <c r="S83" s="208" t="str">
        <f t="shared" si="29"/>
        <v/>
      </c>
      <c r="T83" s="209" t="str">
        <f t="shared" si="30"/>
        <v/>
      </c>
    </row>
    <row r="84" spans="6:20" ht="14.25" customHeight="1">
      <c r="G84" s="91"/>
      <c r="H84" s="91"/>
      <c r="I84" s="178">
        <v>100</v>
      </c>
      <c r="J84" s="176" t="str">
        <f t="shared" si="21"/>
        <v>Domaine 5</v>
      </c>
      <c r="K84" s="180">
        <f t="shared" si="22"/>
        <v>157.50000000000003</v>
      </c>
      <c r="L84" s="182">
        <f t="shared" si="23"/>
        <v>1.9901084875558394E-3</v>
      </c>
      <c r="M84" s="181">
        <f t="shared" si="24"/>
        <v>398.02169751116787</v>
      </c>
      <c r="N84" s="182">
        <f t="shared" si="25"/>
        <v>2.0098915124441611E-3</v>
      </c>
      <c r="O84" s="181">
        <f t="shared" si="26"/>
        <v>400</v>
      </c>
      <c r="P84" s="125">
        <f t="shared" si="27"/>
        <v>7360.2479960359678</v>
      </c>
      <c r="Q84" s="125">
        <f t="shared" si="28"/>
        <v>12.201494787083544</v>
      </c>
      <c r="R84" s="178">
        <f>'Moment resistant'!$H$14</f>
        <v>600.51</v>
      </c>
      <c r="S84" s="208" t="str">
        <f t="shared" si="29"/>
        <v/>
      </c>
      <c r="T84" s="209" t="str">
        <f t="shared" si="30"/>
        <v/>
      </c>
    </row>
    <row r="85" spans="6:20" ht="14.25" customHeight="1">
      <c r="G85" s="91"/>
      <c r="H85" s="91"/>
      <c r="I85" s="178">
        <v>1000</v>
      </c>
      <c r="J85" s="176" t="str">
        <f t="shared" si="21"/>
        <v>Domaine 5</v>
      </c>
      <c r="K85" s="180">
        <f t="shared" si="22"/>
        <v>1575.0000000000002</v>
      </c>
      <c r="L85" s="182">
        <f t="shared" si="23"/>
        <v>1.9990153728878159E-3</v>
      </c>
      <c r="M85" s="181">
        <f t="shared" si="24"/>
        <v>399.80307457756317</v>
      </c>
      <c r="N85" s="182">
        <f t="shared" si="25"/>
        <v>2.0009846271121837E-3</v>
      </c>
      <c r="O85" s="181">
        <f t="shared" si="26"/>
        <v>400</v>
      </c>
      <c r="P85" s="125">
        <f t="shared" si="27"/>
        <v>7374.0506184715314</v>
      </c>
      <c r="Q85" s="125">
        <f t="shared" si="28"/>
        <v>1.2214962921900385</v>
      </c>
      <c r="R85" s="178">
        <f>'Moment resistant'!$H$14</f>
        <v>600.51</v>
      </c>
      <c r="S85" s="208" t="str">
        <f t="shared" si="29"/>
        <v/>
      </c>
      <c r="T85" s="209" t="str">
        <f t="shared" si="30"/>
        <v/>
      </c>
    </row>
    <row r="86" spans="6:20" ht="14.25" customHeight="1">
      <c r="G86" s="91"/>
      <c r="H86" s="91"/>
      <c r="I86" s="125"/>
      <c r="J86" s="91"/>
      <c r="K86" s="180"/>
      <c r="L86" s="177"/>
      <c r="M86" s="176"/>
      <c r="N86" s="179"/>
      <c r="O86" s="178"/>
      <c r="P86" s="125"/>
      <c r="Q86" s="125"/>
      <c r="R86" s="91"/>
      <c r="S86" s="210"/>
      <c r="T86" s="210"/>
    </row>
    <row r="87" spans="6:20" ht="14.25" customHeight="1">
      <c r="G87" s="91"/>
      <c r="H87" s="91"/>
      <c r="I87" s="125"/>
      <c r="J87" s="91"/>
      <c r="K87" s="180"/>
      <c r="L87" s="177"/>
      <c r="M87" s="176"/>
      <c r="N87" s="179"/>
      <c r="O87" s="178"/>
      <c r="P87" s="125"/>
      <c r="Q87" s="125"/>
      <c r="R87" s="91"/>
      <c r="S87" s="210"/>
      <c r="T87" s="210"/>
    </row>
    <row r="88" spans="6:20" ht="14.25" customHeight="1">
      <c r="G88" s="91"/>
      <c r="H88" s="91"/>
      <c r="I88" s="125"/>
      <c r="J88" s="91"/>
      <c r="K88" s="180"/>
      <c r="L88" s="177"/>
      <c r="M88" s="176"/>
      <c r="N88" s="179"/>
      <c r="O88" s="178"/>
      <c r="P88" s="125"/>
      <c r="Q88" s="125"/>
      <c r="R88" s="91"/>
      <c r="S88" s="210"/>
      <c r="T88" s="210"/>
    </row>
    <row r="89" spans="6:20" ht="14.25" customHeight="1">
      <c r="G89" s="91"/>
      <c r="H89" s="91"/>
      <c r="I89" s="125"/>
      <c r="J89" s="91"/>
      <c r="K89" s="180"/>
      <c r="L89" s="177"/>
      <c r="M89" s="176"/>
      <c r="N89" s="179"/>
      <c r="O89" s="178"/>
      <c r="P89" s="125"/>
      <c r="Q89" s="125"/>
      <c r="R89" s="91"/>
      <c r="S89" s="210"/>
      <c r="T89" s="210"/>
    </row>
    <row r="90" spans="6:20" ht="14.25" customHeight="1">
      <c r="G90" s="91"/>
      <c r="H90" s="91"/>
      <c r="I90" s="125"/>
      <c r="J90" s="91"/>
      <c r="K90" s="180"/>
      <c r="L90" s="177"/>
      <c r="M90" s="176"/>
      <c r="N90" s="179"/>
      <c r="O90" s="178"/>
      <c r="P90" s="125"/>
      <c r="Q90" s="125"/>
      <c r="R90" s="91"/>
      <c r="S90" s="210"/>
      <c r="T90" s="210"/>
    </row>
    <row r="91" spans="6:20" ht="14.25" customHeight="1">
      <c r="G91" s="91"/>
      <c r="H91" s="91"/>
      <c r="I91" s="125"/>
      <c r="J91" s="91"/>
      <c r="K91" s="180"/>
      <c r="L91" s="177"/>
      <c r="M91" s="176"/>
      <c r="N91" s="179"/>
      <c r="O91" s="178"/>
      <c r="P91" s="125"/>
      <c r="Q91" s="125"/>
      <c r="R91" s="91"/>
      <c r="S91" s="210"/>
      <c r="T91" s="210"/>
    </row>
    <row r="92" spans="6:20" ht="14.25" customHeight="1">
      <c r="G92" s="91"/>
      <c r="H92" s="91"/>
      <c r="I92" s="125"/>
      <c r="J92" s="91"/>
      <c r="K92" s="180"/>
      <c r="L92" s="177"/>
      <c r="M92" s="176"/>
      <c r="N92" s="179"/>
      <c r="O92" s="178"/>
      <c r="P92" s="125"/>
      <c r="Q92" s="125"/>
      <c r="R92" s="91"/>
      <c r="S92" s="210"/>
      <c r="T92" s="210"/>
    </row>
    <row r="93" spans="6:20" ht="14.25" customHeight="1">
      <c r="G93" s="91"/>
      <c r="H93" s="91"/>
      <c r="I93" s="125"/>
      <c r="J93" s="91"/>
      <c r="K93" s="180"/>
      <c r="L93" s="177"/>
      <c r="M93" s="176"/>
      <c r="N93" s="179"/>
      <c r="O93" s="178"/>
      <c r="P93" s="125"/>
      <c r="Q93" s="125"/>
      <c r="R93" s="91"/>
      <c r="S93" s="210"/>
      <c r="T93" s="210"/>
    </row>
    <row r="94" spans="6:20" ht="14.25" customHeight="1">
      <c r="G94" s="91"/>
      <c r="H94" s="91"/>
      <c r="I94" s="125"/>
      <c r="J94" s="91"/>
      <c r="K94" s="180"/>
      <c r="L94" s="177"/>
      <c r="M94" s="176"/>
      <c r="N94" s="179"/>
      <c r="O94" s="178"/>
      <c r="P94" s="125"/>
      <c r="Q94" s="125"/>
      <c r="R94" s="91"/>
      <c r="S94" s="210"/>
      <c r="T94" s="210"/>
    </row>
    <row r="95" spans="6:20" ht="14.25" customHeight="1">
      <c r="G95" s="91"/>
      <c r="H95" s="91"/>
      <c r="I95" s="125"/>
      <c r="J95" s="91"/>
      <c r="K95" s="180"/>
      <c r="L95" s="177"/>
      <c r="M95" s="176"/>
      <c r="N95" s="179"/>
      <c r="O95" s="178"/>
      <c r="P95" s="125"/>
      <c r="Q95" s="125"/>
      <c r="R95" s="91"/>
      <c r="S95" s="210"/>
      <c r="T95" s="210"/>
    </row>
    <row r="96" spans="6:20" ht="14.25" customHeight="1">
      <c r="G96" s="91"/>
      <c r="H96" s="91"/>
      <c r="I96" s="125"/>
      <c r="J96" s="91"/>
      <c r="K96" s="180"/>
      <c r="L96" s="177"/>
      <c r="M96" s="176"/>
      <c r="N96" s="179"/>
      <c r="O96" s="178"/>
      <c r="P96" s="125"/>
      <c r="Q96" s="125"/>
      <c r="R96" s="91"/>
      <c r="S96" s="210"/>
      <c r="T96" s="210"/>
    </row>
    <row r="97" spans="7:20" ht="14.25" customHeight="1">
      <c r="G97" s="91"/>
      <c r="H97" s="91"/>
      <c r="I97" s="125"/>
      <c r="J97" s="91"/>
      <c r="K97" s="180"/>
      <c r="L97" s="177"/>
      <c r="M97" s="176"/>
      <c r="N97" s="179"/>
      <c r="O97" s="178"/>
      <c r="P97" s="125"/>
      <c r="Q97" s="125"/>
      <c r="R97" s="91"/>
      <c r="S97" s="210"/>
      <c r="T97" s="210"/>
    </row>
    <row r="98" spans="7:20" ht="14.25" customHeight="1">
      <c r="G98" s="91"/>
      <c r="H98" s="91"/>
      <c r="I98" s="125"/>
      <c r="J98" s="91"/>
      <c r="K98" s="180"/>
      <c r="L98" s="177"/>
      <c r="M98" s="176"/>
      <c r="N98" s="179"/>
      <c r="O98" s="178"/>
      <c r="P98" s="125"/>
      <c r="Q98" s="125"/>
      <c r="R98" s="91"/>
      <c r="S98" s="210"/>
      <c r="T98" s="210"/>
    </row>
    <row r="99" spans="7:20" ht="14.25" customHeight="1">
      <c r="G99" s="91"/>
      <c r="H99" s="91"/>
      <c r="I99" s="125"/>
      <c r="J99" s="91"/>
      <c r="K99" s="180"/>
      <c r="L99" s="177"/>
      <c r="M99" s="176"/>
      <c r="N99" s="179"/>
      <c r="O99" s="178"/>
      <c r="P99" s="125"/>
      <c r="Q99" s="125"/>
      <c r="R99" s="91"/>
      <c r="S99" s="210"/>
      <c r="T99" s="210"/>
    </row>
    <row r="100" spans="7:20" ht="14.25" customHeight="1">
      <c r="G100" s="91"/>
      <c r="H100" s="91"/>
      <c r="I100" s="125"/>
      <c r="J100" s="91"/>
      <c r="K100" s="180"/>
      <c r="L100" s="177"/>
      <c r="M100" s="176"/>
      <c r="N100" s="179"/>
      <c r="O100" s="178"/>
      <c r="P100" s="125"/>
      <c r="Q100" s="125"/>
      <c r="R100" s="91"/>
      <c r="S100" s="210"/>
      <c r="T100" s="210"/>
    </row>
    <row r="101" spans="7:20" ht="14.25" customHeight="1">
      <c r="G101" s="91"/>
      <c r="H101" s="91"/>
      <c r="I101" s="125"/>
      <c r="J101" s="91"/>
      <c r="K101" s="180"/>
      <c r="L101" s="177"/>
      <c r="M101" s="176"/>
      <c r="N101" s="179"/>
      <c r="O101" s="178"/>
      <c r="P101" s="125"/>
      <c r="Q101" s="125"/>
      <c r="R101" s="91"/>
      <c r="S101" s="210"/>
      <c r="T101" s="210"/>
    </row>
    <row r="102" spans="7:20" ht="14.25" customHeight="1">
      <c r="G102" s="91"/>
      <c r="H102" s="91"/>
      <c r="I102" s="125"/>
      <c r="J102" s="91"/>
      <c r="K102" s="180"/>
      <c r="L102" s="177"/>
      <c r="M102" s="176"/>
      <c r="N102" s="179"/>
      <c r="O102" s="178"/>
      <c r="P102" s="125"/>
      <c r="Q102" s="125"/>
      <c r="R102" s="91"/>
      <c r="S102" s="205"/>
      <c r="T102" s="205"/>
    </row>
    <row r="103" spans="7:20" ht="14.25" customHeight="1">
      <c r="G103" s="91"/>
      <c r="H103" s="91"/>
      <c r="I103" s="125"/>
      <c r="J103" s="91"/>
      <c r="K103" s="180"/>
      <c r="L103" s="177"/>
      <c r="M103" s="176"/>
      <c r="N103" s="179"/>
      <c r="O103" s="178"/>
      <c r="P103" s="125"/>
      <c r="Q103" s="125"/>
      <c r="R103" s="91"/>
      <c r="S103" s="205"/>
      <c r="T103" s="205"/>
    </row>
    <row r="104" spans="7:20" ht="14.25" customHeight="1">
      <c r="G104" s="91"/>
      <c r="H104" s="91"/>
      <c r="I104" s="125"/>
      <c r="J104" s="91"/>
      <c r="K104" s="180"/>
      <c r="L104" s="177"/>
      <c r="M104" s="176"/>
      <c r="N104" s="179"/>
      <c r="O104" s="178"/>
      <c r="P104" s="125"/>
      <c r="Q104" s="125"/>
      <c r="R104" s="91"/>
      <c r="S104" s="205"/>
      <c r="T104" s="205"/>
    </row>
    <row r="105" spans="7:20" ht="14.25" customHeight="1">
      <c r="G105" s="91"/>
      <c r="H105" s="91"/>
      <c r="I105" s="125"/>
      <c r="J105" s="91"/>
      <c r="K105" s="180"/>
      <c r="L105" s="177"/>
      <c r="M105" s="176"/>
      <c r="N105" s="179"/>
      <c r="O105" s="178"/>
      <c r="P105" s="125"/>
      <c r="Q105" s="125"/>
      <c r="R105" s="91"/>
      <c r="S105" s="205"/>
      <c r="T105" s="205"/>
    </row>
    <row r="106" spans="7:20" ht="14.25" customHeight="1">
      <c r="G106" s="91"/>
      <c r="H106" s="91"/>
      <c r="I106" s="125"/>
      <c r="J106" s="91"/>
      <c r="K106" s="180"/>
      <c r="L106" s="177"/>
      <c r="M106" s="176"/>
      <c r="N106" s="179"/>
      <c r="O106" s="178"/>
      <c r="P106" s="125"/>
      <c r="Q106" s="125"/>
      <c r="R106" s="91"/>
      <c r="S106" s="205"/>
      <c r="T106" s="205"/>
    </row>
    <row r="107" spans="7:20" ht="14.25" customHeight="1">
      <c r="G107" s="91"/>
      <c r="H107" s="91"/>
      <c r="I107" s="125"/>
      <c r="J107" s="91"/>
      <c r="K107" s="180"/>
      <c r="L107" s="177"/>
      <c r="M107" s="176"/>
      <c r="N107" s="179"/>
      <c r="O107" s="178"/>
      <c r="P107" s="125"/>
      <c r="Q107" s="125"/>
      <c r="R107" s="91"/>
      <c r="S107" s="205"/>
      <c r="T107" s="205"/>
    </row>
    <row r="108" spans="7:20" ht="14.25" customHeight="1">
      <c r="G108" s="91"/>
      <c r="H108" s="91"/>
      <c r="I108" s="125"/>
      <c r="J108" s="91"/>
      <c r="K108" s="180"/>
      <c r="L108" s="177"/>
      <c r="M108" s="176"/>
      <c r="N108" s="179"/>
      <c r="O108" s="178"/>
      <c r="P108" s="125"/>
      <c r="Q108" s="125"/>
      <c r="R108" s="91"/>
      <c r="S108" s="205"/>
      <c r="T108" s="205"/>
    </row>
    <row r="109" spans="7:20" ht="14.25" customHeight="1">
      <c r="G109" s="91"/>
      <c r="H109" s="91"/>
      <c r="I109" s="125"/>
      <c r="J109" s="91"/>
      <c r="K109" s="180"/>
      <c r="L109" s="177"/>
      <c r="M109" s="176"/>
      <c r="N109" s="179"/>
      <c r="O109" s="178"/>
      <c r="P109" s="125"/>
      <c r="Q109" s="125"/>
      <c r="R109" s="91"/>
      <c r="S109" s="205"/>
      <c r="T109" s="205"/>
    </row>
    <row r="110" spans="7:20" ht="14.25" customHeight="1">
      <c r="G110" s="91"/>
      <c r="H110" s="91"/>
      <c r="I110" s="125"/>
      <c r="J110" s="91"/>
      <c r="K110" s="180"/>
      <c r="L110" s="177"/>
      <c r="M110" s="176"/>
      <c r="N110" s="179"/>
      <c r="O110" s="178"/>
      <c r="P110" s="125"/>
      <c r="Q110" s="125"/>
      <c r="R110" s="91"/>
      <c r="S110" s="205"/>
      <c r="T110" s="205"/>
    </row>
    <row r="111" spans="7:20" ht="14.25" customHeight="1">
      <c r="G111" s="91"/>
      <c r="H111" s="91"/>
      <c r="I111" s="125"/>
      <c r="J111" s="91"/>
      <c r="K111" s="180"/>
      <c r="L111" s="177"/>
      <c r="M111" s="176"/>
      <c r="N111" s="179"/>
      <c r="O111" s="178"/>
      <c r="P111" s="125"/>
      <c r="Q111" s="125"/>
      <c r="R111" s="91"/>
      <c r="S111" s="205"/>
      <c r="T111" s="205"/>
    </row>
    <row r="112" spans="7:20" ht="14.25" customHeight="1">
      <c r="G112" s="91"/>
      <c r="H112" s="91"/>
      <c r="I112" s="125"/>
      <c r="J112" s="91"/>
      <c r="K112" s="180"/>
      <c r="L112" s="177"/>
      <c r="M112" s="176"/>
      <c r="N112" s="179"/>
      <c r="O112" s="178"/>
      <c r="P112" s="125"/>
      <c r="Q112" s="125"/>
      <c r="R112" s="91"/>
      <c r="S112" s="205"/>
      <c r="T112" s="205"/>
    </row>
    <row r="113" spans="7:20" ht="14.25" customHeight="1">
      <c r="G113" s="91"/>
      <c r="H113" s="91"/>
      <c r="I113" s="125"/>
      <c r="J113" s="91"/>
      <c r="K113" s="180"/>
      <c r="L113" s="177"/>
      <c r="M113" s="176"/>
      <c r="N113" s="179"/>
      <c r="O113" s="178"/>
      <c r="P113" s="125"/>
      <c r="Q113" s="125"/>
      <c r="R113" s="91"/>
      <c r="S113" s="205"/>
      <c r="T113" s="205"/>
    </row>
    <row r="114" spans="7:20" ht="14.25" customHeight="1">
      <c r="G114" s="91"/>
      <c r="H114" s="91"/>
      <c r="I114" s="125"/>
      <c r="J114" s="91"/>
      <c r="K114" s="180"/>
      <c r="L114" s="177"/>
      <c r="M114" s="176"/>
      <c r="N114" s="179"/>
      <c r="O114" s="178"/>
      <c r="P114" s="125"/>
      <c r="Q114" s="125"/>
      <c r="R114" s="91"/>
      <c r="S114" s="205"/>
      <c r="T114" s="205"/>
    </row>
    <row r="115" spans="7:20" ht="14.25" customHeight="1">
      <c r="G115" s="91"/>
      <c r="H115" s="91"/>
      <c r="I115" s="125"/>
      <c r="J115" s="91"/>
      <c r="K115" s="180"/>
      <c r="L115" s="177"/>
      <c r="M115" s="176"/>
      <c r="N115" s="179"/>
      <c r="O115" s="178"/>
      <c r="P115" s="125"/>
      <c r="Q115" s="125"/>
      <c r="R115" s="91"/>
      <c r="S115" s="205"/>
      <c r="T115" s="205"/>
    </row>
    <row r="116" spans="7:20" ht="14.25" customHeight="1">
      <c r="G116" s="91"/>
      <c r="H116" s="91"/>
      <c r="I116" s="125"/>
      <c r="J116" s="91"/>
      <c r="K116" s="180"/>
      <c r="L116" s="177"/>
      <c r="M116" s="176"/>
      <c r="N116" s="179"/>
      <c r="O116" s="178"/>
      <c r="P116" s="125"/>
      <c r="Q116" s="125"/>
      <c r="R116" s="91"/>
      <c r="S116" s="205"/>
      <c r="T116" s="205"/>
    </row>
    <row r="117" spans="7:20" ht="14.25" customHeight="1">
      <c r="G117" s="91"/>
      <c r="H117" s="91"/>
      <c r="I117" s="125"/>
      <c r="J117" s="91"/>
      <c r="K117" s="180"/>
      <c r="L117" s="177"/>
      <c r="M117" s="176"/>
      <c r="N117" s="179"/>
      <c r="O117" s="178"/>
      <c r="P117" s="125"/>
      <c r="Q117" s="125"/>
      <c r="R117" s="91"/>
      <c r="S117" s="205"/>
      <c r="T117" s="205"/>
    </row>
    <row r="118" spans="7:20" ht="14.25" customHeight="1">
      <c r="G118" s="91"/>
      <c r="H118" s="91"/>
      <c r="I118" s="125"/>
      <c r="J118" s="91"/>
      <c r="K118" s="180"/>
      <c r="L118" s="177"/>
      <c r="M118" s="176"/>
      <c r="N118" s="179"/>
      <c r="O118" s="178"/>
      <c r="P118" s="125"/>
      <c r="Q118" s="125"/>
      <c r="R118" s="91"/>
      <c r="S118" s="205"/>
      <c r="T118" s="205"/>
    </row>
    <row r="119" spans="7:20" ht="14.25" customHeight="1">
      <c r="G119" s="91"/>
      <c r="H119" s="91"/>
      <c r="I119" s="125"/>
      <c r="J119" s="91"/>
      <c r="K119" s="180"/>
      <c r="L119" s="177"/>
      <c r="M119" s="176"/>
      <c r="N119" s="179"/>
      <c r="O119" s="178"/>
      <c r="P119" s="125"/>
      <c r="Q119" s="125"/>
      <c r="R119" s="91"/>
      <c r="S119" s="205"/>
      <c r="T119" s="205"/>
    </row>
    <row r="120" spans="7:20" ht="14.25" customHeight="1">
      <c r="G120" s="91"/>
      <c r="H120" s="91"/>
      <c r="I120" s="125"/>
      <c r="J120" s="91"/>
      <c r="K120" s="180"/>
      <c r="L120" s="177"/>
      <c r="M120" s="176"/>
      <c r="N120" s="179"/>
      <c r="O120" s="178"/>
      <c r="P120" s="125"/>
      <c r="Q120" s="125"/>
      <c r="R120" s="91"/>
      <c r="S120" s="205"/>
      <c r="T120" s="205"/>
    </row>
    <row r="121" spans="7:20" ht="14.25" customHeight="1">
      <c r="G121" s="91"/>
      <c r="H121" s="91"/>
      <c r="I121" s="125"/>
      <c r="J121" s="91"/>
      <c r="K121" s="180"/>
      <c r="L121" s="177"/>
      <c r="M121" s="176"/>
      <c r="N121" s="179"/>
      <c r="O121" s="178"/>
      <c r="P121" s="125"/>
      <c r="Q121" s="125"/>
      <c r="R121" s="91"/>
      <c r="S121" s="205"/>
      <c r="T121" s="205"/>
    </row>
    <row r="122" spans="7:20" ht="14.25" customHeight="1">
      <c r="G122" s="91"/>
      <c r="H122" s="91"/>
      <c r="I122" s="125"/>
      <c r="J122" s="91"/>
      <c r="K122" s="180"/>
      <c r="L122" s="177"/>
      <c r="M122" s="176"/>
      <c r="N122" s="179"/>
      <c r="O122" s="178"/>
      <c r="P122" s="125"/>
      <c r="Q122" s="125"/>
      <c r="R122" s="91"/>
      <c r="S122" s="205"/>
      <c r="T122" s="205"/>
    </row>
    <row r="123" spans="7:20" ht="14.25" customHeight="1">
      <c r="G123" s="91"/>
      <c r="H123" s="91"/>
      <c r="I123" s="125"/>
      <c r="J123" s="91"/>
      <c r="K123" s="180"/>
      <c r="L123" s="177"/>
      <c r="M123" s="176"/>
      <c r="N123" s="179"/>
      <c r="O123" s="178"/>
      <c r="P123" s="125"/>
      <c r="Q123" s="125"/>
      <c r="R123" s="91"/>
      <c r="S123" s="205"/>
      <c r="T123" s="205"/>
    </row>
    <row r="124" spans="7:20" ht="14.25" customHeight="1">
      <c r="G124" s="91"/>
      <c r="H124" s="91"/>
      <c r="I124" s="125"/>
      <c r="J124" s="91"/>
      <c r="K124" s="180"/>
      <c r="L124" s="177"/>
      <c r="M124" s="176"/>
      <c r="N124" s="179"/>
      <c r="O124" s="178"/>
      <c r="P124" s="125"/>
      <c r="Q124" s="125"/>
      <c r="R124" s="91"/>
      <c r="S124" s="205"/>
      <c r="T124" s="205"/>
    </row>
    <row r="125" spans="7:20" ht="14.25" customHeight="1">
      <c r="G125" s="91"/>
      <c r="H125" s="91"/>
      <c r="I125" s="125"/>
      <c r="J125" s="91"/>
      <c r="K125" s="180"/>
      <c r="L125" s="177"/>
      <c r="M125" s="176"/>
      <c r="N125" s="179"/>
      <c r="O125" s="178"/>
      <c r="P125" s="125"/>
      <c r="Q125" s="125"/>
      <c r="R125" s="91"/>
      <c r="S125" s="205"/>
      <c r="T125" s="205"/>
    </row>
    <row r="126" spans="7:20" ht="14.25" customHeight="1">
      <c r="G126" s="91"/>
      <c r="H126" s="91"/>
      <c r="I126" s="125"/>
      <c r="J126" s="91"/>
      <c r="K126" s="180"/>
      <c r="L126" s="177"/>
      <c r="M126" s="176"/>
      <c r="N126" s="179"/>
      <c r="O126" s="178"/>
      <c r="P126" s="125"/>
      <c r="Q126" s="125"/>
      <c r="R126" s="91"/>
      <c r="S126" s="205"/>
      <c r="T126" s="205"/>
    </row>
    <row r="127" spans="7:20" ht="14.25" customHeight="1">
      <c r="G127" s="91"/>
      <c r="H127" s="91"/>
      <c r="I127" s="125"/>
      <c r="J127" s="91"/>
      <c r="K127" s="180"/>
      <c r="L127" s="177"/>
      <c r="M127" s="176"/>
      <c r="N127" s="179"/>
      <c r="O127" s="178"/>
      <c r="P127" s="125"/>
      <c r="Q127" s="125"/>
      <c r="R127" s="91"/>
      <c r="S127" s="205"/>
      <c r="T127" s="205"/>
    </row>
    <row r="128" spans="7:20" ht="14.25" customHeight="1">
      <c r="G128" s="91"/>
      <c r="H128" s="91"/>
      <c r="I128" s="125"/>
      <c r="J128" s="91"/>
      <c r="K128" s="180"/>
      <c r="L128" s="177"/>
      <c r="M128" s="176"/>
      <c r="N128" s="179"/>
      <c r="O128" s="178"/>
      <c r="P128" s="125"/>
      <c r="Q128" s="125"/>
      <c r="R128" s="91"/>
      <c r="S128" s="205"/>
      <c r="T128" s="205"/>
    </row>
    <row r="129" spans="7:20" ht="14.25" customHeight="1">
      <c r="G129" s="91"/>
      <c r="H129" s="91"/>
      <c r="I129" s="125"/>
      <c r="J129" s="91"/>
      <c r="K129" s="180"/>
      <c r="L129" s="177"/>
      <c r="M129" s="176"/>
      <c r="N129" s="179"/>
      <c r="O129" s="178"/>
      <c r="P129" s="125"/>
      <c r="Q129" s="125"/>
      <c r="R129" s="91"/>
      <c r="S129" s="205"/>
      <c r="T129" s="205"/>
    </row>
    <row r="130" spans="7:20" ht="14.25" customHeight="1">
      <c r="G130" s="91"/>
      <c r="H130" s="91"/>
      <c r="I130" s="125"/>
      <c r="J130" s="91"/>
      <c r="K130" s="180"/>
      <c r="L130" s="177"/>
      <c r="M130" s="176"/>
      <c r="N130" s="179"/>
      <c r="O130" s="178"/>
      <c r="P130" s="125"/>
      <c r="Q130" s="125"/>
      <c r="R130" s="91"/>
      <c r="S130" s="205"/>
      <c r="T130" s="205"/>
    </row>
    <row r="131" spans="7:20" ht="14.25" customHeight="1">
      <c r="G131" s="91"/>
      <c r="H131" s="91"/>
      <c r="I131" s="125"/>
      <c r="J131" s="91"/>
      <c r="K131" s="180"/>
      <c r="L131" s="177"/>
      <c r="M131" s="176"/>
      <c r="N131" s="179"/>
      <c r="O131" s="178"/>
      <c r="P131" s="125"/>
      <c r="Q131" s="125"/>
      <c r="R131" s="91"/>
      <c r="S131" s="205"/>
      <c r="T131" s="205"/>
    </row>
    <row r="132" spans="7:20" ht="14.25" customHeight="1">
      <c r="G132" s="91"/>
      <c r="H132" s="91"/>
      <c r="I132" s="125"/>
      <c r="J132" s="91"/>
      <c r="K132" s="180"/>
      <c r="L132" s="177"/>
      <c r="M132" s="176"/>
      <c r="N132" s="179"/>
      <c r="O132" s="178"/>
      <c r="P132" s="125"/>
      <c r="Q132" s="125"/>
      <c r="R132" s="91"/>
      <c r="S132" s="205"/>
      <c r="T132" s="205"/>
    </row>
    <row r="133" spans="7:20" ht="14.25" customHeight="1">
      <c r="G133" s="91"/>
      <c r="H133" s="91"/>
      <c r="I133" s="125"/>
      <c r="J133" s="91"/>
      <c r="K133" s="180"/>
      <c r="L133" s="177"/>
      <c r="M133" s="176"/>
      <c r="N133" s="179"/>
      <c r="O133" s="178"/>
      <c r="P133" s="125"/>
      <c r="Q133" s="125"/>
      <c r="R133" s="91"/>
      <c r="S133" s="205"/>
      <c r="T133" s="205"/>
    </row>
    <row r="134" spans="7:20" ht="14.25" customHeight="1">
      <c r="G134" s="91"/>
      <c r="H134" s="91"/>
      <c r="I134" s="125"/>
      <c r="J134" s="91"/>
      <c r="K134" s="180"/>
      <c r="L134" s="177"/>
      <c r="M134" s="176"/>
      <c r="N134" s="179"/>
      <c r="O134" s="178"/>
      <c r="P134" s="125"/>
      <c r="Q134" s="125"/>
      <c r="R134" s="91"/>
      <c r="S134" s="205"/>
      <c r="T134" s="205"/>
    </row>
    <row r="135" spans="7:20" ht="14.25" customHeight="1">
      <c r="G135" s="91"/>
      <c r="H135" s="91"/>
      <c r="I135" s="125"/>
      <c r="J135" s="91"/>
      <c r="K135" s="180"/>
      <c r="L135" s="177"/>
      <c r="M135" s="176"/>
      <c r="N135" s="179"/>
      <c r="O135" s="178"/>
      <c r="P135" s="125"/>
      <c r="Q135" s="125"/>
      <c r="R135" s="91"/>
      <c r="S135" s="205"/>
      <c r="T135" s="205"/>
    </row>
    <row r="136" spans="7:20" ht="14.25" customHeight="1">
      <c r="G136" s="91"/>
      <c r="H136" s="91"/>
      <c r="I136" s="125"/>
      <c r="J136" s="91"/>
      <c r="K136" s="180"/>
      <c r="L136" s="177"/>
      <c r="M136" s="176"/>
      <c r="N136" s="179"/>
      <c r="O136" s="178"/>
      <c r="P136" s="125"/>
      <c r="Q136" s="125"/>
      <c r="R136" s="91"/>
      <c r="S136" s="205"/>
      <c r="T136" s="205"/>
    </row>
    <row r="137" spans="7:20" ht="14.25" customHeight="1">
      <c r="G137" s="91"/>
      <c r="H137" s="91"/>
      <c r="I137" s="125"/>
      <c r="J137" s="91"/>
      <c r="K137" s="180"/>
      <c r="L137" s="177"/>
      <c r="M137" s="176"/>
      <c r="N137" s="179"/>
      <c r="O137" s="178"/>
      <c r="P137" s="125"/>
      <c r="Q137" s="125"/>
      <c r="R137" s="91"/>
      <c r="S137" s="205"/>
      <c r="T137" s="205"/>
    </row>
    <row r="138" spans="7:20" ht="14.25" customHeight="1">
      <c r="G138" s="91"/>
      <c r="H138" s="91"/>
      <c r="I138" s="125"/>
      <c r="J138" s="91"/>
      <c r="K138" s="180"/>
      <c r="L138" s="177"/>
      <c r="M138" s="176"/>
      <c r="N138" s="179"/>
      <c r="O138" s="178"/>
      <c r="P138" s="125"/>
      <c r="Q138" s="125"/>
      <c r="R138" s="91"/>
      <c r="S138" s="205"/>
      <c r="T138" s="205"/>
    </row>
    <row r="139" spans="7:20" ht="14.25" customHeight="1">
      <c r="G139" s="91"/>
      <c r="H139" s="91"/>
      <c r="I139" s="125"/>
      <c r="J139" s="91"/>
      <c r="K139" s="180"/>
      <c r="L139" s="177"/>
      <c r="M139" s="176"/>
      <c r="N139" s="179"/>
      <c r="O139" s="178"/>
      <c r="P139" s="125"/>
      <c r="Q139" s="125"/>
      <c r="R139" s="91"/>
      <c r="S139" s="205"/>
      <c r="T139" s="205"/>
    </row>
    <row r="140" spans="7:20" ht="14.25" customHeight="1">
      <c r="G140" s="91"/>
      <c r="H140" s="91"/>
      <c r="I140" s="125"/>
      <c r="J140" s="91"/>
      <c r="K140" s="180"/>
      <c r="L140" s="177"/>
      <c r="M140" s="176"/>
      <c r="N140" s="179"/>
      <c r="O140" s="178"/>
      <c r="P140" s="125"/>
      <c r="Q140" s="125"/>
      <c r="R140" s="91"/>
      <c r="S140" s="205"/>
      <c r="T140" s="205"/>
    </row>
    <row r="141" spans="7:20" ht="14.25" customHeight="1">
      <c r="G141" s="91"/>
      <c r="H141" s="91"/>
      <c r="I141" s="125"/>
      <c r="J141" s="91"/>
      <c r="K141" s="180"/>
      <c r="L141" s="177"/>
      <c r="M141" s="176"/>
      <c r="N141" s="179"/>
      <c r="O141" s="178"/>
      <c r="P141" s="125"/>
      <c r="Q141" s="125"/>
      <c r="R141" s="91"/>
      <c r="S141" s="205"/>
      <c r="T141" s="205"/>
    </row>
    <row r="142" spans="7:20" ht="14.25" customHeight="1">
      <c r="G142" s="91"/>
      <c r="H142" s="91"/>
      <c r="I142" s="125"/>
      <c r="J142" s="91"/>
      <c r="K142" s="180"/>
      <c r="L142" s="177"/>
      <c r="M142" s="176"/>
      <c r="N142" s="179"/>
      <c r="O142" s="178"/>
      <c r="P142" s="125"/>
      <c r="Q142" s="125"/>
      <c r="R142" s="91"/>
      <c r="S142" s="205"/>
      <c r="T142" s="205"/>
    </row>
    <row r="143" spans="7:20" ht="14.25" customHeight="1">
      <c r="G143" s="91"/>
      <c r="H143" s="91"/>
      <c r="I143" s="125"/>
      <c r="J143" s="91"/>
      <c r="K143" s="180"/>
      <c r="L143" s="177"/>
      <c r="M143" s="176"/>
      <c r="N143" s="179"/>
      <c r="O143" s="178"/>
      <c r="P143" s="125"/>
      <c r="Q143" s="125"/>
      <c r="R143" s="91"/>
      <c r="S143" s="205"/>
      <c r="T143" s="205"/>
    </row>
    <row r="144" spans="7:20" ht="14.25" customHeight="1">
      <c r="G144" s="91"/>
      <c r="H144" s="91"/>
      <c r="I144" s="125"/>
      <c r="J144" s="91"/>
      <c r="K144" s="180"/>
      <c r="L144" s="177"/>
      <c r="M144" s="176"/>
      <c r="N144" s="179"/>
      <c r="O144" s="178"/>
      <c r="P144" s="125"/>
      <c r="Q144" s="125"/>
      <c r="R144" s="91"/>
      <c r="S144" s="205"/>
      <c r="T144" s="205"/>
    </row>
    <row r="145" spans="7:20" ht="14.25" customHeight="1">
      <c r="G145" s="91"/>
      <c r="H145" s="91"/>
      <c r="I145" s="125"/>
      <c r="J145" s="91"/>
      <c r="K145" s="180"/>
      <c r="L145" s="177"/>
      <c r="M145" s="176"/>
      <c r="N145" s="179"/>
      <c r="O145" s="178"/>
      <c r="P145" s="125"/>
      <c r="Q145" s="125"/>
      <c r="R145" s="91"/>
      <c r="S145" s="205"/>
      <c r="T145" s="205"/>
    </row>
    <row r="146" spans="7:20" ht="14.25" customHeight="1">
      <c r="G146" s="91"/>
      <c r="H146" s="91"/>
      <c r="I146" s="125"/>
      <c r="J146" s="91"/>
      <c r="K146" s="180"/>
      <c r="L146" s="177"/>
      <c r="M146" s="176"/>
      <c r="N146" s="179"/>
      <c r="O146" s="178"/>
      <c r="P146" s="125"/>
      <c r="Q146" s="125"/>
      <c r="R146" s="91"/>
      <c r="S146" s="205"/>
      <c r="T146" s="205"/>
    </row>
    <row r="147" spans="7:20" ht="14.25" customHeight="1">
      <c r="G147" s="91"/>
      <c r="H147" s="91"/>
      <c r="I147" s="125"/>
      <c r="J147" s="91"/>
      <c r="K147" s="180"/>
      <c r="L147" s="177"/>
      <c r="M147" s="176"/>
      <c r="N147" s="179"/>
      <c r="O147" s="178"/>
      <c r="P147" s="125"/>
      <c r="Q147" s="125"/>
      <c r="R147" s="91"/>
      <c r="S147" s="205"/>
      <c r="T147" s="205"/>
    </row>
    <row r="148" spans="7:20" ht="14.25" customHeight="1">
      <c r="G148" s="91"/>
      <c r="H148" s="91"/>
      <c r="I148" s="125"/>
      <c r="J148" s="91"/>
      <c r="K148" s="180"/>
      <c r="L148" s="177"/>
      <c r="M148" s="176"/>
      <c r="N148" s="179"/>
      <c r="O148" s="178"/>
      <c r="P148" s="125"/>
      <c r="Q148" s="125"/>
      <c r="R148" s="91"/>
      <c r="S148" s="205"/>
      <c r="T148" s="205"/>
    </row>
    <row r="149" spans="7:20" ht="14.25" customHeight="1">
      <c r="G149" s="91"/>
      <c r="H149" s="91"/>
      <c r="I149" s="125"/>
      <c r="J149" s="91"/>
      <c r="K149" s="180"/>
      <c r="L149" s="177"/>
      <c r="M149" s="176"/>
      <c r="N149" s="179"/>
      <c r="O149" s="178"/>
      <c r="P149" s="125"/>
      <c r="Q149" s="125"/>
      <c r="R149" s="91"/>
      <c r="S149" s="205"/>
      <c r="T149" s="205"/>
    </row>
    <row r="150" spans="7:20" ht="14.25" customHeight="1">
      <c r="G150" s="91"/>
      <c r="H150" s="91"/>
      <c r="I150" s="125"/>
      <c r="J150" s="91"/>
      <c r="K150" s="180"/>
      <c r="L150" s="177"/>
      <c r="M150" s="176"/>
      <c r="N150" s="179"/>
      <c r="O150" s="178"/>
      <c r="P150" s="125"/>
      <c r="Q150" s="125"/>
      <c r="R150" s="91"/>
      <c r="S150" s="205"/>
      <c r="T150" s="205"/>
    </row>
    <row r="151" spans="7:20" ht="14.25" customHeight="1">
      <c r="G151" s="91"/>
      <c r="H151" s="91"/>
      <c r="I151" s="125"/>
      <c r="J151" s="91"/>
      <c r="K151" s="180"/>
      <c r="L151" s="177"/>
      <c r="M151" s="176"/>
      <c r="N151" s="179"/>
      <c r="O151" s="178"/>
      <c r="P151" s="125"/>
      <c r="Q151" s="125"/>
      <c r="R151" s="91"/>
      <c r="S151" s="205"/>
      <c r="T151" s="205"/>
    </row>
    <row r="152" spans="7:20" ht="14.25" customHeight="1">
      <c r="G152" s="91"/>
      <c r="H152" s="91"/>
      <c r="I152" s="125"/>
      <c r="J152" s="91"/>
      <c r="K152" s="180"/>
      <c r="L152" s="177"/>
      <c r="M152" s="176"/>
      <c r="N152" s="179"/>
      <c r="O152" s="178"/>
      <c r="P152" s="125"/>
      <c r="Q152" s="125"/>
      <c r="R152" s="91"/>
      <c r="S152" s="205"/>
      <c r="T152" s="205"/>
    </row>
    <row r="153" spans="7:20" ht="14.25" customHeight="1">
      <c r="G153" s="91"/>
      <c r="H153" s="91"/>
      <c r="I153" s="125"/>
      <c r="J153" s="91"/>
      <c r="K153" s="180"/>
      <c r="L153" s="177"/>
      <c r="M153" s="176"/>
      <c r="N153" s="179"/>
      <c r="O153" s="178"/>
      <c r="P153" s="125"/>
      <c r="Q153" s="125"/>
      <c r="R153" s="91"/>
      <c r="S153" s="205"/>
      <c r="T153" s="205"/>
    </row>
    <row r="154" spans="7:20" ht="14.25" customHeight="1">
      <c r="G154" s="91"/>
      <c r="H154" s="91"/>
      <c r="I154" s="125"/>
      <c r="J154" s="91"/>
      <c r="K154" s="180"/>
      <c r="L154" s="177"/>
      <c r="M154" s="176"/>
      <c r="N154" s="179"/>
      <c r="O154" s="178"/>
      <c r="P154" s="125"/>
      <c r="Q154" s="125"/>
      <c r="R154" s="91"/>
      <c r="S154" s="205"/>
      <c r="T154" s="205"/>
    </row>
    <row r="155" spans="7:20" ht="14.25" customHeight="1">
      <c r="G155" s="91"/>
      <c r="H155" s="91"/>
      <c r="I155" s="125"/>
      <c r="J155" s="91"/>
      <c r="K155" s="180"/>
      <c r="L155" s="177"/>
      <c r="M155" s="176"/>
      <c r="N155" s="179"/>
      <c r="O155" s="178"/>
      <c r="P155" s="125"/>
      <c r="Q155" s="125"/>
      <c r="R155" s="91"/>
      <c r="S155" s="205"/>
      <c r="T155" s="205"/>
    </row>
    <row r="156" spans="7:20" ht="14.25" customHeight="1">
      <c r="G156" s="91"/>
      <c r="H156" s="91"/>
      <c r="I156" s="125"/>
      <c r="J156" s="91"/>
      <c r="K156" s="180"/>
      <c r="L156" s="177"/>
      <c r="M156" s="176"/>
      <c r="N156" s="179"/>
      <c r="O156" s="178"/>
      <c r="P156" s="125"/>
      <c r="Q156" s="125"/>
      <c r="R156" s="91"/>
      <c r="S156" s="205"/>
      <c r="T156" s="205"/>
    </row>
    <row r="157" spans="7:20" ht="14.25" customHeight="1">
      <c r="G157" s="91"/>
      <c r="H157" s="91"/>
      <c r="I157" s="125"/>
      <c r="J157" s="91"/>
      <c r="K157" s="180"/>
      <c r="L157" s="177"/>
      <c r="M157" s="176"/>
      <c r="N157" s="179"/>
      <c r="O157" s="178"/>
      <c r="P157" s="125"/>
      <c r="Q157" s="125"/>
      <c r="R157" s="91"/>
      <c r="S157" s="205"/>
      <c r="T157" s="205"/>
    </row>
    <row r="158" spans="7:20" ht="14.25" customHeight="1">
      <c r="G158" s="91"/>
      <c r="H158" s="91"/>
      <c r="I158" s="125"/>
      <c r="J158" s="91"/>
      <c r="K158" s="180"/>
      <c r="L158" s="177"/>
      <c r="M158" s="176"/>
      <c r="N158" s="179"/>
      <c r="O158" s="178"/>
      <c r="P158" s="125"/>
      <c r="Q158" s="125"/>
      <c r="R158" s="91"/>
      <c r="S158" s="205"/>
      <c r="T158" s="205"/>
    </row>
    <row r="159" spans="7:20" ht="14.25" customHeight="1">
      <c r="G159" s="91"/>
      <c r="H159" s="91"/>
      <c r="I159" s="125"/>
      <c r="J159" s="91"/>
      <c r="K159" s="180"/>
      <c r="L159" s="177"/>
      <c r="M159" s="176"/>
      <c r="N159" s="179"/>
      <c r="O159" s="178"/>
      <c r="P159" s="125"/>
      <c r="Q159" s="125"/>
      <c r="R159" s="91"/>
      <c r="S159" s="205"/>
      <c r="T159" s="205"/>
    </row>
    <row r="160" spans="7:20" ht="14.25" customHeight="1">
      <c r="G160" s="91"/>
      <c r="H160" s="91"/>
      <c r="I160" s="125"/>
      <c r="J160" s="91"/>
      <c r="K160" s="180"/>
      <c r="L160" s="177"/>
      <c r="M160" s="176"/>
      <c r="N160" s="179"/>
      <c r="O160" s="178"/>
      <c r="P160" s="125"/>
      <c r="Q160" s="125"/>
      <c r="R160" s="91"/>
      <c r="S160" s="205"/>
      <c r="T160" s="205"/>
    </row>
    <row r="161" spans="7:20" ht="14.25" customHeight="1">
      <c r="G161" s="91"/>
      <c r="H161" s="91"/>
      <c r="I161" s="125"/>
      <c r="J161" s="91"/>
      <c r="K161" s="180"/>
      <c r="L161" s="177"/>
      <c r="M161" s="176"/>
      <c r="N161" s="179"/>
      <c r="O161" s="178"/>
      <c r="P161" s="125"/>
      <c r="Q161" s="125"/>
      <c r="R161" s="91"/>
      <c r="S161" s="205"/>
      <c r="T161" s="205"/>
    </row>
    <row r="162" spans="7:20" ht="14.25" customHeight="1">
      <c r="G162" s="91"/>
      <c r="H162" s="91"/>
      <c r="I162" s="125"/>
      <c r="J162" s="91"/>
      <c r="K162" s="180"/>
      <c r="L162" s="177"/>
      <c r="M162" s="176"/>
      <c r="N162" s="179"/>
      <c r="O162" s="178"/>
      <c r="P162" s="125"/>
      <c r="Q162" s="125"/>
      <c r="R162" s="91"/>
      <c r="S162" s="205"/>
      <c r="T162" s="205"/>
    </row>
    <row r="163" spans="7:20" ht="14.25" customHeight="1">
      <c r="G163" s="91"/>
      <c r="H163" s="91"/>
      <c r="I163" s="125"/>
      <c r="J163" s="91"/>
      <c r="K163" s="180"/>
      <c r="L163" s="177"/>
      <c r="M163" s="176"/>
      <c r="N163" s="179"/>
      <c r="O163" s="178"/>
      <c r="P163" s="125"/>
      <c r="Q163" s="125"/>
      <c r="R163" s="91"/>
      <c r="S163" s="205"/>
      <c r="T163" s="205"/>
    </row>
    <row r="164" spans="7:20" ht="14.25" customHeight="1">
      <c r="G164" s="91"/>
      <c r="H164" s="91"/>
      <c r="I164" s="125"/>
      <c r="J164" s="91"/>
      <c r="K164" s="180"/>
      <c r="L164" s="177"/>
      <c r="M164" s="176"/>
      <c r="N164" s="179"/>
      <c r="O164" s="178"/>
      <c r="P164" s="125"/>
      <c r="Q164" s="125"/>
      <c r="R164" s="91"/>
      <c r="S164" s="205"/>
      <c r="T164" s="205"/>
    </row>
    <row r="165" spans="7:20" ht="14.25" customHeight="1">
      <c r="G165" s="91"/>
      <c r="H165" s="91"/>
      <c r="I165" s="125"/>
      <c r="J165" s="91"/>
      <c r="K165" s="180"/>
      <c r="L165" s="177"/>
      <c r="M165" s="176"/>
      <c r="N165" s="179"/>
      <c r="O165" s="178"/>
      <c r="P165" s="125"/>
      <c r="Q165" s="125"/>
      <c r="R165" s="91"/>
      <c r="S165" s="205"/>
      <c r="T165" s="205"/>
    </row>
    <row r="166" spans="7:20" ht="14.25" customHeight="1">
      <c r="G166" s="91"/>
      <c r="H166" s="91"/>
      <c r="I166" s="125"/>
      <c r="J166" s="91"/>
      <c r="K166" s="180"/>
      <c r="L166" s="177"/>
      <c r="M166" s="176"/>
      <c r="N166" s="179"/>
      <c r="O166" s="178"/>
      <c r="P166" s="125"/>
      <c r="Q166" s="125"/>
      <c r="R166" s="91"/>
      <c r="S166" s="205"/>
      <c r="T166" s="205"/>
    </row>
    <row r="167" spans="7:20" ht="14.25" customHeight="1">
      <c r="G167" s="91"/>
      <c r="H167" s="91"/>
      <c r="I167" s="125"/>
      <c r="J167" s="91"/>
      <c r="K167" s="180"/>
      <c r="L167" s="177"/>
      <c r="M167" s="176"/>
      <c r="N167" s="179"/>
      <c r="O167" s="178"/>
      <c r="P167" s="125"/>
      <c r="Q167" s="125"/>
      <c r="R167" s="91"/>
      <c r="S167" s="205"/>
      <c r="T167" s="205"/>
    </row>
    <row r="168" spans="7:20" ht="14.25" customHeight="1">
      <c r="G168" s="91"/>
      <c r="H168" s="91"/>
      <c r="I168" s="125"/>
      <c r="J168" s="91"/>
      <c r="K168" s="180"/>
      <c r="L168" s="177"/>
      <c r="M168" s="176"/>
      <c r="N168" s="179"/>
      <c r="O168" s="178"/>
      <c r="P168" s="125"/>
      <c r="Q168" s="125"/>
      <c r="R168" s="91"/>
      <c r="S168" s="205"/>
      <c r="T168" s="205"/>
    </row>
    <row r="169" spans="7:20" ht="14.25" customHeight="1">
      <c r="G169" s="91"/>
      <c r="H169" s="91"/>
      <c r="I169" s="125"/>
      <c r="J169" s="91"/>
      <c r="K169" s="180"/>
      <c r="L169" s="177"/>
      <c r="M169" s="176"/>
      <c r="N169" s="179"/>
      <c r="O169" s="178"/>
      <c r="P169" s="125"/>
      <c r="Q169" s="125"/>
      <c r="R169" s="91"/>
      <c r="S169" s="205"/>
      <c r="T169" s="205"/>
    </row>
    <row r="170" spans="7:20" ht="14.25" customHeight="1">
      <c r="G170" s="91"/>
      <c r="H170" s="91"/>
      <c r="I170" s="125"/>
      <c r="J170" s="91"/>
      <c r="K170" s="180"/>
      <c r="L170" s="177"/>
      <c r="M170" s="176"/>
      <c r="N170" s="179"/>
      <c r="O170" s="178"/>
      <c r="P170" s="125"/>
      <c r="Q170" s="125"/>
      <c r="R170" s="91"/>
      <c r="S170" s="205"/>
      <c r="T170" s="205"/>
    </row>
    <row r="171" spans="7:20" ht="14.25" customHeight="1">
      <c r="G171" s="91"/>
      <c r="H171" s="91"/>
      <c r="I171" s="125"/>
      <c r="J171" s="91"/>
      <c r="K171" s="180"/>
      <c r="L171" s="177"/>
      <c r="M171" s="176"/>
      <c r="N171" s="179"/>
      <c r="O171" s="178"/>
      <c r="P171" s="125"/>
      <c r="Q171" s="125"/>
      <c r="R171" s="91"/>
      <c r="S171" s="205"/>
      <c r="T171" s="205"/>
    </row>
    <row r="172" spans="7:20" ht="14.25" customHeight="1">
      <c r="G172" s="91"/>
      <c r="H172" s="91"/>
      <c r="I172" s="125"/>
      <c r="J172" s="91"/>
      <c r="K172" s="180"/>
      <c r="L172" s="177"/>
      <c r="M172" s="176"/>
      <c r="N172" s="179"/>
      <c r="O172" s="178"/>
      <c r="P172" s="125"/>
      <c r="Q172" s="125"/>
      <c r="R172" s="91"/>
      <c r="S172" s="205"/>
      <c r="T172" s="205"/>
    </row>
    <row r="173" spans="7:20" ht="14.25" customHeight="1">
      <c r="G173" s="91"/>
      <c r="H173" s="91"/>
      <c r="I173" s="125"/>
      <c r="J173" s="91"/>
      <c r="K173" s="180"/>
      <c r="L173" s="177"/>
      <c r="M173" s="176"/>
      <c r="N173" s="179"/>
      <c r="O173" s="178"/>
      <c r="P173" s="125"/>
      <c r="Q173" s="125"/>
      <c r="R173" s="91"/>
      <c r="S173" s="205"/>
      <c r="T173" s="205"/>
    </row>
    <row r="174" spans="7:20" ht="14.25" customHeight="1">
      <c r="G174" s="91"/>
      <c r="H174" s="91"/>
      <c r="I174" s="125"/>
      <c r="J174" s="91"/>
      <c r="K174" s="180"/>
      <c r="L174" s="177"/>
      <c r="M174" s="176"/>
      <c r="N174" s="179"/>
      <c r="O174" s="178"/>
      <c r="P174" s="125"/>
      <c r="Q174" s="125"/>
      <c r="R174" s="91"/>
      <c r="S174" s="205"/>
      <c r="T174" s="205"/>
    </row>
    <row r="175" spans="7:20" ht="14.25" customHeight="1">
      <c r="G175" s="91"/>
      <c r="H175" s="91"/>
      <c r="I175" s="125"/>
      <c r="J175" s="91"/>
      <c r="K175" s="180"/>
      <c r="L175" s="177"/>
      <c r="M175" s="176"/>
      <c r="N175" s="179"/>
      <c r="O175" s="178"/>
      <c r="P175" s="125"/>
      <c r="Q175" s="125"/>
      <c r="R175" s="91"/>
      <c r="S175" s="205"/>
      <c r="T175" s="205"/>
    </row>
    <row r="176" spans="7:20" ht="14.25" customHeight="1">
      <c r="G176" s="91"/>
      <c r="H176" s="91"/>
      <c r="I176" s="125"/>
      <c r="J176" s="91"/>
      <c r="K176" s="180"/>
      <c r="L176" s="177"/>
      <c r="M176" s="176"/>
      <c r="N176" s="179"/>
      <c r="O176" s="178"/>
      <c r="P176" s="125"/>
      <c r="Q176" s="125"/>
      <c r="R176" s="91"/>
      <c r="S176" s="205"/>
      <c r="T176" s="205"/>
    </row>
    <row r="177" spans="7:20" ht="14.25" customHeight="1">
      <c r="G177" s="91"/>
      <c r="H177" s="91"/>
      <c r="I177" s="125"/>
      <c r="J177" s="91"/>
      <c r="K177" s="180"/>
      <c r="L177" s="177"/>
      <c r="M177" s="176"/>
      <c r="N177" s="179"/>
      <c r="O177" s="178"/>
      <c r="P177" s="125"/>
      <c r="Q177" s="125"/>
      <c r="R177" s="91"/>
      <c r="S177" s="205"/>
      <c r="T177" s="205"/>
    </row>
    <row r="178" spans="7:20" ht="14.25" customHeight="1">
      <c r="G178" s="91"/>
      <c r="H178" s="91"/>
      <c r="I178" s="125"/>
      <c r="J178" s="91"/>
      <c r="K178" s="180"/>
      <c r="L178" s="177"/>
      <c r="M178" s="176"/>
      <c r="N178" s="179"/>
      <c r="O178" s="178"/>
      <c r="P178" s="125"/>
      <c r="Q178" s="125"/>
      <c r="R178" s="91"/>
      <c r="S178" s="205"/>
      <c r="T178" s="205"/>
    </row>
    <row r="179" spans="7:20" ht="14.25" customHeight="1">
      <c r="G179" s="91"/>
      <c r="H179" s="91"/>
      <c r="I179" s="125"/>
      <c r="J179" s="91"/>
      <c r="K179" s="180"/>
      <c r="L179" s="177"/>
      <c r="M179" s="176"/>
      <c r="N179" s="179"/>
      <c r="O179" s="178"/>
      <c r="P179" s="125"/>
      <c r="Q179" s="125"/>
      <c r="R179" s="91"/>
      <c r="S179" s="205"/>
      <c r="T179" s="205"/>
    </row>
    <row r="180" spans="7:20" ht="14.25" customHeight="1">
      <c r="G180" s="91"/>
      <c r="H180" s="91"/>
      <c r="I180" s="125"/>
      <c r="J180" s="91"/>
      <c r="K180" s="180"/>
      <c r="L180" s="177"/>
      <c r="M180" s="176"/>
      <c r="N180" s="179"/>
      <c r="O180" s="178"/>
      <c r="P180" s="125"/>
      <c r="Q180" s="125"/>
      <c r="R180" s="91"/>
      <c r="S180" s="205"/>
      <c r="T180" s="205"/>
    </row>
    <row r="181" spans="7:20" ht="14.25" customHeight="1">
      <c r="G181" s="91"/>
      <c r="H181" s="91"/>
      <c r="I181" s="125"/>
      <c r="J181" s="91"/>
      <c r="K181" s="180"/>
      <c r="L181" s="177"/>
      <c r="M181" s="176"/>
      <c r="N181" s="179"/>
      <c r="O181" s="178"/>
      <c r="P181" s="125"/>
      <c r="Q181" s="125"/>
      <c r="R181" s="91"/>
      <c r="S181" s="205"/>
      <c r="T181" s="205"/>
    </row>
    <row r="182" spans="7:20" ht="14.25" customHeight="1">
      <c r="G182" s="91"/>
      <c r="H182" s="91"/>
      <c r="I182" s="125"/>
      <c r="J182" s="91"/>
      <c r="K182" s="180"/>
      <c r="L182" s="177"/>
      <c r="M182" s="176"/>
      <c r="N182" s="179"/>
      <c r="O182" s="178"/>
      <c r="P182" s="125"/>
      <c r="Q182" s="125"/>
      <c r="R182" s="91"/>
      <c r="S182" s="205"/>
      <c r="T182" s="205"/>
    </row>
    <row r="183" spans="7:20" ht="14.25" customHeight="1">
      <c r="G183" s="91"/>
      <c r="H183" s="91"/>
      <c r="I183" s="125"/>
      <c r="J183" s="91"/>
      <c r="K183" s="180"/>
      <c r="L183" s="177"/>
      <c r="M183" s="176"/>
      <c r="N183" s="179"/>
      <c r="O183" s="178"/>
      <c r="P183" s="125"/>
      <c r="Q183" s="125"/>
      <c r="R183" s="91"/>
      <c r="S183" s="205"/>
      <c r="T183" s="205"/>
    </row>
    <row r="184" spans="7:20" ht="14.25" customHeight="1">
      <c r="G184" s="91"/>
      <c r="H184" s="91"/>
      <c r="I184" s="125"/>
      <c r="J184" s="91"/>
      <c r="K184" s="180"/>
      <c r="L184" s="177"/>
      <c r="M184" s="176"/>
      <c r="N184" s="179"/>
      <c r="O184" s="178"/>
      <c r="P184" s="125"/>
      <c r="Q184" s="125"/>
      <c r="R184" s="91"/>
      <c r="S184" s="205"/>
      <c r="T184" s="205"/>
    </row>
    <row r="185" spans="7:20" ht="14.25" customHeight="1">
      <c r="G185" s="91"/>
      <c r="H185" s="91"/>
      <c r="I185" s="125"/>
      <c r="J185" s="91"/>
      <c r="K185" s="180"/>
      <c r="L185" s="177"/>
      <c r="M185" s="176"/>
      <c r="N185" s="179"/>
      <c r="O185" s="178"/>
      <c r="P185" s="125"/>
      <c r="Q185" s="125"/>
      <c r="R185" s="91"/>
      <c r="S185" s="205"/>
      <c r="T185" s="205"/>
    </row>
    <row r="186" spans="7:20" ht="14.25" customHeight="1">
      <c r="G186" s="91"/>
      <c r="H186" s="91"/>
      <c r="I186" s="125"/>
      <c r="J186" s="91"/>
      <c r="K186" s="180"/>
      <c r="L186" s="177"/>
      <c r="M186" s="176"/>
      <c r="N186" s="179"/>
      <c r="O186" s="178"/>
      <c r="P186" s="125"/>
      <c r="Q186" s="125"/>
      <c r="R186" s="91"/>
      <c r="S186" s="205"/>
      <c r="T186" s="205"/>
    </row>
    <row r="187" spans="7:20" ht="14.25" customHeight="1">
      <c r="G187" s="91"/>
      <c r="H187" s="91"/>
      <c r="I187" s="125"/>
      <c r="J187" s="91"/>
      <c r="K187" s="180"/>
      <c r="L187" s="177"/>
      <c r="M187" s="176"/>
      <c r="N187" s="179"/>
      <c r="O187" s="178"/>
      <c r="P187" s="125"/>
      <c r="Q187" s="125"/>
      <c r="R187" s="91"/>
      <c r="S187" s="205"/>
      <c r="T187" s="205"/>
    </row>
    <row r="188" spans="7:20" ht="14.25" customHeight="1">
      <c r="G188" s="91"/>
      <c r="H188" s="91"/>
      <c r="I188" s="125"/>
      <c r="J188" s="91"/>
      <c r="K188" s="180"/>
      <c r="L188" s="177"/>
      <c r="M188" s="176"/>
      <c r="N188" s="179"/>
      <c r="O188" s="178"/>
      <c r="P188" s="125"/>
      <c r="Q188" s="125"/>
      <c r="R188" s="91"/>
      <c r="S188" s="205"/>
      <c r="T188" s="205"/>
    </row>
    <row r="189" spans="7:20" ht="14.25" customHeight="1">
      <c r="G189" s="91"/>
      <c r="H189" s="91"/>
      <c r="I189" s="125"/>
      <c r="J189" s="91"/>
      <c r="K189" s="180"/>
      <c r="L189" s="177"/>
      <c r="M189" s="176"/>
      <c r="N189" s="179"/>
      <c r="O189" s="178"/>
      <c r="P189" s="125"/>
      <c r="Q189" s="125"/>
      <c r="R189" s="91"/>
      <c r="S189" s="205"/>
      <c r="T189" s="205"/>
    </row>
    <row r="190" spans="7:20" ht="14.25" customHeight="1">
      <c r="G190" s="91"/>
      <c r="H190" s="91"/>
      <c r="I190" s="125"/>
      <c r="J190" s="91"/>
      <c r="K190" s="180"/>
      <c r="L190" s="177"/>
      <c r="M190" s="176"/>
      <c r="N190" s="179"/>
      <c r="O190" s="178"/>
      <c r="P190" s="125"/>
      <c r="Q190" s="125"/>
      <c r="R190" s="91"/>
      <c r="S190" s="205"/>
      <c r="T190" s="205"/>
    </row>
    <row r="191" spans="7:20" ht="14.25" customHeight="1">
      <c r="G191" s="91"/>
      <c r="H191" s="91"/>
      <c r="I191" s="125"/>
      <c r="J191" s="91"/>
      <c r="K191" s="180"/>
      <c r="L191" s="177"/>
      <c r="M191" s="176"/>
      <c r="N191" s="179"/>
      <c r="O191" s="178"/>
      <c r="P191" s="125"/>
      <c r="Q191" s="125"/>
      <c r="R191" s="91"/>
      <c r="S191" s="205"/>
      <c r="T191" s="205"/>
    </row>
    <row r="192" spans="7:20" ht="14.25" customHeight="1">
      <c r="G192" s="91"/>
      <c r="H192" s="91"/>
      <c r="I192" s="125"/>
      <c r="J192" s="91"/>
      <c r="K192" s="180"/>
      <c r="L192" s="177"/>
      <c r="M192" s="176"/>
      <c r="N192" s="179"/>
      <c r="O192" s="178"/>
      <c r="P192" s="125"/>
      <c r="Q192" s="125"/>
      <c r="R192" s="91"/>
      <c r="S192" s="205"/>
      <c r="T192" s="205"/>
    </row>
    <row r="193" spans="7:20" ht="14.25" customHeight="1">
      <c r="G193" s="91"/>
      <c r="H193" s="91"/>
      <c r="I193" s="125"/>
      <c r="J193" s="91"/>
      <c r="K193" s="180"/>
      <c r="L193" s="177"/>
      <c r="M193" s="176"/>
      <c r="N193" s="179"/>
      <c r="O193" s="178"/>
      <c r="P193" s="125"/>
      <c r="Q193" s="125"/>
      <c r="R193" s="91"/>
      <c r="S193" s="205"/>
      <c r="T193" s="205"/>
    </row>
    <row r="194" spans="7:20" ht="14.25" customHeight="1">
      <c r="G194" s="91"/>
      <c r="H194" s="91"/>
      <c r="I194" s="125"/>
      <c r="J194" s="91"/>
      <c r="K194" s="180"/>
      <c r="L194" s="177"/>
      <c r="M194" s="176"/>
      <c r="N194" s="179"/>
      <c r="O194" s="178"/>
      <c r="P194" s="125"/>
      <c r="Q194" s="125"/>
      <c r="R194" s="91"/>
      <c r="S194" s="205"/>
      <c r="T194" s="205"/>
    </row>
    <row r="195" spans="7:20" ht="14.25" customHeight="1">
      <c r="G195" s="91"/>
      <c r="H195" s="91"/>
      <c r="I195" s="125"/>
      <c r="J195" s="91"/>
      <c r="K195" s="180"/>
      <c r="L195" s="177"/>
      <c r="M195" s="176"/>
      <c r="N195" s="179"/>
      <c r="O195" s="178"/>
      <c r="P195" s="125"/>
      <c r="Q195" s="125"/>
      <c r="R195" s="91"/>
      <c r="S195" s="205"/>
      <c r="T195" s="205"/>
    </row>
    <row r="196" spans="7:20" ht="14.25" customHeight="1">
      <c r="G196" s="91"/>
      <c r="H196" s="91"/>
      <c r="I196" s="125"/>
      <c r="J196" s="91"/>
      <c r="K196" s="180"/>
      <c r="L196" s="177"/>
      <c r="M196" s="176"/>
      <c r="N196" s="179"/>
      <c r="O196" s="178"/>
      <c r="P196" s="125"/>
      <c r="Q196" s="125"/>
      <c r="R196" s="91"/>
      <c r="S196" s="205"/>
      <c r="T196" s="205"/>
    </row>
    <row r="197" spans="7:20" ht="14.25" customHeight="1">
      <c r="G197" s="91"/>
      <c r="H197" s="91"/>
      <c r="I197" s="125"/>
      <c r="J197" s="91"/>
      <c r="K197" s="180"/>
      <c r="L197" s="177"/>
      <c r="M197" s="176"/>
      <c r="N197" s="179"/>
      <c r="O197" s="178"/>
      <c r="P197" s="125"/>
      <c r="Q197" s="125"/>
      <c r="R197" s="91"/>
      <c r="S197" s="205"/>
      <c r="T197" s="205"/>
    </row>
    <row r="198" spans="7:20" ht="14.25" customHeight="1">
      <c r="G198" s="91"/>
      <c r="H198" s="91"/>
      <c r="I198" s="125"/>
      <c r="J198" s="91"/>
      <c r="K198" s="180"/>
      <c r="L198" s="177"/>
      <c r="M198" s="176"/>
      <c r="N198" s="179"/>
      <c r="O198" s="178"/>
      <c r="P198" s="125"/>
      <c r="Q198" s="125"/>
      <c r="R198" s="91"/>
      <c r="S198" s="205"/>
      <c r="T198" s="205"/>
    </row>
    <row r="199" spans="7:20" ht="14.25" customHeight="1">
      <c r="G199" s="91"/>
      <c r="H199" s="91"/>
      <c r="I199" s="125"/>
      <c r="J199" s="91"/>
      <c r="K199" s="180"/>
      <c r="L199" s="177"/>
      <c r="M199" s="176"/>
      <c r="N199" s="179"/>
      <c r="O199" s="178"/>
      <c r="P199" s="125"/>
      <c r="Q199" s="125"/>
      <c r="R199" s="91"/>
      <c r="S199" s="205"/>
      <c r="T199" s="205"/>
    </row>
    <row r="200" spans="7:20" ht="14.25" customHeight="1">
      <c r="G200" s="91"/>
      <c r="H200" s="91"/>
      <c r="I200" s="125"/>
      <c r="J200" s="91"/>
      <c r="K200" s="180"/>
      <c r="L200" s="177"/>
      <c r="M200" s="176"/>
      <c r="N200" s="179"/>
      <c r="O200" s="178"/>
      <c r="P200" s="125"/>
      <c r="Q200" s="125"/>
      <c r="R200" s="91"/>
      <c r="S200" s="205"/>
      <c r="T200" s="205"/>
    </row>
    <row r="201" spans="7:20" ht="14.25" customHeight="1">
      <c r="G201" s="91"/>
      <c r="H201" s="91"/>
      <c r="I201" s="125"/>
      <c r="J201" s="91"/>
      <c r="K201" s="180"/>
      <c r="L201" s="177"/>
      <c r="M201" s="176"/>
      <c r="N201" s="179"/>
      <c r="O201" s="178"/>
      <c r="P201" s="125"/>
      <c r="Q201" s="125"/>
      <c r="R201" s="91"/>
      <c r="S201" s="205"/>
      <c r="T201" s="205"/>
    </row>
    <row r="202" spans="7:20" ht="14.25" customHeight="1">
      <c r="G202" s="91"/>
      <c r="H202" s="91"/>
      <c r="I202" s="125"/>
      <c r="J202" s="91"/>
      <c r="K202" s="180"/>
      <c r="L202" s="177"/>
      <c r="M202" s="176"/>
      <c r="N202" s="179"/>
      <c r="O202" s="178"/>
      <c r="P202" s="125"/>
      <c r="Q202" s="125"/>
      <c r="R202" s="91"/>
      <c r="S202" s="205"/>
      <c r="T202" s="205"/>
    </row>
    <row r="203" spans="7:20" ht="14.25" customHeight="1">
      <c r="G203" s="91"/>
      <c r="H203" s="91"/>
      <c r="I203" s="125"/>
      <c r="J203" s="91"/>
      <c r="K203" s="180"/>
      <c r="L203" s="177"/>
      <c r="M203" s="176"/>
      <c r="N203" s="179"/>
      <c r="O203" s="178"/>
      <c r="P203" s="125"/>
      <c r="Q203" s="125"/>
      <c r="R203" s="91"/>
      <c r="S203" s="205"/>
      <c r="T203" s="205"/>
    </row>
    <row r="204" spans="7:20" ht="14.25" customHeight="1">
      <c r="G204" s="91"/>
      <c r="H204" s="91"/>
      <c r="I204" s="125"/>
      <c r="J204" s="91"/>
      <c r="K204" s="180"/>
      <c r="L204" s="177"/>
      <c r="M204" s="176"/>
      <c r="N204" s="179"/>
      <c r="O204" s="178"/>
      <c r="P204" s="125"/>
      <c r="Q204" s="125"/>
      <c r="R204" s="91"/>
      <c r="S204" s="205"/>
      <c r="T204" s="205"/>
    </row>
    <row r="205" spans="7:20" ht="14.25" customHeight="1">
      <c r="G205" s="91"/>
      <c r="H205" s="91"/>
      <c r="I205" s="125"/>
      <c r="J205" s="91"/>
      <c r="K205" s="180"/>
      <c r="L205" s="177"/>
      <c r="M205" s="176"/>
      <c r="N205" s="179"/>
      <c r="O205" s="178"/>
      <c r="P205" s="125"/>
      <c r="Q205" s="125"/>
      <c r="R205" s="91"/>
      <c r="S205" s="205"/>
      <c r="T205" s="205"/>
    </row>
    <row r="206" spans="7:20" ht="14.25" customHeight="1">
      <c r="G206" s="91"/>
      <c r="H206" s="91"/>
      <c r="I206" s="125"/>
      <c r="J206" s="91"/>
      <c r="K206" s="180"/>
      <c r="L206" s="177"/>
      <c r="M206" s="176"/>
      <c r="N206" s="179"/>
      <c r="O206" s="178"/>
      <c r="P206" s="125"/>
      <c r="Q206" s="125"/>
      <c r="R206" s="91"/>
      <c r="S206" s="205"/>
      <c r="T206" s="205"/>
    </row>
    <row r="207" spans="7:20" ht="14.25" customHeight="1">
      <c r="G207" s="91"/>
      <c r="H207" s="91"/>
      <c r="I207" s="125"/>
      <c r="J207" s="91"/>
      <c r="K207" s="180"/>
      <c r="L207" s="177"/>
      <c r="M207" s="176"/>
      <c r="N207" s="179"/>
      <c r="O207" s="178"/>
      <c r="P207" s="125"/>
      <c r="Q207" s="125"/>
      <c r="R207" s="91"/>
      <c r="S207" s="205"/>
      <c r="T207" s="205"/>
    </row>
    <row r="208" spans="7:20" ht="14.25" customHeight="1">
      <c r="G208" s="91"/>
      <c r="H208" s="91"/>
      <c r="I208" s="125"/>
      <c r="J208" s="91"/>
      <c r="K208" s="180"/>
      <c r="L208" s="177"/>
      <c r="M208" s="176"/>
      <c r="N208" s="179"/>
      <c r="O208" s="178"/>
      <c r="P208" s="125"/>
      <c r="Q208" s="125"/>
      <c r="R208" s="91"/>
      <c r="S208" s="205"/>
      <c r="T208" s="205"/>
    </row>
    <row r="209" spans="7:20" ht="14.25" customHeight="1">
      <c r="G209" s="91"/>
      <c r="H209" s="91"/>
      <c r="I209" s="125"/>
      <c r="J209" s="91"/>
      <c r="K209" s="180"/>
      <c r="L209" s="177"/>
      <c r="M209" s="176"/>
      <c r="N209" s="179"/>
      <c r="O209" s="178"/>
      <c r="P209" s="125"/>
      <c r="Q209" s="125"/>
      <c r="R209" s="91"/>
      <c r="S209" s="205"/>
      <c r="T209" s="205"/>
    </row>
    <row r="210" spans="7:20" ht="14.25" customHeight="1">
      <c r="G210" s="91"/>
      <c r="H210" s="91"/>
      <c r="I210" s="125"/>
      <c r="J210" s="91"/>
      <c r="K210" s="180"/>
      <c r="L210" s="177"/>
      <c r="M210" s="176"/>
      <c r="N210" s="179"/>
      <c r="O210" s="178"/>
      <c r="P210" s="125"/>
      <c r="Q210" s="125"/>
      <c r="R210" s="91"/>
      <c r="S210" s="205"/>
      <c r="T210" s="205"/>
    </row>
    <row r="211" spans="7:20" ht="14.25" customHeight="1">
      <c r="G211" s="91"/>
      <c r="H211" s="91"/>
      <c r="I211" s="125"/>
      <c r="J211" s="91"/>
      <c r="K211" s="180"/>
      <c r="L211" s="177"/>
      <c r="M211" s="176"/>
      <c r="N211" s="179"/>
      <c r="O211" s="178"/>
      <c r="P211" s="125"/>
      <c r="Q211" s="125"/>
      <c r="R211" s="91"/>
      <c r="S211" s="205"/>
      <c r="T211" s="205"/>
    </row>
    <row r="212" spans="7:20" ht="14.25" customHeight="1">
      <c r="G212" s="91"/>
      <c r="H212" s="91"/>
      <c r="I212" s="125"/>
      <c r="J212" s="91"/>
      <c r="K212" s="180"/>
      <c r="L212" s="177"/>
      <c r="M212" s="176"/>
      <c r="N212" s="179"/>
      <c r="O212" s="178"/>
      <c r="P212" s="125"/>
      <c r="Q212" s="125"/>
      <c r="R212" s="91"/>
      <c r="S212" s="205"/>
      <c r="T212" s="205"/>
    </row>
    <row r="213" spans="7:20" ht="14.25" customHeight="1">
      <c r="G213" s="91"/>
      <c r="H213" s="91"/>
      <c r="I213" s="125"/>
      <c r="J213" s="91"/>
      <c r="K213" s="180"/>
      <c r="L213" s="177"/>
      <c r="M213" s="176"/>
      <c r="N213" s="179"/>
      <c r="O213" s="178"/>
      <c r="P213" s="125"/>
      <c r="Q213" s="125"/>
      <c r="R213" s="91"/>
      <c r="S213" s="205"/>
      <c r="T213" s="205"/>
    </row>
    <row r="214" spans="7:20" ht="14.25" customHeight="1">
      <c r="G214" s="91"/>
      <c r="H214" s="91"/>
      <c r="I214" s="125"/>
      <c r="J214" s="91"/>
      <c r="K214" s="180"/>
      <c r="L214" s="177"/>
      <c r="M214" s="176"/>
      <c r="N214" s="179"/>
      <c r="O214" s="178"/>
      <c r="P214" s="125"/>
      <c r="Q214" s="125"/>
      <c r="R214" s="91"/>
      <c r="S214" s="205"/>
      <c r="T214" s="205"/>
    </row>
    <row r="215" spans="7:20" ht="14.25" customHeight="1">
      <c r="G215" s="91"/>
      <c r="H215" s="91"/>
      <c r="I215" s="125"/>
      <c r="J215" s="91"/>
      <c r="K215" s="180"/>
      <c r="L215" s="177"/>
      <c r="M215" s="176"/>
      <c r="N215" s="179"/>
      <c r="O215" s="178"/>
      <c r="P215" s="125"/>
      <c r="Q215" s="125"/>
      <c r="R215" s="91"/>
      <c r="S215" s="205"/>
      <c r="T215" s="205"/>
    </row>
    <row r="216" spans="7:20" ht="14.25" customHeight="1">
      <c r="G216" s="91"/>
      <c r="H216" s="91"/>
      <c r="I216" s="125"/>
      <c r="J216" s="91"/>
      <c r="K216" s="180"/>
      <c r="L216" s="177"/>
      <c r="M216" s="176"/>
      <c r="N216" s="179"/>
      <c r="O216" s="178"/>
      <c r="P216" s="125"/>
      <c r="Q216" s="125"/>
      <c r="R216" s="91"/>
      <c r="S216" s="205"/>
      <c r="T216" s="205"/>
    </row>
    <row r="217" spans="7:20" ht="14.25" customHeight="1">
      <c r="G217" s="91"/>
      <c r="H217" s="91"/>
      <c r="I217" s="125"/>
      <c r="J217" s="91"/>
      <c r="K217" s="180"/>
      <c r="L217" s="177"/>
      <c r="M217" s="176"/>
      <c r="N217" s="179"/>
      <c r="O217" s="178"/>
      <c r="P217" s="125"/>
      <c r="Q217" s="125"/>
      <c r="R217" s="91"/>
      <c r="S217" s="205"/>
      <c r="T217" s="205"/>
    </row>
    <row r="218" spans="7:20" ht="14.25" customHeight="1">
      <c r="G218" s="91"/>
      <c r="H218" s="91"/>
      <c r="I218" s="125"/>
      <c r="J218" s="91"/>
      <c r="K218" s="180"/>
      <c r="L218" s="177"/>
      <c r="M218" s="176"/>
      <c r="N218" s="179"/>
      <c r="O218" s="178"/>
      <c r="P218" s="125"/>
      <c r="Q218" s="125"/>
      <c r="R218" s="91"/>
      <c r="S218" s="205"/>
      <c r="T218" s="205"/>
    </row>
    <row r="219" spans="7:20" ht="14.25" customHeight="1">
      <c r="G219" s="91"/>
      <c r="H219" s="91"/>
      <c r="I219" s="125"/>
      <c r="J219" s="91"/>
      <c r="K219" s="180"/>
      <c r="L219" s="177"/>
      <c r="M219" s="176"/>
      <c r="N219" s="179"/>
      <c r="O219" s="178"/>
      <c r="P219" s="125"/>
      <c r="Q219" s="125"/>
      <c r="R219" s="91"/>
      <c r="S219" s="205"/>
      <c r="T219" s="205"/>
    </row>
    <row r="220" spans="7:20" ht="14.25" customHeight="1">
      <c r="G220" s="91"/>
      <c r="H220" s="91"/>
      <c r="I220" s="125"/>
      <c r="J220" s="91"/>
      <c r="K220" s="180"/>
      <c r="L220" s="177"/>
      <c r="M220" s="176"/>
      <c r="N220" s="179"/>
      <c r="O220" s="178"/>
      <c r="P220" s="125"/>
      <c r="Q220" s="125"/>
      <c r="R220" s="91"/>
      <c r="S220" s="205"/>
      <c r="T220" s="205"/>
    </row>
    <row r="221" spans="7:20" ht="14.25" customHeight="1">
      <c r="G221" s="91"/>
      <c r="H221" s="91"/>
      <c r="I221" s="125"/>
      <c r="J221" s="91"/>
      <c r="K221" s="180"/>
      <c r="L221" s="177"/>
      <c r="M221" s="176"/>
      <c r="N221" s="179"/>
      <c r="O221" s="178"/>
      <c r="P221" s="125"/>
      <c r="Q221" s="125"/>
      <c r="R221" s="91"/>
      <c r="S221" s="205"/>
      <c r="T221" s="205"/>
    </row>
    <row r="222" spans="7:20" ht="14.25" customHeight="1">
      <c r="G222" s="91"/>
      <c r="H222" s="91"/>
      <c r="I222" s="125"/>
      <c r="J222" s="91"/>
      <c r="K222" s="180"/>
      <c r="L222" s="177"/>
      <c r="M222" s="176"/>
      <c r="N222" s="179"/>
      <c r="O222" s="178"/>
      <c r="P222" s="125"/>
      <c r="Q222" s="125"/>
      <c r="R222" s="91"/>
      <c r="S222" s="205"/>
      <c r="T222" s="205"/>
    </row>
    <row r="223" spans="7:20" ht="14.25" customHeight="1">
      <c r="G223" s="91"/>
      <c r="H223" s="91"/>
      <c r="I223" s="125"/>
      <c r="J223" s="91"/>
      <c r="K223" s="180"/>
      <c r="L223" s="177"/>
      <c r="M223" s="176"/>
      <c r="N223" s="179"/>
      <c r="O223" s="178"/>
      <c r="P223" s="125"/>
      <c r="Q223" s="125"/>
      <c r="R223" s="91"/>
      <c r="S223" s="205"/>
      <c r="T223" s="205"/>
    </row>
    <row r="224" spans="7:20" ht="14.25" customHeight="1">
      <c r="G224" s="91"/>
      <c r="H224" s="91"/>
      <c r="I224" s="125"/>
      <c r="J224" s="91"/>
      <c r="K224" s="180"/>
      <c r="L224" s="177"/>
      <c r="M224" s="176"/>
      <c r="N224" s="179"/>
      <c r="O224" s="178"/>
      <c r="P224" s="125"/>
      <c r="Q224" s="125"/>
      <c r="R224" s="91"/>
      <c r="S224" s="205"/>
      <c r="T224" s="205"/>
    </row>
    <row r="225" spans="7:20" ht="14.25" customHeight="1">
      <c r="G225" s="91"/>
      <c r="H225" s="91"/>
      <c r="I225" s="125"/>
      <c r="J225" s="91"/>
      <c r="K225" s="180"/>
      <c r="L225" s="177"/>
      <c r="M225" s="176"/>
      <c r="N225" s="179"/>
      <c r="O225" s="178"/>
      <c r="P225" s="125"/>
      <c r="Q225" s="125"/>
      <c r="R225" s="91"/>
      <c r="S225" s="205"/>
      <c r="T225" s="205"/>
    </row>
    <row r="226" spans="7:20" ht="14.25" customHeight="1">
      <c r="G226" s="91"/>
      <c r="H226" s="91"/>
      <c r="I226" s="125"/>
      <c r="J226" s="91"/>
      <c r="K226" s="180"/>
      <c r="L226" s="177"/>
      <c r="M226" s="176"/>
      <c r="N226" s="179"/>
      <c r="O226" s="178"/>
      <c r="P226" s="125"/>
      <c r="Q226" s="125"/>
      <c r="R226" s="91"/>
      <c r="S226" s="205"/>
      <c r="T226" s="205"/>
    </row>
    <row r="227" spans="7:20" ht="14.25" customHeight="1">
      <c r="G227" s="91"/>
      <c r="H227" s="91"/>
      <c r="I227" s="125"/>
      <c r="J227" s="91"/>
      <c r="K227" s="180"/>
      <c r="L227" s="177"/>
      <c r="M227" s="176"/>
      <c r="N227" s="179"/>
      <c r="O227" s="178"/>
      <c r="P227" s="125"/>
      <c r="Q227" s="125"/>
      <c r="R227" s="91"/>
      <c r="S227" s="205"/>
      <c r="T227" s="205"/>
    </row>
    <row r="228" spans="7:20" ht="14.25" customHeight="1">
      <c r="G228" s="91"/>
      <c r="H228" s="91"/>
      <c r="I228" s="125"/>
      <c r="J228" s="91"/>
      <c r="K228" s="180"/>
      <c r="L228" s="177"/>
      <c r="M228" s="176"/>
      <c r="N228" s="179"/>
      <c r="O228" s="178"/>
      <c r="P228" s="125"/>
      <c r="Q228" s="125"/>
      <c r="R228" s="91"/>
      <c r="S228" s="205"/>
      <c r="T228" s="205"/>
    </row>
    <row r="229" spans="7:20" ht="14.25" customHeight="1">
      <c r="G229" s="91"/>
      <c r="H229" s="91"/>
      <c r="I229" s="125"/>
      <c r="J229" s="91"/>
      <c r="K229" s="180"/>
      <c r="L229" s="177"/>
      <c r="M229" s="176"/>
      <c r="N229" s="179"/>
      <c r="O229" s="178"/>
      <c r="P229" s="125"/>
      <c r="Q229" s="125"/>
      <c r="R229" s="91"/>
      <c r="S229" s="205"/>
      <c r="T229" s="205"/>
    </row>
    <row r="230" spans="7:20" ht="14.25" customHeight="1">
      <c r="G230" s="91"/>
      <c r="H230" s="91"/>
      <c r="I230" s="125"/>
      <c r="J230" s="91"/>
      <c r="K230" s="180"/>
      <c r="L230" s="177"/>
      <c r="M230" s="176"/>
      <c r="N230" s="179"/>
      <c r="O230" s="178"/>
      <c r="P230" s="125"/>
      <c r="Q230" s="125"/>
      <c r="R230" s="91"/>
      <c r="S230" s="205"/>
      <c r="T230" s="205"/>
    </row>
    <row r="231" spans="7:20" ht="14.25" customHeight="1">
      <c r="G231" s="91"/>
      <c r="H231" s="91"/>
      <c r="I231" s="125"/>
      <c r="J231" s="91"/>
      <c r="K231" s="180"/>
      <c r="L231" s="177"/>
      <c r="M231" s="176"/>
      <c r="N231" s="179"/>
      <c r="O231" s="178"/>
      <c r="P231" s="125"/>
      <c r="Q231" s="125"/>
      <c r="R231" s="91"/>
      <c r="S231" s="205"/>
      <c r="T231" s="205"/>
    </row>
    <row r="232" spans="7:20" ht="14.25" customHeight="1">
      <c r="G232" s="91"/>
      <c r="H232" s="91"/>
      <c r="I232" s="125"/>
      <c r="J232" s="91"/>
      <c r="K232" s="180"/>
      <c r="L232" s="177"/>
      <c r="M232" s="176"/>
      <c r="N232" s="179"/>
      <c r="O232" s="178"/>
      <c r="P232" s="125"/>
      <c r="Q232" s="125"/>
      <c r="R232" s="91"/>
      <c r="S232" s="205"/>
      <c r="T232" s="205"/>
    </row>
    <row r="233" spans="7:20" ht="14.25" customHeight="1">
      <c r="G233" s="91"/>
      <c r="H233" s="91"/>
      <c r="I233" s="125"/>
      <c r="J233" s="91"/>
      <c r="K233" s="180"/>
      <c r="L233" s="177"/>
      <c r="M233" s="176"/>
      <c r="N233" s="179"/>
      <c r="O233" s="178"/>
      <c r="P233" s="125"/>
      <c r="Q233" s="125"/>
      <c r="R233" s="91"/>
      <c r="S233" s="205"/>
      <c r="T233" s="205"/>
    </row>
    <row r="234" spans="7:20" ht="14.25" customHeight="1">
      <c r="G234" s="91"/>
      <c r="H234" s="91"/>
      <c r="I234" s="125"/>
      <c r="J234" s="91"/>
      <c r="K234" s="180"/>
      <c r="L234" s="177"/>
      <c r="M234" s="176"/>
      <c r="N234" s="179"/>
      <c r="O234" s="178"/>
      <c r="P234" s="125"/>
      <c r="Q234" s="125"/>
      <c r="R234" s="91"/>
      <c r="S234" s="205"/>
      <c r="T234" s="205"/>
    </row>
    <row r="235" spans="7:20" ht="14.25" customHeight="1">
      <c r="G235" s="91"/>
      <c r="H235" s="91"/>
      <c r="I235" s="125"/>
      <c r="J235" s="91"/>
      <c r="K235" s="180"/>
      <c r="L235" s="177"/>
      <c r="M235" s="176"/>
      <c r="N235" s="179"/>
      <c r="O235" s="178"/>
      <c r="P235" s="125"/>
      <c r="Q235" s="125"/>
      <c r="R235" s="91"/>
      <c r="S235" s="205"/>
      <c r="T235" s="205"/>
    </row>
    <row r="236" spans="7:20" ht="14.25" customHeight="1">
      <c r="G236" s="91"/>
      <c r="H236" s="91"/>
      <c r="I236" s="125"/>
      <c r="J236" s="91"/>
      <c r="K236" s="180"/>
      <c r="L236" s="177"/>
      <c r="M236" s="176"/>
      <c r="N236" s="179"/>
      <c r="O236" s="178"/>
      <c r="P236" s="125"/>
      <c r="Q236" s="125"/>
      <c r="R236" s="91"/>
      <c r="S236" s="205"/>
      <c r="T236" s="205"/>
    </row>
    <row r="237" spans="7:20" ht="14.25" customHeight="1">
      <c r="G237" s="91"/>
      <c r="H237" s="91"/>
      <c r="I237" s="125"/>
      <c r="J237" s="91"/>
      <c r="K237" s="180"/>
      <c r="L237" s="177"/>
      <c r="M237" s="176"/>
      <c r="N237" s="179"/>
      <c r="O237" s="178"/>
      <c r="P237" s="125"/>
      <c r="Q237" s="125"/>
      <c r="R237" s="91"/>
      <c r="S237" s="205"/>
      <c r="T237" s="205"/>
    </row>
    <row r="238" spans="7:20" ht="14.25" customHeight="1">
      <c r="G238" s="91"/>
      <c r="H238" s="91"/>
      <c r="I238" s="125"/>
      <c r="J238" s="91"/>
      <c r="K238" s="180"/>
      <c r="L238" s="177"/>
      <c r="M238" s="176"/>
      <c r="N238" s="179"/>
      <c r="O238" s="178"/>
      <c r="P238" s="125"/>
      <c r="Q238" s="125"/>
      <c r="R238" s="91"/>
      <c r="S238" s="205"/>
      <c r="T238" s="205"/>
    </row>
    <row r="239" spans="7:20" ht="14.25" customHeight="1">
      <c r="G239" s="91"/>
      <c r="H239" s="91"/>
      <c r="I239" s="125"/>
      <c r="J239" s="91"/>
      <c r="K239" s="180"/>
      <c r="L239" s="177"/>
      <c r="M239" s="176"/>
      <c r="N239" s="179"/>
      <c r="O239" s="178"/>
      <c r="P239" s="125"/>
      <c r="Q239" s="125"/>
      <c r="R239" s="91"/>
      <c r="S239" s="205"/>
      <c r="T239" s="205"/>
    </row>
    <row r="240" spans="7:20" ht="14.25" customHeight="1">
      <c r="G240" s="91"/>
      <c r="H240" s="91"/>
      <c r="I240" s="125"/>
      <c r="J240" s="91"/>
      <c r="K240" s="180"/>
      <c r="L240" s="177"/>
      <c r="M240" s="176"/>
      <c r="N240" s="179"/>
      <c r="O240" s="178"/>
      <c r="P240" s="125"/>
      <c r="Q240" s="125"/>
      <c r="R240" s="91"/>
      <c r="S240" s="205"/>
      <c r="T240" s="205"/>
    </row>
    <row r="241" spans="7:20" ht="14.25" customHeight="1">
      <c r="G241" s="91"/>
      <c r="H241" s="91"/>
      <c r="I241" s="125"/>
      <c r="J241" s="91"/>
      <c r="K241" s="180"/>
      <c r="L241" s="177"/>
      <c r="M241" s="176"/>
      <c r="N241" s="179"/>
      <c r="O241" s="178"/>
      <c r="P241" s="125"/>
      <c r="Q241" s="125"/>
      <c r="R241" s="91"/>
      <c r="S241" s="205"/>
      <c r="T241" s="205"/>
    </row>
    <row r="242" spans="7:20" ht="14.25" customHeight="1">
      <c r="G242" s="91"/>
      <c r="H242" s="91"/>
      <c r="I242" s="125"/>
      <c r="J242" s="91"/>
      <c r="K242" s="180"/>
      <c r="L242" s="177"/>
      <c r="M242" s="176"/>
      <c r="N242" s="179"/>
      <c r="O242" s="178"/>
      <c r="P242" s="125"/>
      <c r="Q242" s="125"/>
      <c r="R242" s="91"/>
      <c r="S242" s="205"/>
      <c r="T242" s="205"/>
    </row>
    <row r="243" spans="7:20" ht="14.25" customHeight="1">
      <c r="G243" s="91"/>
      <c r="H243" s="91"/>
      <c r="I243" s="125"/>
      <c r="J243" s="91"/>
      <c r="K243" s="180"/>
      <c r="L243" s="177"/>
      <c r="M243" s="176"/>
      <c r="N243" s="179"/>
      <c r="O243" s="178"/>
      <c r="P243" s="125"/>
      <c r="Q243" s="125"/>
      <c r="R243" s="91"/>
      <c r="S243" s="205"/>
      <c r="T243" s="205"/>
    </row>
    <row r="244" spans="7:20" ht="14.25" customHeight="1">
      <c r="G244" s="91"/>
      <c r="H244" s="91"/>
      <c r="I244" s="125"/>
      <c r="J244" s="91"/>
      <c r="K244" s="180"/>
      <c r="L244" s="177"/>
      <c r="M244" s="176"/>
      <c r="N244" s="179"/>
      <c r="O244" s="178"/>
      <c r="P244" s="125"/>
      <c r="Q244" s="125"/>
      <c r="R244" s="91"/>
      <c r="S244" s="205"/>
      <c r="T244" s="205"/>
    </row>
    <row r="245" spans="7:20" ht="14.25" customHeight="1">
      <c r="G245" s="91"/>
      <c r="H245" s="91"/>
      <c r="I245" s="125"/>
      <c r="J245" s="91"/>
      <c r="K245" s="180"/>
      <c r="L245" s="177"/>
      <c r="M245" s="176"/>
      <c r="N245" s="179"/>
      <c r="O245" s="178"/>
      <c r="P245" s="125"/>
      <c r="Q245" s="125"/>
      <c r="R245" s="91"/>
      <c r="S245" s="205"/>
      <c r="T245" s="205"/>
    </row>
    <row r="246" spans="7:20" ht="14.25" customHeight="1">
      <c r="G246" s="91"/>
      <c r="H246" s="91"/>
      <c r="I246" s="125"/>
      <c r="J246" s="91"/>
      <c r="K246" s="180"/>
      <c r="L246" s="177"/>
      <c r="M246" s="176"/>
      <c r="N246" s="179"/>
      <c r="O246" s="178"/>
      <c r="P246" s="125"/>
      <c r="Q246" s="125"/>
      <c r="R246" s="91"/>
      <c r="S246" s="205"/>
      <c r="T246" s="205"/>
    </row>
    <row r="247" spans="7:20" ht="14.25" customHeight="1">
      <c r="G247" s="91"/>
      <c r="H247" s="91"/>
      <c r="I247" s="125"/>
      <c r="J247" s="91"/>
      <c r="K247" s="180"/>
      <c r="L247" s="177"/>
      <c r="M247" s="176"/>
      <c r="N247" s="179"/>
      <c r="O247" s="178"/>
      <c r="P247" s="125"/>
      <c r="Q247" s="125"/>
      <c r="R247" s="91"/>
      <c r="S247" s="205"/>
      <c r="T247" s="205"/>
    </row>
    <row r="248" spans="7:20" ht="14.25" customHeight="1">
      <c r="G248" s="91"/>
      <c r="H248" s="91"/>
      <c r="I248" s="125"/>
      <c r="J248" s="91"/>
      <c r="K248" s="180"/>
      <c r="L248" s="177"/>
      <c r="M248" s="176"/>
      <c r="N248" s="179"/>
      <c r="O248" s="178"/>
      <c r="P248" s="125"/>
      <c r="Q248" s="125"/>
      <c r="R248" s="91"/>
      <c r="S248" s="205"/>
      <c r="T248" s="205"/>
    </row>
    <row r="249" spans="7:20" ht="14.25" customHeight="1">
      <c r="G249" s="91"/>
      <c r="H249" s="91"/>
      <c r="I249" s="125"/>
      <c r="J249" s="91"/>
      <c r="K249" s="180"/>
      <c r="L249" s="177"/>
      <c r="M249" s="176"/>
      <c r="N249" s="179"/>
      <c r="O249" s="178"/>
      <c r="P249" s="125"/>
      <c r="Q249" s="125"/>
      <c r="R249" s="91"/>
      <c r="S249" s="205"/>
      <c r="T249" s="205"/>
    </row>
    <row r="250" spans="7:20" ht="14.25" customHeight="1">
      <c r="G250" s="91"/>
      <c r="H250" s="91"/>
      <c r="I250" s="125"/>
      <c r="J250" s="91"/>
      <c r="K250" s="180"/>
      <c r="L250" s="177"/>
      <c r="M250" s="176"/>
      <c r="N250" s="179"/>
      <c r="O250" s="178"/>
      <c r="P250" s="125"/>
      <c r="Q250" s="125"/>
      <c r="R250" s="91"/>
      <c r="S250" s="205"/>
      <c r="T250" s="205"/>
    </row>
    <row r="251" spans="7:20" ht="14.25" customHeight="1">
      <c r="G251" s="91"/>
      <c r="H251" s="91"/>
      <c r="I251" s="125"/>
      <c r="J251" s="91"/>
      <c r="K251" s="180"/>
      <c r="L251" s="177"/>
      <c r="M251" s="176"/>
      <c r="N251" s="179"/>
      <c r="O251" s="178"/>
      <c r="P251" s="125"/>
      <c r="Q251" s="125"/>
      <c r="R251" s="91"/>
      <c r="S251" s="205"/>
      <c r="T251" s="205"/>
    </row>
    <row r="252" spans="7:20" ht="14.25" customHeight="1">
      <c r="G252" s="91"/>
      <c r="H252" s="91"/>
      <c r="I252" s="125"/>
      <c r="J252" s="91"/>
      <c r="K252" s="180"/>
      <c r="L252" s="177"/>
      <c r="M252" s="176"/>
      <c r="N252" s="179"/>
      <c r="O252" s="178"/>
      <c r="P252" s="125"/>
      <c r="Q252" s="125"/>
      <c r="R252" s="91"/>
      <c r="S252" s="205"/>
      <c r="T252" s="205"/>
    </row>
    <row r="253" spans="7:20" ht="14.25" customHeight="1">
      <c r="G253" s="91"/>
      <c r="H253" s="91"/>
      <c r="I253" s="125"/>
      <c r="J253" s="91"/>
      <c r="K253" s="180"/>
      <c r="L253" s="177"/>
      <c r="M253" s="176"/>
      <c r="N253" s="179"/>
      <c r="O253" s="178"/>
      <c r="P253" s="125"/>
      <c r="Q253" s="125"/>
      <c r="R253" s="91"/>
      <c r="S253" s="205"/>
      <c r="T253" s="205"/>
    </row>
    <row r="254" spans="7:20" ht="14.25" customHeight="1">
      <c r="G254" s="91"/>
      <c r="H254" s="91"/>
      <c r="I254" s="125"/>
      <c r="J254" s="91"/>
      <c r="K254" s="180"/>
      <c r="L254" s="177"/>
      <c r="M254" s="176"/>
      <c r="N254" s="179"/>
      <c r="O254" s="178"/>
      <c r="P254" s="125"/>
      <c r="Q254" s="125"/>
      <c r="R254" s="91"/>
      <c r="S254" s="205"/>
      <c r="T254" s="205"/>
    </row>
    <row r="255" spans="7:20" ht="14.25" customHeight="1">
      <c r="G255" s="91"/>
      <c r="H255" s="91"/>
      <c r="I255" s="125"/>
      <c r="J255" s="91"/>
      <c r="K255" s="180"/>
      <c r="L255" s="177"/>
      <c r="M255" s="176"/>
      <c r="N255" s="179"/>
      <c r="O255" s="178"/>
      <c r="P255" s="125"/>
      <c r="Q255" s="125"/>
      <c r="R255" s="91"/>
      <c r="S255" s="205"/>
      <c r="T255" s="205"/>
    </row>
    <row r="256" spans="7:20" ht="14.25" customHeight="1">
      <c r="G256" s="91"/>
      <c r="H256" s="91"/>
      <c r="I256" s="125"/>
      <c r="J256" s="91"/>
      <c r="K256" s="180"/>
      <c r="L256" s="177"/>
      <c r="M256" s="176"/>
      <c r="N256" s="179"/>
      <c r="O256" s="178"/>
      <c r="P256" s="125"/>
      <c r="Q256" s="125"/>
      <c r="R256" s="91"/>
      <c r="S256" s="205"/>
      <c r="T256" s="205"/>
    </row>
    <row r="257" spans="7:20" ht="14.25" customHeight="1">
      <c r="G257" s="91"/>
      <c r="H257" s="91"/>
      <c r="I257" s="125"/>
      <c r="J257" s="91"/>
      <c r="K257" s="180"/>
      <c r="L257" s="177"/>
      <c r="M257" s="176"/>
      <c r="N257" s="179"/>
      <c r="O257" s="178"/>
      <c r="P257" s="125"/>
      <c r="Q257" s="125"/>
      <c r="R257" s="91"/>
      <c r="S257" s="205"/>
      <c r="T257" s="205"/>
    </row>
    <row r="258" spans="7:20" ht="14.25" customHeight="1">
      <c r="G258" s="91"/>
      <c r="H258" s="91"/>
      <c r="I258" s="125"/>
      <c r="J258" s="91"/>
      <c r="K258" s="180"/>
      <c r="L258" s="177"/>
      <c r="M258" s="176"/>
      <c r="N258" s="179"/>
      <c r="O258" s="178"/>
      <c r="P258" s="125"/>
      <c r="Q258" s="125"/>
      <c r="R258" s="91"/>
      <c r="S258" s="205"/>
      <c r="T258" s="205"/>
    </row>
    <row r="259" spans="7:20" ht="14.25" customHeight="1">
      <c r="G259" s="91"/>
      <c r="H259" s="91"/>
      <c r="I259" s="125"/>
      <c r="J259" s="91"/>
      <c r="K259" s="180"/>
      <c r="L259" s="177"/>
      <c r="M259" s="176"/>
      <c r="N259" s="179"/>
      <c r="O259" s="178"/>
      <c r="P259" s="125"/>
      <c r="Q259" s="125"/>
      <c r="R259" s="91"/>
      <c r="S259" s="205"/>
      <c r="T259" s="205"/>
    </row>
    <row r="260" spans="7:20" ht="14.25" customHeight="1">
      <c r="G260" s="91"/>
      <c r="H260" s="91"/>
      <c r="I260" s="125"/>
      <c r="J260" s="91"/>
      <c r="K260" s="180"/>
      <c r="L260" s="177"/>
      <c r="M260" s="176"/>
      <c r="N260" s="179"/>
      <c r="O260" s="178"/>
      <c r="P260" s="125"/>
      <c r="Q260" s="125"/>
      <c r="R260" s="91"/>
      <c r="S260" s="205"/>
      <c r="T260" s="205"/>
    </row>
    <row r="261" spans="7:20" ht="14.25" customHeight="1">
      <c r="G261" s="91"/>
      <c r="H261" s="91"/>
      <c r="I261" s="125"/>
      <c r="J261" s="91"/>
      <c r="K261" s="180"/>
      <c r="L261" s="177"/>
      <c r="M261" s="176"/>
      <c r="N261" s="179"/>
      <c r="O261" s="178"/>
      <c r="P261" s="125"/>
      <c r="Q261" s="125"/>
      <c r="R261" s="91"/>
      <c r="S261" s="205"/>
      <c r="T261" s="205"/>
    </row>
    <row r="262" spans="7:20" ht="14.25" customHeight="1">
      <c r="G262" s="91"/>
      <c r="H262" s="91"/>
      <c r="I262" s="125"/>
      <c r="J262" s="91"/>
      <c r="K262" s="180"/>
      <c r="L262" s="177"/>
      <c r="M262" s="176"/>
      <c r="N262" s="179"/>
      <c r="O262" s="178"/>
      <c r="P262" s="125"/>
      <c r="Q262" s="125"/>
      <c r="R262" s="91"/>
      <c r="S262" s="205"/>
      <c r="T262" s="205"/>
    </row>
    <row r="263" spans="7:20" ht="14.25" customHeight="1">
      <c r="G263" s="91"/>
      <c r="H263" s="91"/>
      <c r="I263" s="125"/>
      <c r="J263" s="91"/>
      <c r="K263" s="180"/>
      <c r="L263" s="177"/>
      <c r="M263" s="176"/>
      <c r="N263" s="179"/>
      <c r="O263" s="178"/>
      <c r="P263" s="125"/>
      <c r="Q263" s="125"/>
      <c r="R263" s="91"/>
      <c r="S263" s="205"/>
      <c r="T263" s="205"/>
    </row>
    <row r="264" spans="7:20" ht="14.25" customHeight="1">
      <c r="G264" s="91"/>
      <c r="H264" s="91"/>
      <c r="I264" s="125"/>
      <c r="J264" s="91"/>
      <c r="K264" s="180"/>
      <c r="L264" s="177"/>
      <c r="M264" s="176"/>
      <c r="N264" s="179"/>
      <c r="O264" s="178"/>
      <c r="P264" s="125"/>
      <c r="Q264" s="125"/>
      <c r="R264" s="91"/>
      <c r="S264" s="205"/>
      <c r="T264" s="205"/>
    </row>
    <row r="265" spans="7:20" ht="14.25" customHeight="1">
      <c r="G265" s="91"/>
      <c r="H265" s="91"/>
      <c r="I265" s="125"/>
      <c r="J265" s="91"/>
      <c r="K265" s="180"/>
      <c r="L265" s="177"/>
      <c r="M265" s="176"/>
      <c r="N265" s="179"/>
      <c r="O265" s="178"/>
      <c r="P265" s="125"/>
      <c r="Q265" s="125"/>
      <c r="R265" s="91"/>
      <c r="S265" s="205"/>
      <c r="T265" s="205"/>
    </row>
    <row r="266" spans="7:20" ht="14.25" customHeight="1">
      <c r="G266" s="91"/>
      <c r="H266" s="91"/>
      <c r="I266" s="125"/>
      <c r="J266" s="91"/>
      <c r="K266" s="180"/>
      <c r="L266" s="177"/>
      <c r="M266" s="176"/>
      <c r="N266" s="179"/>
      <c r="O266" s="178"/>
      <c r="P266" s="125"/>
      <c r="Q266" s="125"/>
      <c r="R266" s="91"/>
      <c r="S266" s="205"/>
      <c r="T266" s="205"/>
    </row>
    <row r="267" spans="7:20" ht="14.25" customHeight="1">
      <c r="G267" s="91"/>
      <c r="H267" s="91"/>
      <c r="I267" s="125"/>
      <c r="J267" s="91"/>
      <c r="K267" s="180"/>
      <c r="L267" s="177"/>
      <c r="M267" s="176"/>
      <c r="N267" s="179"/>
      <c r="O267" s="178"/>
      <c r="P267" s="125"/>
      <c r="Q267" s="125"/>
      <c r="R267" s="91"/>
      <c r="S267" s="205"/>
      <c r="T267" s="205"/>
    </row>
    <row r="268" spans="7:20" ht="14.25" customHeight="1">
      <c r="G268" s="91"/>
      <c r="H268" s="91"/>
      <c r="I268" s="125"/>
      <c r="J268" s="91"/>
      <c r="K268" s="180"/>
      <c r="L268" s="177"/>
      <c r="M268" s="176"/>
      <c r="N268" s="179"/>
      <c r="O268" s="178"/>
      <c r="P268" s="125"/>
      <c r="Q268" s="125"/>
      <c r="R268" s="91"/>
      <c r="S268" s="205"/>
      <c r="T268" s="205"/>
    </row>
    <row r="269" spans="7:20" ht="14.25" customHeight="1">
      <c r="G269" s="91"/>
      <c r="H269" s="91"/>
      <c r="I269" s="125"/>
      <c r="J269" s="91"/>
      <c r="K269" s="180"/>
      <c r="L269" s="177"/>
      <c r="M269" s="176"/>
      <c r="N269" s="179"/>
      <c r="O269" s="178"/>
      <c r="P269" s="125"/>
      <c r="Q269" s="125"/>
      <c r="R269" s="91"/>
      <c r="S269" s="205"/>
      <c r="T269" s="205"/>
    </row>
    <row r="270" spans="7:20" ht="14.25" customHeight="1">
      <c r="G270" s="91"/>
      <c r="H270" s="91"/>
      <c r="I270" s="125"/>
      <c r="J270" s="91"/>
      <c r="K270" s="180"/>
      <c r="L270" s="177"/>
      <c r="M270" s="176"/>
      <c r="N270" s="179"/>
      <c r="O270" s="178"/>
      <c r="P270" s="125"/>
      <c r="Q270" s="125"/>
      <c r="R270" s="91"/>
      <c r="S270" s="205"/>
      <c r="T270" s="205"/>
    </row>
    <row r="271" spans="7:20" ht="14.25" customHeight="1">
      <c r="G271" s="91"/>
      <c r="H271" s="91"/>
      <c r="I271" s="125"/>
      <c r="J271" s="91"/>
      <c r="K271" s="180"/>
      <c r="L271" s="177"/>
      <c r="M271" s="176"/>
      <c r="N271" s="179"/>
      <c r="O271" s="178"/>
      <c r="P271" s="125"/>
      <c r="Q271" s="125"/>
      <c r="R271" s="91"/>
      <c r="S271" s="205"/>
      <c r="T271" s="205"/>
    </row>
    <row r="272" spans="7:20" ht="14.25" customHeight="1">
      <c r="G272" s="91"/>
      <c r="H272" s="91"/>
      <c r="I272" s="125"/>
      <c r="J272" s="91"/>
      <c r="K272" s="180"/>
      <c r="L272" s="177"/>
      <c r="M272" s="176"/>
      <c r="N272" s="179"/>
      <c r="O272" s="178"/>
      <c r="P272" s="125"/>
      <c r="Q272" s="125"/>
      <c r="R272" s="91"/>
      <c r="S272" s="205"/>
      <c r="T272" s="205"/>
    </row>
    <row r="273" spans="7:20" ht="14.25" customHeight="1">
      <c r="G273" s="91"/>
      <c r="H273" s="91"/>
      <c r="I273" s="125"/>
      <c r="J273" s="91"/>
      <c r="K273" s="180"/>
      <c r="L273" s="177"/>
      <c r="M273" s="176"/>
      <c r="N273" s="179"/>
      <c r="O273" s="178"/>
      <c r="P273" s="125"/>
      <c r="Q273" s="125"/>
      <c r="R273" s="91"/>
      <c r="S273" s="205"/>
      <c r="T273" s="205"/>
    </row>
    <row r="274" spans="7:20" ht="14.25" customHeight="1">
      <c r="G274" s="91"/>
      <c r="H274" s="91"/>
      <c r="I274" s="125"/>
      <c r="J274" s="91"/>
      <c r="K274" s="180"/>
      <c r="L274" s="177"/>
      <c r="M274" s="176"/>
      <c r="N274" s="179"/>
      <c r="O274" s="178"/>
      <c r="P274" s="125"/>
      <c r="Q274" s="125"/>
      <c r="R274" s="91"/>
      <c r="S274" s="205"/>
      <c r="T274" s="205"/>
    </row>
    <row r="275" spans="7:20" ht="14.25" customHeight="1">
      <c r="G275" s="91"/>
      <c r="H275" s="91"/>
      <c r="I275" s="125"/>
      <c r="J275" s="91"/>
      <c r="K275" s="180"/>
      <c r="L275" s="177"/>
      <c r="M275" s="176"/>
      <c r="N275" s="179"/>
      <c r="O275" s="178"/>
      <c r="P275" s="125"/>
      <c r="Q275" s="125"/>
      <c r="R275" s="91"/>
      <c r="S275" s="205"/>
      <c r="T275" s="205"/>
    </row>
    <row r="276" spans="7:20" ht="14.25" customHeight="1">
      <c r="G276" s="91"/>
      <c r="H276" s="91"/>
      <c r="I276" s="125"/>
      <c r="J276" s="91"/>
      <c r="K276" s="180"/>
      <c r="L276" s="177"/>
      <c r="M276" s="176"/>
      <c r="N276" s="179"/>
      <c r="O276" s="178"/>
      <c r="P276" s="125"/>
      <c r="Q276" s="125"/>
      <c r="R276" s="91"/>
      <c r="S276" s="205"/>
      <c r="T276" s="205"/>
    </row>
    <row r="277" spans="7:20" ht="14.25" customHeight="1">
      <c r="G277" s="91"/>
      <c r="H277" s="91"/>
      <c r="I277" s="125"/>
      <c r="J277" s="91"/>
      <c r="K277" s="180"/>
      <c r="L277" s="177"/>
      <c r="M277" s="176"/>
      <c r="N277" s="179"/>
      <c r="O277" s="178"/>
      <c r="P277" s="125"/>
      <c r="Q277" s="125"/>
      <c r="R277" s="91"/>
      <c r="S277" s="205"/>
      <c r="T277" s="205"/>
    </row>
    <row r="278" spans="7:20" ht="14.25" customHeight="1">
      <c r="G278" s="91"/>
      <c r="H278" s="91"/>
      <c r="I278" s="125"/>
      <c r="J278" s="91"/>
      <c r="K278" s="180"/>
      <c r="L278" s="177"/>
      <c r="M278" s="176"/>
      <c r="N278" s="179"/>
      <c r="O278" s="178"/>
      <c r="P278" s="125"/>
      <c r="Q278" s="125"/>
      <c r="R278" s="91"/>
      <c r="S278" s="205"/>
      <c r="T278" s="205"/>
    </row>
    <row r="279" spans="7:20" ht="14.25" customHeight="1">
      <c r="G279" s="91"/>
      <c r="H279" s="91"/>
      <c r="I279" s="125"/>
      <c r="J279" s="91"/>
      <c r="K279" s="180"/>
      <c r="L279" s="177"/>
      <c r="M279" s="176"/>
      <c r="N279" s="179"/>
      <c r="O279" s="178"/>
      <c r="P279" s="125"/>
      <c r="Q279" s="125"/>
      <c r="R279" s="91"/>
      <c r="S279" s="205"/>
      <c r="T279" s="205"/>
    </row>
    <row r="280" spans="7:20" ht="14.25" customHeight="1">
      <c r="G280" s="91"/>
      <c r="H280" s="91"/>
      <c r="I280" s="125"/>
      <c r="J280" s="91"/>
      <c r="K280" s="180"/>
      <c r="L280" s="177"/>
      <c r="M280" s="176"/>
      <c r="N280" s="179"/>
      <c r="O280" s="178"/>
      <c r="P280" s="125"/>
      <c r="Q280" s="125"/>
      <c r="R280" s="91"/>
      <c r="S280" s="205"/>
      <c r="T280" s="205"/>
    </row>
    <row r="281" spans="7:20" ht="14.25" customHeight="1">
      <c r="G281" s="91"/>
      <c r="H281" s="91"/>
      <c r="I281" s="125"/>
      <c r="J281" s="91"/>
      <c r="K281" s="180"/>
      <c r="L281" s="177"/>
      <c r="M281" s="176"/>
      <c r="N281" s="179"/>
      <c r="O281" s="178"/>
      <c r="P281" s="125"/>
      <c r="Q281" s="125"/>
      <c r="R281" s="91"/>
      <c r="S281" s="205"/>
      <c r="T281" s="205"/>
    </row>
    <row r="282" spans="7:20" ht="14.25" customHeight="1">
      <c r="G282" s="91"/>
      <c r="H282" s="91"/>
      <c r="I282" s="125"/>
      <c r="J282" s="91"/>
      <c r="K282" s="180"/>
      <c r="L282" s="177"/>
      <c r="M282" s="176"/>
      <c r="N282" s="179"/>
      <c r="O282" s="178"/>
      <c r="P282" s="125"/>
      <c r="Q282" s="125"/>
      <c r="R282" s="91"/>
      <c r="S282" s="205"/>
      <c r="T282" s="205"/>
    </row>
    <row r="283" spans="7:20" ht="14.25" customHeight="1">
      <c r="G283" s="91"/>
      <c r="H283" s="91"/>
      <c r="I283" s="125"/>
      <c r="J283" s="91"/>
      <c r="K283" s="180"/>
      <c r="L283" s="177"/>
      <c r="M283" s="176"/>
      <c r="N283" s="179"/>
      <c r="O283" s="178"/>
      <c r="P283" s="125"/>
      <c r="Q283" s="125"/>
      <c r="R283" s="91"/>
      <c r="S283" s="205"/>
      <c r="T283" s="205"/>
    </row>
    <row r="284" spans="7:20" ht="14.25" customHeight="1">
      <c r="G284" s="91"/>
      <c r="H284" s="91"/>
      <c r="I284" s="125"/>
      <c r="J284" s="91"/>
      <c r="K284" s="180"/>
      <c r="L284" s="177"/>
      <c r="M284" s="176"/>
      <c r="N284" s="179"/>
      <c r="O284" s="178"/>
      <c r="P284" s="125"/>
      <c r="Q284" s="125"/>
      <c r="R284" s="91"/>
      <c r="S284" s="205"/>
      <c r="T284" s="205"/>
    </row>
    <row r="285" spans="7:20" ht="14.25" customHeight="1">
      <c r="G285" s="91"/>
      <c r="H285" s="91"/>
      <c r="I285" s="125"/>
      <c r="J285" s="91"/>
      <c r="K285" s="180"/>
      <c r="L285" s="177"/>
      <c r="M285" s="176"/>
      <c r="N285" s="179"/>
      <c r="O285" s="178"/>
      <c r="P285" s="125"/>
      <c r="Q285" s="125"/>
      <c r="R285" s="91"/>
      <c r="S285" s="205"/>
      <c r="T285" s="205"/>
    </row>
    <row r="286" spans="7:20" ht="14.25" customHeight="1">
      <c r="G286" s="91"/>
      <c r="H286" s="91"/>
      <c r="I286" s="91"/>
      <c r="J286" s="91"/>
      <c r="K286" s="91"/>
      <c r="L286" s="177"/>
      <c r="M286" s="176"/>
      <c r="N286" s="176"/>
      <c r="O286" s="176"/>
      <c r="P286" s="91"/>
      <c r="Q286" s="91"/>
      <c r="R286" s="91"/>
      <c r="S286" s="205"/>
      <c r="T286" s="205"/>
    </row>
    <row r="287" spans="7:20" ht="14.25" customHeight="1">
      <c r="G287" s="91"/>
      <c r="H287" s="91"/>
      <c r="I287" s="91"/>
      <c r="J287" s="91"/>
      <c r="K287" s="91"/>
      <c r="L287" s="177"/>
      <c r="M287" s="176"/>
      <c r="N287" s="176"/>
      <c r="O287" s="176"/>
      <c r="P287" s="91"/>
      <c r="Q287" s="91"/>
      <c r="R287" s="91"/>
      <c r="S287" s="205"/>
      <c r="T287" s="205"/>
    </row>
    <row r="288" spans="7:20" ht="14.25" customHeight="1">
      <c r="G288" s="91"/>
      <c r="H288" s="91"/>
      <c r="I288" s="91"/>
      <c r="J288" s="91"/>
      <c r="K288" s="91"/>
      <c r="L288" s="177"/>
      <c r="M288" s="176"/>
      <c r="N288" s="176"/>
      <c r="O288" s="176"/>
      <c r="P288" s="91"/>
      <c r="Q288" s="91"/>
      <c r="R288" s="91"/>
      <c r="S288" s="205"/>
      <c r="T288" s="205"/>
    </row>
    <row r="289" spans="7:20" ht="14.25" customHeight="1">
      <c r="G289" s="91"/>
      <c r="H289" s="91"/>
      <c r="I289" s="91"/>
      <c r="J289" s="91"/>
      <c r="K289" s="91"/>
      <c r="L289" s="177"/>
      <c r="M289" s="176"/>
      <c r="N289" s="176"/>
      <c r="O289" s="176"/>
      <c r="P289" s="91"/>
      <c r="Q289" s="91"/>
      <c r="R289" s="91"/>
      <c r="S289" s="205"/>
      <c r="T289" s="205"/>
    </row>
    <row r="290" spans="7:20" ht="14.25" customHeight="1">
      <c r="G290" s="91"/>
      <c r="H290" s="91"/>
      <c r="I290" s="91"/>
      <c r="J290" s="91"/>
      <c r="K290" s="91"/>
      <c r="L290" s="177"/>
      <c r="M290" s="176"/>
      <c r="N290" s="176"/>
      <c r="O290" s="176"/>
      <c r="P290" s="91"/>
      <c r="Q290" s="91"/>
      <c r="R290" s="91"/>
      <c r="S290" s="205"/>
      <c r="T290" s="205"/>
    </row>
    <row r="291" spans="7:20" ht="14.25" customHeight="1">
      <c r="G291" s="91"/>
      <c r="H291" s="91"/>
      <c r="I291" s="91"/>
      <c r="J291" s="91"/>
      <c r="K291" s="91"/>
      <c r="L291" s="177"/>
      <c r="M291" s="176"/>
      <c r="N291" s="176"/>
      <c r="O291" s="176"/>
      <c r="P291" s="91"/>
      <c r="Q291" s="91"/>
      <c r="R291" s="91"/>
      <c r="S291" s="205"/>
      <c r="T291" s="205"/>
    </row>
    <row r="292" spans="7:20" ht="14.25" customHeight="1">
      <c r="G292" s="91"/>
      <c r="H292" s="91"/>
      <c r="I292" s="91"/>
      <c r="J292" s="91"/>
      <c r="K292" s="91"/>
      <c r="L292" s="177"/>
      <c r="M292" s="176"/>
      <c r="N292" s="176"/>
      <c r="O292" s="176"/>
      <c r="P292" s="91"/>
      <c r="Q292" s="91"/>
      <c r="R292" s="91"/>
      <c r="S292" s="205"/>
      <c r="T292" s="205"/>
    </row>
    <row r="293" spans="7:20" ht="14.25" customHeight="1">
      <c r="G293" s="91"/>
      <c r="H293" s="91"/>
      <c r="I293" s="91"/>
      <c r="J293" s="91"/>
      <c r="K293" s="91"/>
      <c r="L293" s="177"/>
      <c r="M293" s="176"/>
      <c r="N293" s="176"/>
      <c r="O293" s="176"/>
      <c r="P293" s="91"/>
      <c r="Q293" s="91"/>
      <c r="R293" s="91"/>
      <c r="S293" s="205"/>
      <c r="T293" s="205"/>
    </row>
    <row r="294" spans="7:20" ht="14.25" customHeight="1">
      <c r="G294" s="91"/>
      <c r="H294" s="91"/>
      <c r="I294" s="91"/>
      <c r="J294" s="91"/>
      <c r="K294" s="91"/>
      <c r="L294" s="177"/>
      <c r="M294" s="176"/>
      <c r="N294" s="176"/>
      <c r="O294" s="176"/>
      <c r="P294" s="91"/>
      <c r="Q294" s="91"/>
      <c r="R294" s="91"/>
      <c r="S294" s="205"/>
      <c r="T294" s="205"/>
    </row>
    <row r="295" spans="7:20" ht="14.25" customHeight="1">
      <c r="G295" s="91"/>
      <c r="H295" s="91"/>
      <c r="I295" s="91"/>
      <c r="J295" s="91"/>
      <c r="K295" s="91"/>
      <c r="L295" s="177"/>
      <c r="M295" s="176"/>
      <c r="N295" s="176"/>
      <c r="O295" s="176"/>
      <c r="P295" s="91"/>
      <c r="Q295" s="91"/>
      <c r="R295" s="91"/>
      <c r="S295" s="205"/>
      <c r="T295" s="205"/>
    </row>
    <row r="296" spans="7:20" ht="14.25" customHeight="1">
      <c r="G296" s="91"/>
      <c r="H296" s="91"/>
      <c r="I296" s="91"/>
      <c r="J296" s="91"/>
      <c r="K296" s="91"/>
      <c r="L296" s="177"/>
      <c r="M296" s="176"/>
      <c r="N296" s="176"/>
      <c r="O296" s="176"/>
      <c r="P296" s="91"/>
      <c r="Q296" s="91"/>
      <c r="R296" s="91"/>
      <c r="S296" s="205"/>
      <c r="T296" s="205"/>
    </row>
    <row r="297" spans="7:20" ht="14.25" customHeight="1">
      <c r="G297" s="91"/>
      <c r="H297" s="91"/>
      <c r="I297" s="91"/>
      <c r="J297" s="91"/>
      <c r="K297" s="91"/>
      <c r="L297" s="177"/>
      <c r="M297" s="176"/>
      <c r="N297" s="176"/>
      <c r="O297" s="176"/>
      <c r="P297" s="91"/>
      <c r="Q297" s="91"/>
      <c r="R297" s="91"/>
      <c r="S297" s="205"/>
      <c r="T297" s="205"/>
    </row>
    <row r="298" spans="7:20" ht="14.25" customHeight="1">
      <c r="G298" s="91"/>
      <c r="H298" s="91"/>
      <c r="I298" s="91"/>
      <c r="J298" s="91"/>
      <c r="K298" s="91"/>
      <c r="L298" s="177"/>
      <c r="M298" s="176"/>
      <c r="N298" s="176"/>
      <c r="O298" s="176"/>
      <c r="P298" s="91"/>
      <c r="Q298" s="91"/>
      <c r="R298" s="91"/>
      <c r="S298" s="205"/>
      <c r="T298" s="205"/>
    </row>
    <row r="299" spans="7:20" ht="14.25" customHeight="1">
      <c r="G299" s="91"/>
      <c r="H299" s="91"/>
      <c r="I299" s="91"/>
      <c r="J299" s="91"/>
      <c r="K299" s="91"/>
      <c r="L299" s="177"/>
      <c r="M299" s="176"/>
      <c r="N299" s="176"/>
      <c r="O299" s="176"/>
      <c r="P299" s="91"/>
      <c r="Q299" s="91"/>
      <c r="R299" s="91"/>
      <c r="S299" s="205"/>
      <c r="T299" s="205"/>
    </row>
    <row r="300" spans="7:20" ht="14.25" customHeight="1">
      <c r="G300" s="91"/>
      <c r="H300" s="91"/>
      <c r="I300" s="91"/>
      <c r="J300" s="91"/>
      <c r="K300" s="91"/>
      <c r="L300" s="177"/>
      <c r="M300" s="176"/>
      <c r="N300" s="176"/>
      <c r="O300" s="176"/>
      <c r="P300" s="91"/>
      <c r="Q300" s="91"/>
      <c r="R300" s="91"/>
      <c r="S300" s="205"/>
      <c r="T300" s="205"/>
    </row>
    <row r="301" spans="7:20" ht="14.25" customHeight="1">
      <c r="G301" s="91"/>
      <c r="H301" s="91"/>
      <c r="I301" s="91"/>
      <c r="J301" s="91"/>
      <c r="K301" s="91"/>
      <c r="L301" s="177"/>
      <c r="M301" s="176"/>
      <c r="N301" s="176"/>
      <c r="O301" s="176"/>
      <c r="P301" s="91"/>
      <c r="Q301" s="91"/>
      <c r="R301" s="91"/>
      <c r="S301" s="205"/>
      <c r="T301" s="205"/>
    </row>
    <row r="302" spans="7:20" ht="14.25" customHeight="1">
      <c r="G302" s="91"/>
      <c r="H302" s="91"/>
      <c r="I302" s="91"/>
      <c r="J302" s="91"/>
      <c r="K302" s="91"/>
      <c r="L302" s="177"/>
      <c r="M302" s="176"/>
      <c r="N302" s="176"/>
      <c r="O302" s="176"/>
      <c r="P302" s="91"/>
      <c r="Q302" s="91"/>
      <c r="R302" s="91"/>
      <c r="S302" s="205"/>
      <c r="T302" s="205"/>
    </row>
    <row r="303" spans="7:20" ht="14.25" customHeight="1">
      <c r="G303" s="91"/>
      <c r="H303" s="91"/>
      <c r="I303" s="91"/>
      <c r="J303" s="91"/>
      <c r="K303" s="91"/>
      <c r="L303" s="177"/>
      <c r="M303" s="176"/>
      <c r="N303" s="176"/>
      <c r="O303" s="176"/>
      <c r="P303" s="91"/>
      <c r="Q303" s="91"/>
      <c r="R303" s="91"/>
      <c r="S303" s="205"/>
      <c r="T303" s="205"/>
    </row>
    <row r="304" spans="7:20" ht="14.25" customHeight="1">
      <c r="G304" s="91"/>
      <c r="H304" s="91"/>
      <c r="I304" s="91"/>
      <c r="J304" s="91"/>
      <c r="K304" s="91"/>
      <c r="L304" s="177"/>
      <c r="M304" s="176"/>
      <c r="N304" s="176"/>
      <c r="O304" s="176"/>
      <c r="P304" s="91"/>
      <c r="Q304" s="91"/>
      <c r="R304" s="91"/>
      <c r="S304" s="205"/>
      <c r="T304" s="205"/>
    </row>
    <row r="305" spans="7:20" ht="14.25" customHeight="1">
      <c r="G305" s="91"/>
      <c r="H305" s="91"/>
      <c r="I305" s="91"/>
      <c r="J305" s="91"/>
      <c r="K305" s="91"/>
      <c r="L305" s="177"/>
      <c r="M305" s="176"/>
      <c r="N305" s="176"/>
      <c r="O305" s="176"/>
      <c r="P305" s="91"/>
      <c r="Q305" s="91"/>
      <c r="R305" s="91"/>
      <c r="S305" s="205"/>
      <c r="T305" s="205"/>
    </row>
    <row r="306" spans="7:20" ht="14.25" customHeight="1">
      <c r="G306" s="91"/>
      <c r="H306" s="91"/>
      <c r="I306" s="91"/>
      <c r="J306" s="91"/>
      <c r="K306" s="91"/>
      <c r="L306" s="177"/>
      <c r="M306" s="176"/>
      <c r="N306" s="176"/>
      <c r="O306" s="176"/>
      <c r="P306" s="91"/>
      <c r="Q306" s="91"/>
      <c r="R306" s="91"/>
      <c r="S306" s="205"/>
      <c r="T306" s="205"/>
    </row>
    <row r="307" spans="7:20" ht="14.25" customHeight="1">
      <c r="G307" s="91"/>
      <c r="H307" s="91"/>
      <c r="I307" s="91"/>
      <c r="J307" s="91"/>
      <c r="K307" s="91"/>
      <c r="L307" s="177"/>
      <c r="M307" s="176"/>
      <c r="N307" s="176"/>
      <c r="O307" s="176"/>
      <c r="P307" s="91"/>
      <c r="Q307" s="91"/>
      <c r="R307" s="91"/>
      <c r="S307" s="205"/>
      <c r="T307" s="205"/>
    </row>
    <row r="308" spans="7:20" ht="14.25" customHeight="1">
      <c r="G308" s="91"/>
      <c r="H308" s="91"/>
      <c r="I308" s="91"/>
      <c r="J308" s="91"/>
      <c r="K308" s="91"/>
      <c r="L308" s="177"/>
      <c r="M308" s="176"/>
      <c r="N308" s="176"/>
      <c r="O308" s="176"/>
      <c r="P308" s="91"/>
      <c r="Q308" s="91"/>
      <c r="R308" s="91"/>
      <c r="S308" s="205"/>
      <c r="T308" s="205"/>
    </row>
    <row r="309" spans="7:20" ht="14.25" customHeight="1">
      <c r="G309" s="91"/>
      <c r="H309" s="91"/>
      <c r="I309" s="91"/>
      <c r="J309" s="91"/>
      <c r="K309" s="91"/>
      <c r="L309" s="177"/>
      <c r="M309" s="176"/>
      <c r="N309" s="176"/>
      <c r="O309" s="176"/>
      <c r="P309" s="91"/>
      <c r="Q309" s="91"/>
      <c r="R309" s="91"/>
      <c r="S309" s="205"/>
      <c r="T309" s="205"/>
    </row>
    <row r="310" spans="7:20" ht="14.25" customHeight="1">
      <c r="G310" s="91"/>
      <c r="H310" s="91"/>
      <c r="I310" s="91"/>
      <c r="J310" s="91"/>
      <c r="K310" s="91"/>
      <c r="L310" s="177"/>
      <c r="M310" s="176"/>
      <c r="N310" s="176"/>
      <c r="O310" s="176"/>
      <c r="P310" s="91"/>
      <c r="Q310" s="91"/>
      <c r="R310" s="91"/>
      <c r="S310" s="205"/>
      <c r="T310" s="205"/>
    </row>
    <row r="311" spans="7:20" ht="14.25" customHeight="1">
      <c r="G311" s="91"/>
      <c r="H311" s="91"/>
      <c r="I311" s="91"/>
      <c r="J311" s="91"/>
      <c r="K311" s="91"/>
      <c r="L311" s="177"/>
      <c r="M311" s="176"/>
      <c r="N311" s="176"/>
      <c r="O311" s="176"/>
      <c r="P311" s="91"/>
      <c r="Q311" s="91"/>
      <c r="R311" s="91"/>
      <c r="S311" s="205"/>
      <c r="T311" s="205"/>
    </row>
    <row r="312" spans="7:20" ht="14.25" customHeight="1">
      <c r="G312" s="91"/>
      <c r="H312" s="91"/>
      <c r="I312" s="91"/>
      <c r="J312" s="91"/>
      <c r="K312" s="91"/>
      <c r="L312" s="177"/>
      <c r="M312" s="176"/>
      <c r="N312" s="176"/>
      <c r="O312" s="176"/>
      <c r="P312" s="91"/>
      <c r="Q312" s="91"/>
      <c r="R312" s="91"/>
      <c r="S312" s="205"/>
      <c r="T312" s="205"/>
    </row>
    <row r="313" spans="7:20" ht="14.25" customHeight="1">
      <c r="G313" s="91"/>
      <c r="H313" s="91"/>
      <c r="I313" s="91"/>
      <c r="J313" s="91"/>
      <c r="K313" s="91"/>
      <c r="L313" s="177"/>
      <c r="M313" s="176"/>
      <c r="N313" s="176"/>
      <c r="O313" s="176"/>
      <c r="P313" s="91"/>
      <c r="Q313" s="91"/>
      <c r="R313" s="91"/>
      <c r="S313" s="205"/>
      <c r="T313" s="205"/>
    </row>
    <row r="314" spans="7:20" ht="14.25" customHeight="1">
      <c r="G314" s="91"/>
      <c r="H314" s="91"/>
      <c r="I314" s="91"/>
      <c r="J314" s="91"/>
      <c r="K314" s="91"/>
      <c r="L314" s="177"/>
      <c r="M314" s="176"/>
      <c r="N314" s="176"/>
      <c r="O314" s="176"/>
      <c r="P314" s="91"/>
      <c r="Q314" s="91"/>
      <c r="R314" s="91"/>
      <c r="S314" s="205"/>
      <c r="T314" s="205"/>
    </row>
    <row r="315" spans="7:20" ht="14.25" customHeight="1">
      <c r="G315" s="91"/>
      <c r="H315" s="91"/>
      <c r="I315" s="91"/>
      <c r="J315" s="91"/>
      <c r="K315" s="91"/>
      <c r="L315" s="177"/>
      <c r="M315" s="176"/>
      <c r="N315" s="176"/>
      <c r="O315" s="176"/>
      <c r="P315" s="91"/>
      <c r="Q315" s="91"/>
      <c r="R315" s="91"/>
      <c r="S315" s="205"/>
      <c r="T315" s="205"/>
    </row>
    <row r="316" spans="7:20" ht="14.25" customHeight="1">
      <c r="G316" s="91"/>
      <c r="H316" s="91"/>
      <c r="I316" s="91"/>
      <c r="J316" s="91"/>
      <c r="K316" s="91"/>
      <c r="L316" s="177"/>
      <c r="M316" s="176"/>
      <c r="N316" s="176"/>
      <c r="O316" s="176"/>
      <c r="P316" s="91"/>
      <c r="Q316" s="91"/>
      <c r="R316" s="91"/>
      <c r="S316" s="205"/>
      <c r="T316" s="205"/>
    </row>
    <row r="317" spans="7:20" ht="14.25" customHeight="1">
      <c r="G317" s="91"/>
      <c r="H317" s="91"/>
      <c r="I317" s="91"/>
      <c r="J317" s="91"/>
      <c r="K317" s="91"/>
      <c r="L317" s="177"/>
      <c r="M317" s="176"/>
      <c r="N317" s="176"/>
      <c r="O317" s="176"/>
      <c r="P317" s="91"/>
      <c r="Q317" s="91"/>
      <c r="R317" s="91"/>
      <c r="S317" s="205"/>
      <c r="T317" s="205"/>
    </row>
    <row r="318" spans="7:20" ht="14.25" customHeight="1">
      <c r="G318" s="91"/>
      <c r="H318" s="91"/>
      <c r="I318" s="91"/>
      <c r="J318" s="91"/>
      <c r="K318" s="91"/>
      <c r="L318" s="177"/>
      <c r="M318" s="176"/>
      <c r="N318" s="176"/>
      <c r="O318" s="176"/>
      <c r="P318" s="91"/>
      <c r="Q318" s="91"/>
      <c r="R318" s="91"/>
      <c r="S318" s="205"/>
      <c r="T318" s="205"/>
    </row>
    <row r="319" spans="7:20" ht="14.25" customHeight="1">
      <c r="G319" s="91"/>
      <c r="H319" s="91"/>
      <c r="I319" s="91"/>
      <c r="J319" s="91"/>
      <c r="K319" s="91"/>
      <c r="L319" s="177"/>
      <c r="M319" s="176"/>
      <c r="N319" s="176"/>
      <c r="O319" s="176"/>
      <c r="P319" s="91"/>
      <c r="Q319" s="91"/>
      <c r="R319" s="91"/>
      <c r="S319" s="205"/>
      <c r="T319" s="205"/>
    </row>
    <row r="320" spans="7:20" ht="14.25" customHeight="1">
      <c r="G320" s="91"/>
      <c r="H320" s="91"/>
      <c r="I320" s="91"/>
      <c r="J320" s="91"/>
      <c r="K320" s="91"/>
      <c r="L320" s="177"/>
      <c r="M320" s="176"/>
      <c r="N320" s="176"/>
      <c r="O320" s="176"/>
      <c r="P320" s="91"/>
      <c r="Q320" s="91"/>
      <c r="R320" s="91"/>
      <c r="S320" s="205"/>
      <c r="T320" s="205"/>
    </row>
    <row r="321" spans="7:20" ht="14.25" customHeight="1">
      <c r="G321" s="91"/>
      <c r="H321" s="91"/>
      <c r="I321" s="91"/>
      <c r="J321" s="91"/>
      <c r="K321" s="91"/>
      <c r="L321" s="177"/>
      <c r="M321" s="176"/>
      <c r="N321" s="176"/>
      <c r="O321" s="176"/>
      <c r="P321" s="91"/>
      <c r="Q321" s="91"/>
      <c r="R321" s="91"/>
      <c r="S321" s="205"/>
      <c r="T321" s="205"/>
    </row>
    <row r="322" spans="7:20" ht="14.25" customHeight="1">
      <c r="G322" s="91"/>
      <c r="H322" s="91"/>
      <c r="I322" s="91"/>
      <c r="J322" s="91"/>
      <c r="K322" s="91"/>
      <c r="L322" s="177"/>
      <c r="M322" s="176"/>
      <c r="N322" s="176"/>
      <c r="O322" s="176"/>
      <c r="P322" s="91"/>
      <c r="Q322" s="91"/>
      <c r="R322" s="91"/>
      <c r="S322" s="205"/>
      <c r="T322" s="205"/>
    </row>
    <row r="323" spans="7:20" ht="14.25" customHeight="1">
      <c r="G323" s="91"/>
      <c r="H323" s="91"/>
      <c r="I323" s="91"/>
      <c r="J323" s="91"/>
      <c r="K323" s="91"/>
      <c r="L323" s="177"/>
      <c r="M323" s="176"/>
      <c r="N323" s="176"/>
      <c r="O323" s="176"/>
      <c r="P323" s="91"/>
      <c r="Q323" s="91"/>
      <c r="R323" s="91"/>
      <c r="S323" s="205"/>
      <c r="T323" s="205"/>
    </row>
    <row r="324" spans="7:20" ht="14.25" customHeight="1">
      <c r="G324" s="91"/>
      <c r="H324" s="91"/>
      <c r="I324" s="91"/>
      <c r="J324" s="91"/>
      <c r="K324" s="91"/>
      <c r="L324" s="177"/>
      <c r="M324" s="176"/>
      <c r="N324" s="176"/>
      <c r="O324" s="176"/>
      <c r="P324" s="91"/>
      <c r="Q324" s="91"/>
      <c r="R324" s="91"/>
      <c r="S324" s="205"/>
      <c r="T324" s="205"/>
    </row>
    <row r="325" spans="7:20" ht="14.25" customHeight="1">
      <c r="G325" s="91"/>
      <c r="H325" s="91"/>
      <c r="I325" s="91"/>
      <c r="J325" s="91"/>
      <c r="K325" s="91"/>
      <c r="L325" s="177"/>
      <c r="M325" s="176"/>
      <c r="N325" s="176"/>
      <c r="O325" s="176"/>
      <c r="P325" s="91"/>
      <c r="Q325" s="91"/>
      <c r="R325" s="91"/>
      <c r="S325" s="205"/>
      <c r="T325" s="205"/>
    </row>
    <row r="326" spans="7:20" ht="14.25" customHeight="1">
      <c r="G326" s="91"/>
      <c r="H326" s="91"/>
      <c r="I326" s="91"/>
      <c r="J326" s="91"/>
      <c r="K326" s="91"/>
      <c r="L326" s="177"/>
      <c r="M326" s="176"/>
      <c r="N326" s="176"/>
      <c r="O326" s="176"/>
      <c r="P326" s="91"/>
      <c r="Q326" s="91"/>
      <c r="R326" s="91"/>
      <c r="S326" s="205"/>
      <c r="T326" s="205"/>
    </row>
    <row r="327" spans="7:20" ht="14.25" customHeight="1">
      <c r="G327" s="91"/>
      <c r="H327" s="91"/>
      <c r="I327" s="91"/>
      <c r="J327" s="91"/>
      <c r="K327" s="91"/>
      <c r="L327" s="177"/>
      <c r="M327" s="176"/>
      <c r="N327" s="176"/>
      <c r="O327" s="176"/>
      <c r="P327" s="91"/>
      <c r="Q327" s="91"/>
      <c r="R327" s="91"/>
      <c r="S327" s="205"/>
      <c r="T327" s="205"/>
    </row>
    <row r="328" spans="7:20" ht="14.25" customHeight="1">
      <c r="G328" s="91"/>
      <c r="H328" s="91"/>
      <c r="I328" s="91"/>
      <c r="J328" s="91"/>
      <c r="K328" s="91"/>
      <c r="L328" s="177"/>
      <c r="M328" s="176"/>
      <c r="N328" s="176"/>
      <c r="O328" s="176"/>
      <c r="P328" s="91"/>
      <c r="Q328" s="91"/>
      <c r="R328" s="91"/>
      <c r="S328" s="205"/>
      <c r="T328" s="205"/>
    </row>
    <row r="329" spans="7:20" ht="14.25" customHeight="1">
      <c r="G329" s="91"/>
      <c r="H329" s="91"/>
      <c r="I329" s="91"/>
      <c r="J329" s="91"/>
      <c r="K329" s="91"/>
      <c r="L329" s="177"/>
      <c r="M329" s="176"/>
      <c r="N329" s="176"/>
      <c r="O329" s="176"/>
      <c r="P329" s="91"/>
      <c r="Q329" s="91"/>
      <c r="R329" s="91"/>
      <c r="S329" s="205"/>
      <c r="T329" s="205"/>
    </row>
    <row r="330" spans="7:20" ht="14.25" customHeight="1">
      <c r="G330" s="91"/>
      <c r="H330" s="91"/>
      <c r="I330" s="91"/>
      <c r="J330" s="91"/>
      <c r="K330" s="91"/>
      <c r="L330" s="177"/>
      <c r="M330" s="176"/>
      <c r="N330" s="176"/>
      <c r="O330" s="176"/>
      <c r="P330" s="91"/>
      <c r="Q330" s="91"/>
      <c r="R330" s="91"/>
      <c r="S330" s="205"/>
      <c r="T330" s="205"/>
    </row>
    <row r="331" spans="7:20" ht="14.25" customHeight="1">
      <c r="G331" s="91"/>
      <c r="H331" s="91"/>
      <c r="I331" s="91"/>
      <c r="J331" s="91"/>
      <c r="K331" s="91"/>
      <c r="L331" s="177"/>
      <c r="M331" s="176"/>
      <c r="N331" s="176"/>
      <c r="O331" s="176"/>
      <c r="P331" s="91"/>
      <c r="Q331" s="91"/>
      <c r="R331" s="91"/>
      <c r="S331" s="205"/>
      <c r="T331" s="205"/>
    </row>
    <row r="332" spans="7:20" ht="14.25" customHeight="1">
      <c r="G332" s="91"/>
      <c r="H332" s="91"/>
      <c r="I332" s="91"/>
      <c r="J332" s="91"/>
      <c r="K332" s="91"/>
      <c r="L332" s="177"/>
      <c r="M332" s="176"/>
      <c r="N332" s="176"/>
      <c r="O332" s="176"/>
      <c r="P332" s="91"/>
      <c r="Q332" s="91"/>
      <c r="R332" s="91"/>
      <c r="S332" s="205"/>
      <c r="T332" s="205"/>
    </row>
    <row r="333" spans="7:20" ht="14.25" customHeight="1">
      <c r="G333" s="91"/>
      <c r="H333" s="91"/>
      <c r="I333" s="91"/>
      <c r="J333" s="91"/>
      <c r="K333" s="91"/>
      <c r="L333" s="177"/>
      <c r="M333" s="176"/>
      <c r="N333" s="176"/>
      <c r="O333" s="176"/>
      <c r="P333" s="91"/>
      <c r="Q333" s="91"/>
      <c r="R333" s="91"/>
      <c r="S333" s="205"/>
      <c r="T333" s="205"/>
    </row>
    <row r="334" spans="7:20" ht="14.25" customHeight="1">
      <c r="G334" s="91"/>
      <c r="H334" s="91"/>
      <c r="I334" s="91"/>
      <c r="J334" s="91"/>
      <c r="K334" s="91"/>
      <c r="L334" s="177"/>
      <c r="M334" s="176"/>
      <c r="N334" s="176"/>
      <c r="O334" s="176"/>
      <c r="P334" s="91"/>
      <c r="Q334" s="91"/>
      <c r="R334" s="91"/>
      <c r="S334" s="205"/>
      <c r="T334" s="205"/>
    </row>
    <row r="335" spans="7:20" ht="14.25" customHeight="1">
      <c r="G335" s="91"/>
      <c r="H335" s="91"/>
      <c r="I335" s="91"/>
      <c r="J335" s="91"/>
      <c r="K335" s="91"/>
      <c r="L335" s="177"/>
      <c r="M335" s="176"/>
      <c r="N335" s="176"/>
      <c r="O335" s="176"/>
      <c r="P335" s="91"/>
      <c r="Q335" s="91"/>
      <c r="R335" s="91"/>
      <c r="S335" s="205"/>
      <c r="T335" s="205"/>
    </row>
    <row r="336" spans="7:20" ht="14.25" customHeight="1">
      <c r="G336" s="91"/>
      <c r="H336" s="91"/>
      <c r="I336" s="91"/>
      <c r="J336" s="91"/>
      <c r="K336" s="91"/>
      <c r="L336" s="177"/>
      <c r="M336" s="176"/>
      <c r="N336" s="176"/>
      <c r="O336" s="176"/>
      <c r="P336" s="91"/>
      <c r="Q336" s="91"/>
      <c r="R336" s="91"/>
      <c r="S336" s="205"/>
      <c r="T336" s="205"/>
    </row>
    <row r="337" spans="7:20" ht="14.25" customHeight="1">
      <c r="G337" s="91"/>
      <c r="H337" s="91"/>
      <c r="I337" s="91"/>
      <c r="J337" s="91"/>
      <c r="K337" s="91"/>
      <c r="L337" s="177"/>
      <c r="M337" s="176"/>
      <c r="N337" s="176"/>
      <c r="O337" s="176"/>
      <c r="P337" s="91"/>
      <c r="Q337" s="91"/>
      <c r="R337" s="91"/>
      <c r="S337" s="205"/>
      <c r="T337" s="205"/>
    </row>
    <row r="338" spans="7:20" ht="14.25" customHeight="1">
      <c r="G338" s="91"/>
      <c r="H338" s="91"/>
      <c r="I338" s="91"/>
      <c r="J338" s="91"/>
      <c r="K338" s="91"/>
      <c r="L338" s="177"/>
      <c r="M338" s="176"/>
      <c r="N338" s="176"/>
      <c r="O338" s="176"/>
      <c r="P338" s="91"/>
      <c r="Q338" s="91"/>
      <c r="R338" s="91"/>
      <c r="S338" s="205"/>
      <c r="T338" s="205"/>
    </row>
    <row r="339" spans="7:20" ht="14.25" customHeight="1">
      <c r="G339" s="91"/>
      <c r="H339" s="91"/>
      <c r="I339" s="91"/>
      <c r="J339" s="91"/>
      <c r="K339" s="91"/>
      <c r="L339" s="177"/>
      <c r="M339" s="176"/>
      <c r="N339" s="176"/>
      <c r="O339" s="176"/>
      <c r="P339" s="91"/>
      <c r="Q339" s="91"/>
      <c r="R339" s="91"/>
      <c r="S339" s="205"/>
      <c r="T339" s="205"/>
    </row>
    <row r="340" spans="7:20" ht="14.25" customHeight="1">
      <c r="G340" s="91"/>
      <c r="H340" s="91"/>
      <c r="I340" s="91"/>
      <c r="J340" s="91"/>
      <c r="K340" s="91"/>
      <c r="L340" s="177"/>
      <c r="M340" s="176"/>
      <c r="N340" s="176"/>
      <c r="O340" s="176"/>
      <c r="P340" s="91"/>
      <c r="Q340" s="91"/>
      <c r="R340" s="91"/>
      <c r="S340" s="205"/>
      <c r="T340" s="205"/>
    </row>
    <row r="341" spans="7:20" ht="14.25" customHeight="1">
      <c r="G341" s="91"/>
      <c r="H341" s="91"/>
      <c r="I341" s="91"/>
      <c r="J341" s="91"/>
      <c r="K341" s="91"/>
      <c r="L341" s="177"/>
      <c r="M341" s="176"/>
      <c r="N341" s="176"/>
      <c r="O341" s="176"/>
      <c r="P341" s="91"/>
      <c r="Q341" s="91"/>
      <c r="R341" s="91"/>
      <c r="S341" s="205"/>
      <c r="T341" s="205"/>
    </row>
    <row r="342" spans="7:20" ht="14.25" customHeight="1">
      <c r="G342" s="91"/>
      <c r="H342" s="91"/>
      <c r="I342" s="91"/>
      <c r="J342" s="91"/>
      <c r="K342" s="91"/>
      <c r="L342" s="177"/>
      <c r="M342" s="176"/>
      <c r="N342" s="176"/>
      <c r="O342" s="176"/>
      <c r="P342" s="91"/>
      <c r="Q342" s="91"/>
      <c r="R342" s="91"/>
      <c r="S342" s="205"/>
      <c r="T342" s="205"/>
    </row>
    <row r="343" spans="7:20" ht="14.25" customHeight="1">
      <c r="G343" s="91"/>
      <c r="H343" s="91"/>
      <c r="I343" s="91"/>
      <c r="J343" s="91"/>
      <c r="K343" s="91"/>
      <c r="L343" s="177"/>
      <c r="M343" s="176"/>
      <c r="N343" s="176"/>
      <c r="O343" s="176"/>
      <c r="P343" s="91"/>
      <c r="Q343" s="91"/>
      <c r="R343" s="91"/>
      <c r="S343" s="205"/>
      <c r="T343" s="205"/>
    </row>
    <row r="344" spans="7:20" ht="14.25" customHeight="1">
      <c r="G344" s="91"/>
      <c r="H344" s="91"/>
      <c r="I344" s="91"/>
      <c r="J344" s="91"/>
      <c r="K344" s="91"/>
      <c r="L344" s="177"/>
      <c r="M344" s="176"/>
      <c r="N344" s="176"/>
      <c r="O344" s="176"/>
      <c r="P344" s="91"/>
      <c r="Q344" s="91"/>
      <c r="R344" s="91"/>
      <c r="S344" s="205"/>
      <c r="T344" s="205"/>
    </row>
    <row r="345" spans="7:20" ht="14.25" customHeight="1">
      <c r="G345" s="91"/>
      <c r="H345" s="91"/>
      <c r="I345" s="91"/>
      <c r="J345" s="91"/>
      <c r="K345" s="91"/>
      <c r="L345" s="177"/>
      <c r="M345" s="176"/>
      <c r="N345" s="176"/>
      <c r="O345" s="176"/>
      <c r="P345" s="91"/>
      <c r="Q345" s="91"/>
      <c r="R345" s="91"/>
      <c r="S345" s="205"/>
      <c r="T345" s="205"/>
    </row>
    <row r="346" spans="7:20" ht="14.25" customHeight="1">
      <c r="G346" s="91"/>
      <c r="H346" s="91"/>
      <c r="I346" s="91"/>
      <c r="J346" s="91"/>
      <c r="K346" s="91"/>
      <c r="L346" s="177"/>
      <c r="M346" s="176"/>
      <c r="N346" s="176"/>
      <c r="O346" s="176"/>
      <c r="P346" s="91"/>
      <c r="Q346" s="91"/>
      <c r="R346" s="91"/>
      <c r="S346" s="205"/>
      <c r="T346" s="205"/>
    </row>
    <row r="347" spans="7:20" ht="14.25" customHeight="1">
      <c r="G347" s="91"/>
      <c r="H347" s="91"/>
      <c r="I347" s="91"/>
      <c r="J347" s="91"/>
      <c r="K347" s="91"/>
      <c r="L347" s="177"/>
      <c r="M347" s="176"/>
      <c r="N347" s="176"/>
      <c r="O347" s="176"/>
      <c r="P347" s="91"/>
      <c r="Q347" s="91"/>
      <c r="R347" s="91"/>
      <c r="S347" s="205"/>
      <c r="T347" s="205"/>
    </row>
    <row r="348" spans="7:20" ht="14.25" customHeight="1">
      <c r="G348" s="91"/>
      <c r="H348" s="91"/>
      <c r="I348" s="91"/>
      <c r="J348" s="91"/>
      <c r="K348" s="91"/>
      <c r="L348" s="177"/>
      <c r="M348" s="176"/>
      <c r="N348" s="176"/>
      <c r="O348" s="176"/>
      <c r="P348" s="91"/>
      <c r="Q348" s="91"/>
      <c r="R348" s="91"/>
      <c r="S348" s="205"/>
      <c r="T348" s="205"/>
    </row>
    <row r="349" spans="7:20" ht="14.25" customHeight="1">
      <c r="G349" s="91"/>
      <c r="H349" s="91"/>
      <c r="I349" s="91"/>
      <c r="J349" s="91"/>
      <c r="K349" s="91"/>
      <c r="L349" s="177"/>
      <c r="M349" s="176"/>
      <c r="N349" s="176"/>
      <c r="O349" s="176"/>
      <c r="P349" s="91"/>
      <c r="Q349" s="91"/>
      <c r="R349" s="91"/>
      <c r="S349" s="205"/>
      <c r="T349" s="205"/>
    </row>
    <row r="350" spans="7:20" ht="14.25" customHeight="1">
      <c r="G350" s="91"/>
      <c r="H350" s="91"/>
      <c r="I350" s="91"/>
      <c r="J350" s="91"/>
      <c r="K350" s="91"/>
      <c r="L350" s="177"/>
      <c r="M350" s="176"/>
      <c r="N350" s="176"/>
      <c r="O350" s="176"/>
      <c r="P350" s="91"/>
      <c r="Q350" s="91"/>
      <c r="R350" s="91"/>
      <c r="S350" s="205"/>
      <c r="T350" s="205"/>
    </row>
    <row r="351" spans="7:20" ht="14.25" customHeight="1">
      <c r="G351" s="91"/>
      <c r="H351" s="91"/>
      <c r="I351" s="91"/>
      <c r="J351" s="91"/>
      <c r="K351" s="91"/>
      <c r="L351" s="177"/>
      <c r="M351" s="176"/>
      <c r="N351" s="176"/>
      <c r="O351" s="176"/>
      <c r="P351" s="91"/>
      <c r="Q351" s="91"/>
      <c r="R351" s="91"/>
      <c r="S351" s="205"/>
      <c r="T351" s="205"/>
    </row>
    <row r="352" spans="7:20" ht="14.25" customHeight="1">
      <c r="G352" s="91"/>
      <c r="H352" s="91"/>
      <c r="I352" s="91"/>
      <c r="J352" s="91"/>
      <c r="K352" s="91"/>
      <c r="L352" s="177"/>
      <c r="M352" s="176"/>
      <c r="N352" s="176"/>
      <c r="O352" s="176"/>
      <c r="P352" s="91"/>
      <c r="Q352" s="91"/>
      <c r="R352" s="91"/>
      <c r="S352" s="205"/>
      <c r="T352" s="205"/>
    </row>
    <row r="353" spans="7:20" ht="14.25" customHeight="1">
      <c r="G353" s="91"/>
      <c r="H353" s="91"/>
      <c r="I353" s="91"/>
      <c r="J353" s="91"/>
      <c r="K353" s="91"/>
      <c r="L353" s="177"/>
      <c r="M353" s="176"/>
      <c r="N353" s="176"/>
      <c r="O353" s="176"/>
      <c r="P353" s="91"/>
      <c r="Q353" s="91"/>
      <c r="R353" s="91"/>
      <c r="S353" s="205"/>
      <c r="T353" s="205"/>
    </row>
    <row r="354" spans="7:20" ht="14.25" customHeight="1">
      <c r="G354" s="91"/>
      <c r="H354" s="91"/>
      <c r="I354" s="91"/>
      <c r="J354" s="91"/>
      <c r="K354" s="91"/>
      <c r="L354" s="177"/>
      <c r="M354" s="176"/>
      <c r="N354" s="176"/>
      <c r="O354" s="176"/>
      <c r="P354" s="91"/>
      <c r="Q354" s="91"/>
      <c r="R354" s="91"/>
      <c r="S354" s="205"/>
      <c r="T354" s="205"/>
    </row>
    <row r="355" spans="7:20" ht="14.25" customHeight="1">
      <c r="G355" s="91"/>
      <c r="H355" s="91"/>
      <c r="I355" s="91"/>
      <c r="J355" s="91"/>
      <c r="K355" s="91"/>
      <c r="L355" s="177"/>
      <c r="M355" s="176"/>
      <c r="N355" s="176"/>
      <c r="O355" s="176"/>
      <c r="P355" s="91"/>
      <c r="Q355" s="91"/>
      <c r="R355" s="91"/>
      <c r="S355" s="205"/>
      <c r="T355" s="205"/>
    </row>
    <row r="356" spans="7:20" ht="14.25" customHeight="1">
      <c r="G356" s="91"/>
      <c r="H356" s="91"/>
      <c r="I356" s="91"/>
      <c r="J356" s="91"/>
      <c r="K356" s="91"/>
      <c r="L356" s="177"/>
      <c r="M356" s="176"/>
      <c r="N356" s="176"/>
      <c r="O356" s="176"/>
      <c r="P356" s="91"/>
      <c r="Q356" s="91"/>
      <c r="R356" s="91"/>
      <c r="S356" s="205"/>
      <c r="T356" s="205"/>
    </row>
    <row r="357" spans="7:20" ht="14.25" customHeight="1">
      <c r="G357" s="91"/>
      <c r="H357" s="91"/>
      <c r="I357" s="91"/>
      <c r="J357" s="91"/>
      <c r="K357" s="91"/>
      <c r="L357" s="177"/>
      <c r="M357" s="176"/>
      <c r="N357" s="176"/>
      <c r="O357" s="176"/>
      <c r="P357" s="91"/>
      <c r="Q357" s="91"/>
      <c r="R357" s="91"/>
      <c r="S357" s="205"/>
      <c r="T357" s="205"/>
    </row>
    <row r="358" spans="7:20" ht="14.25" customHeight="1">
      <c r="G358" s="91"/>
      <c r="H358" s="91"/>
      <c r="I358" s="91"/>
      <c r="J358" s="91"/>
      <c r="K358" s="91"/>
      <c r="L358" s="177"/>
      <c r="M358" s="176"/>
      <c r="N358" s="176"/>
      <c r="O358" s="176"/>
      <c r="P358" s="91"/>
      <c r="Q358" s="91"/>
      <c r="R358" s="91"/>
      <c r="S358" s="205"/>
      <c r="T358" s="205"/>
    </row>
    <row r="359" spans="7:20" ht="14.25" customHeight="1">
      <c r="G359" s="91"/>
      <c r="H359" s="91"/>
      <c r="I359" s="91"/>
      <c r="J359" s="91"/>
      <c r="K359" s="91"/>
      <c r="L359" s="177"/>
      <c r="M359" s="176"/>
      <c r="N359" s="176"/>
      <c r="O359" s="176"/>
      <c r="P359" s="91"/>
      <c r="Q359" s="91"/>
      <c r="R359" s="91"/>
      <c r="S359" s="205"/>
      <c r="T359" s="205"/>
    </row>
    <row r="360" spans="7:20" ht="14.25" customHeight="1">
      <c r="G360" s="91"/>
      <c r="H360" s="91"/>
      <c r="I360" s="91"/>
      <c r="J360" s="91"/>
      <c r="K360" s="91"/>
      <c r="L360" s="177"/>
      <c r="M360" s="176"/>
      <c r="N360" s="176"/>
      <c r="O360" s="176"/>
      <c r="P360" s="91"/>
      <c r="Q360" s="91"/>
      <c r="R360" s="91"/>
      <c r="S360" s="205"/>
      <c r="T360" s="205"/>
    </row>
    <row r="361" spans="7:20" ht="14.25" customHeight="1">
      <c r="G361" s="91"/>
      <c r="H361" s="91"/>
      <c r="I361" s="91"/>
      <c r="J361" s="91"/>
      <c r="K361" s="91"/>
      <c r="L361" s="177"/>
      <c r="M361" s="176"/>
      <c r="N361" s="176"/>
      <c r="O361" s="176"/>
      <c r="P361" s="91"/>
      <c r="Q361" s="91"/>
      <c r="R361" s="91"/>
      <c r="S361" s="205"/>
      <c r="T361" s="205"/>
    </row>
    <row r="362" spans="7:20" ht="14.25" customHeight="1">
      <c r="G362" s="91"/>
      <c r="H362" s="91"/>
      <c r="I362" s="91"/>
      <c r="J362" s="91"/>
      <c r="K362" s="91"/>
      <c r="L362" s="177"/>
      <c r="M362" s="176"/>
      <c r="N362" s="176"/>
      <c r="O362" s="176"/>
      <c r="P362" s="91"/>
      <c r="Q362" s="91"/>
      <c r="R362" s="91"/>
      <c r="S362" s="205"/>
      <c r="T362" s="205"/>
    </row>
    <row r="363" spans="7:20" ht="14.25" customHeight="1">
      <c r="G363" s="91"/>
      <c r="H363" s="91"/>
      <c r="I363" s="91"/>
      <c r="J363" s="91"/>
      <c r="K363" s="91"/>
      <c r="L363" s="177"/>
      <c r="M363" s="176"/>
      <c r="N363" s="176"/>
      <c r="O363" s="176"/>
      <c r="P363" s="91"/>
      <c r="Q363" s="91"/>
      <c r="R363" s="91"/>
      <c r="S363" s="205"/>
      <c r="T363" s="205"/>
    </row>
    <row r="364" spans="7:20" ht="14.25" customHeight="1">
      <c r="G364" s="91"/>
      <c r="H364" s="91"/>
      <c r="I364" s="91"/>
      <c r="J364" s="91"/>
      <c r="K364" s="91"/>
      <c r="L364" s="177"/>
      <c r="M364" s="176"/>
      <c r="N364" s="176"/>
      <c r="O364" s="176"/>
      <c r="P364" s="91"/>
      <c r="Q364" s="91"/>
      <c r="R364" s="91"/>
      <c r="S364" s="205"/>
      <c r="T364" s="205"/>
    </row>
    <row r="365" spans="7:20" ht="14.25" customHeight="1">
      <c r="G365" s="91"/>
      <c r="H365" s="91"/>
      <c r="I365" s="91"/>
      <c r="J365" s="91"/>
      <c r="K365" s="91"/>
      <c r="L365" s="177"/>
      <c r="M365" s="176"/>
      <c r="N365" s="176"/>
      <c r="O365" s="176"/>
      <c r="P365" s="91"/>
      <c r="Q365" s="91"/>
      <c r="R365" s="91"/>
      <c r="S365" s="205"/>
      <c r="T365" s="205"/>
    </row>
    <row r="366" spans="7:20" ht="14.25" customHeight="1">
      <c r="G366" s="91"/>
      <c r="H366" s="91"/>
      <c r="I366" s="91"/>
      <c r="J366" s="91"/>
      <c r="K366" s="91"/>
      <c r="L366" s="177"/>
      <c r="M366" s="176"/>
      <c r="N366" s="176"/>
      <c r="O366" s="176"/>
      <c r="P366" s="91"/>
      <c r="Q366" s="91"/>
      <c r="R366" s="91"/>
      <c r="S366" s="205"/>
      <c r="T366" s="205"/>
    </row>
    <row r="367" spans="7:20" ht="14.25" customHeight="1">
      <c r="G367" s="91"/>
      <c r="H367" s="91"/>
      <c r="I367" s="91"/>
      <c r="J367" s="91"/>
      <c r="K367" s="91"/>
      <c r="L367" s="177"/>
      <c r="M367" s="176"/>
      <c r="N367" s="176"/>
      <c r="O367" s="176"/>
      <c r="P367" s="91"/>
      <c r="Q367" s="91"/>
      <c r="R367" s="91"/>
      <c r="S367" s="205"/>
      <c r="T367" s="205"/>
    </row>
    <row r="368" spans="7:20" ht="14.25" customHeight="1">
      <c r="G368" s="91"/>
      <c r="H368" s="91"/>
      <c r="I368" s="91"/>
      <c r="J368" s="91"/>
      <c r="K368" s="91"/>
      <c r="L368" s="177"/>
      <c r="M368" s="176"/>
      <c r="N368" s="176"/>
      <c r="O368" s="176"/>
      <c r="P368" s="91"/>
      <c r="Q368" s="91"/>
      <c r="R368" s="91"/>
      <c r="S368" s="205"/>
      <c r="T368" s="205"/>
    </row>
    <row r="369" spans="7:20" ht="14.25" customHeight="1">
      <c r="G369" s="91"/>
      <c r="H369" s="91"/>
      <c r="I369" s="91"/>
      <c r="J369" s="91"/>
      <c r="K369" s="91"/>
      <c r="L369" s="177"/>
      <c r="M369" s="176"/>
      <c r="N369" s="176"/>
      <c r="O369" s="176"/>
      <c r="P369" s="91"/>
      <c r="Q369" s="91"/>
      <c r="R369" s="91"/>
      <c r="S369" s="205"/>
      <c r="T369" s="205"/>
    </row>
    <row r="370" spans="7:20" ht="14.25" customHeight="1">
      <c r="G370" s="91"/>
      <c r="H370" s="91"/>
      <c r="I370" s="91"/>
      <c r="J370" s="91"/>
      <c r="K370" s="91"/>
      <c r="L370" s="177"/>
      <c r="M370" s="176"/>
      <c r="N370" s="176"/>
      <c r="O370" s="176"/>
      <c r="P370" s="91"/>
      <c r="Q370" s="91"/>
      <c r="R370" s="91"/>
      <c r="S370" s="205"/>
      <c r="T370" s="205"/>
    </row>
    <row r="371" spans="7:20" ht="14.25" customHeight="1">
      <c r="G371" s="91"/>
      <c r="H371" s="91"/>
      <c r="I371" s="91"/>
      <c r="J371" s="91"/>
      <c r="K371" s="91"/>
      <c r="L371" s="177"/>
      <c r="M371" s="176"/>
      <c r="N371" s="176"/>
      <c r="O371" s="176"/>
      <c r="P371" s="91"/>
      <c r="Q371" s="91"/>
      <c r="R371" s="91"/>
      <c r="S371" s="205"/>
      <c r="T371" s="205"/>
    </row>
    <row r="372" spans="7:20" ht="14.25" customHeight="1">
      <c r="G372" s="91"/>
      <c r="H372" s="91"/>
      <c r="I372" s="91"/>
      <c r="J372" s="91"/>
      <c r="K372" s="91"/>
      <c r="L372" s="177"/>
      <c r="M372" s="176"/>
      <c r="N372" s="176"/>
      <c r="O372" s="176"/>
      <c r="P372" s="91"/>
      <c r="Q372" s="91"/>
      <c r="R372" s="91"/>
      <c r="S372" s="205"/>
      <c r="T372" s="205"/>
    </row>
    <row r="373" spans="7:20" ht="14.25" customHeight="1">
      <c r="G373" s="91"/>
      <c r="H373" s="91"/>
      <c r="I373" s="91"/>
      <c r="J373" s="91"/>
      <c r="K373" s="91"/>
      <c r="L373" s="177"/>
      <c r="M373" s="176"/>
      <c r="N373" s="176"/>
      <c r="O373" s="176"/>
      <c r="P373" s="91"/>
      <c r="Q373" s="91"/>
      <c r="R373" s="91"/>
      <c r="S373" s="205"/>
      <c r="T373" s="205"/>
    </row>
    <row r="374" spans="7:20" ht="14.25" customHeight="1">
      <c r="G374" s="91"/>
      <c r="H374" s="91"/>
      <c r="I374" s="91"/>
      <c r="J374" s="91"/>
      <c r="K374" s="91"/>
      <c r="L374" s="177"/>
      <c r="M374" s="176"/>
      <c r="N374" s="176"/>
      <c r="O374" s="176"/>
      <c r="P374" s="91"/>
      <c r="Q374" s="91"/>
      <c r="R374" s="91"/>
      <c r="S374" s="205"/>
      <c r="T374" s="205"/>
    </row>
    <row r="375" spans="7:20" ht="14.25" customHeight="1">
      <c r="G375" s="91"/>
      <c r="H375" s="91"/>
      <c r="I375" s="91"/>
      <c r="J375" s="91"/>
      <c r="K375" s="91"/>
      <c r="L375" s="177"/>
      <c r="M375" s="176"/>
      <c r="N375" s="176"/>
      <c r="O375" s="176"/>
      <c r="P375" s="91"/>
      <c r="Q375" s="91"/>
      <c r="R375" s="91"/>
      <c r="S375" s="205"/>
      <c r="T375" s="205"/>
    </row>
    <row r="376" spans="7:20" ht="14.25" customHeight="1">
      <c r="G376" s="91"/>
      <c r="H376" s="91"/>
      <c r="I376" s="91"/>
      <c r="J376" s="91"/>
      <c r="K376" s="91"/>
      <c r="L376" s="177"/>
      <c r="M376" s="176"/>
      <c r="N376" s="176"/>
      <c r="O376" s="176"/>
      <c r="P376" s="91"/>
      <c r="Q376" s="91"/>
      <c r="R376" s="91"/>
      <c r="S376" s="205"/>
      <c r="T376" s="205"/>
    </row>
    <row r="377" spans="7:20" ht="14.25" customHeight="1">
      <c r="G377" s="91"/>
      <c r="H377" s="91"/>
      <c r="I377" s="91"/>
      <c r="J377" s="91"/>
      <c r="K377" s="91"/>
      <c r="L377" s="177"/>
      <c r="M377" s="176"/>
      <c r="N377" s="176"/>
      <c r="O377" s="176"/>
      <c r="P377" s="91"/>
      <c r="Q377" s="91"/>
      <c r="R377" s="91"/>
      <c r="S377" s="205"/>
      <c r="T377" s="205"/>
    </row>
    <row r="378" spans="7:20" ht="14.25" customHeight="1">
      <c r="G378" s="91"/>
      <c r="H378" s="91"/>
      <c r="I378" s="91"/>
      <c r="J378" s="91"/>
      <c r="K378" s="91"/>
      <c r="L378" s="177"/>
      <c r="M378" s="176"/>
      <c r="N378" s="176"/>
      <c r="O378" s="176"/>
      <c r="P378" s="91"/>
      <c r="Q378" s="91"/>
      <c r="R378" s="91"/>
      <c r="S378" s="205"/>
      <c r="T378" s="205"/>
    </row>
    <row r="379" spans="7:20" ht="14.25" customHeight="1">
      <c r="G379" s="91"/>
      <c r="H379" s="91"/>
      <c r="I379" s="91"/>
      <c r="J379" s="91"/>
      <c r="K379" s="91"/>
      <c r="L379" s="177"/>
      <c r="M379" s="176"/>
      <c r="N379" s="176"/>
      <c r="O379" s="176"/>
      <c r="P379" s="91"/>
      <c r="Q379" s="91"/>
      <c r="R379" s="91"/>
      <c r="S379" s="205"/>
      <c r="T379" s="205"/>
    </row>
    <row r="380" spans="7:20" ht="14.25" customHeight="1">
      <c r="G380" s="91"/>
      <c r="H380" s="91"/>
      <c r="I380" s="91"/>
      <c r="J380" s="91"/>
      <c r="K380" s="91"/>
      <c r="L380" s="177"/>
      <c r="M380" s="176"/>
      <c r="N380" s="176"/>
      <c r="O380" s="176"/>
      <c r="P380" s="91"/>
      <c r="Q380" s="91"/>
      <c r="R380" s="91"/>
      <c r="S380" s="205"/>
      <c r="T380" s="205"/>
    </row>
    <row r="381" spans="7:20" ht="14.25" customHeight="1">
      <c r="G381" s="91"/>
      <c r="H381" s="91"/>
      <c r="I381" s="91"/>
      <c r="J381" s="91"/>
      <c r="K381" s="91"/>
      <c r="L381" s="177"/>
      <c r="M381" s="176"/>
      <c r="N381" s="176"/>
      <c r="O381" s="176"/>
      <c r="P381" s="91"/>
      <c r="Q381" s="91"/>
      <c r="R381" s="91"/>
      <c r="S381" s="205"/>
      <c r="T381" s="205"/>
    </row>
    <row r="382" spans="7:20" ht="14.25" customHeight="1">
      <c r="G382" s="91"/>
      <c r="H382" s="91"/>
      <c r="I382" s="91"/>
      <c r="J382" s="91"/>
      <c r="K382" s="91"/>
      <c r="L382" s="177"/>
      <c r="M382" s="176"/>
      <c r="N382" s="176"/>
      <c r="O382" s="176"/>
      <c r="P382" s="91"/>
      <c r="Q382" s="91"/>
      <c r="R382" s="91"/>
      <c r="S382" s="205"/>
      <c r="T382" s="205"/>
    </row>
    <row r="383" spans="7:20" ht="14.25" customHeight="1">
      <c r="G383" s="91"/>
      <c r="H383" s="91"/>
      <c r="I383" s="91"/>
      <c r="J383" s="91"/>
      <c r="K383" s="91"/>
      <c r="L383" s="177"/>
      <c r="M383" s="176"/>
      <c r="N383" s="176"/>
      <c r="O383" s="176"/>
      <c r="P383" s="91"/>
      <c r="Q383" s="91"/>
      <c r="R383" s="91"/>
      <c r="S383" s="205"/>
      <c r="T383" s="205"/>
    </row>
    <row r="384" spans="7:20" ht="14.25" customHeight="1">
      <c r="G384" s="91"/>
      <c r="H384" s="91"/>
      <c r="I384" s="91"/>
      <c r="J384" s="91"/>
      <c r="K384" s="91"/>
      <c r="L384" s="177"/>
      <c r="M384" s="176"/>
      <c r="N384" s="176"/>
      <c r="O384" s="176"/>
      <c r="P384" s="91"/>
      <c r="Q384" s="91"/>
      <c r="R384" s="91"/>
      <c r="S384" s="205"/>
      <c r="T384" s="205"/>
    </row>
    <row r="385" spans="7:20" ht="14.25" customHeight="1">
      <c r="G385" s="91"/>
      <c r="H385" s="91"/>
      <c r="I385" s="91"/>
      <c r="J385" s="91"/>
      <c r="K385" s="91"/>
      <c r="L385" s="177"/>
      <c r="M385" s="176"/>
      <c r="N385" s="176"/>
      <c r="O385" s="176"/>
      <c r="P385" s="91"/>
      <c r="Q385" s="91"/>
      <c r="R385" s="91"/>
      <c r="S385" s="205"/>
      <c r="T385" s="205"/>
    </row>
    <row r="386" spans="7:20" ht="14.25" customHeight="1">
      <c r="G386" s="91"/>
      <c r="H386" s="91"/>
      <c r="I386" s="91"/>
      <c r="J386" s="91"/>
      <c r="K386" s="91"/>
      <c r="L386" s="177"/>
      <c r="M386" s="176"/>
      <c r="N386" s="176"/>
      <c r="O386" s="176"/>
      <c r="P386" s="91"/>
      <c r="Q386" s="91"/>
      <c r="R386" s="91"/>
      <c r="S386" s="205"/>
      <c r="T386" s="205"/>
    </row>
    <row r="387" spans="7:20" ht="14.25" customHeight="1">
      <c r="G387" s="91"/>
      <c r="H387" s="91"/>
      <c r="I387" s="91"/>
      <c r="J387" s="91"/>
      <c r="K387" s="91"/>
      <c r="L387" s="177"/>
      <c r="M387" s="176"/>
      <c r="N387" s="176"/>
      <c r="O387" s="176"/>
      <c r="P387" s="91"/>
      <c r="Q387" s="91"/>
      <c r="R387" s="91"/>
      <c r="S387" s="205"/>
      <c r="T387" s="205"/>
    </row>
    <row r="388" spans="7:20" ht="14.25" customHeight="1">
      <c r="G388" s="91"/>
      <c r="H388" s="91"/>
      <c r="I388" s="91"/>
      <c r="J388" s="91"/>
      <c r="K388" s="91"/>
      <c r="L388" s="177"/>
      <c r="M388" s="176"/>
      <c r="N388" s="176"/>
      <c r="O388" s="176"/>
      <c r="P388" s="91"/>
      <c r="Q388" s="91"/>
      <c r="R388" s="91"/>
      <c r="S388" s="205"/>
      <c r="T388" s="205"/>
    </row>
    <row r="389" spans="7:20" ht="14.25" customHeight="1">
      <c r="G389" s="91"/>
      <c r="H389" s="91"/>
      <c r="I389" s="91"/>
      <c r="J389" s="91"/>
      <c r="K389" s="91"/>
      <c r="L389" s="177"/>
      <c r="M389" s="176"/>
      <c r="N389" s="176"/>
      <c r="O389" s="176"/>
      <c r="P389" s="91"/>
      <c r="Q389" s="91"/>
      <c r="R389" s="91"/>
      <c r="S389" s="205"/>
      <c r="T389" s="205"/>
    </row>
    <row r="390" spans="7:20" ht="14.25" customHeight="1">
      <c r="G390" s="91"/>
      <c r="H390" s="91"/>
      <c r="I390" s="91"/>
      <c r="J390" s="91"/>
      <c r="K390" s="91"/>
      <c r="L390" s="177"/>
      <c r="M390" s="176"/>
      <c r="N390" s="176"/>
      <c r="O390" s="176"/>
      <c r="P390" s="91"/>
      <c r="Q390" s="91"/>
      <c r="R390" s="91"/>
      <c r="S390" s="205"/>
      <c r="T390" s="205"/>
    </row>
    <row r="391" spans="7:20" ht="14.25" customHeight="1">
      <c r="G391" s="91"/>
      <c r="H391" s="91"/>
      <c r="I391" s="91"/>
      <c r="J391" s="91"/>
      <c r="K391" s="91"/>
      <c r="L391" s="177"/>
      <c r="M391" s="176"/>
      <c r="N391" s="176"/>
      <c r="O391" s="176"/>
      <c r="P391" s="91"/>
      <c r="Q391" s="91"/>
      <c r="R391" s="91"/>
      <c r="S391" s="205"/>
      <c r="T391" s="205"/>
    </row>
    <row r="392" spans="7:20" ht="14.25" customHeight="1">
      <c r="G392" s="91"/>
      <c r="H392" s="91"/>
      <c r="I392" s="91"/>
      <c r="J392" s="91"/>
      <c r="K392" s="91"/>
      <c r="L392" s="177"/>
      <c r="M392" s="176"/>
      <c r="N392" s="176"/>
      <c r="O392" s="176"/>
      <c r="P392" s="91"/>
      <c r="Q392" s="91"/>
      <c r="R392" s="91"/>
      <c r="S392" s="205"/>
      <c r="T392" s="205"/>
    </row>
    <row r="393" spans="7:20" ht="14.25" customHeight="1">
      <c r="G393" s="91"/>
      <c r="H393" s="91"/>
      <c r="I393" s="91"/>
      <c r="J393" s="91"/>
      <c r="K393" s="91"/>
      <c r="L393" s="177"/>
      <c r="M393" s="176"/>
      <c r="N393" s="176"/>
      <c r="O393" s="176"/>
      <c r="P393" s="91"/>
      <c r="Q393" s="91"/>
      <c r="R393" s="91"/>
      <c r="S393" s="205"/>
      <c r="T393" s="205"/>
    </row>
    <row r="394" spans="7:20" ht="14.25" customHeight="1">
      <c r="G394" s="91"/>
      <c r="H394" s="91"/>
      <c r="I394" s="91"/>
      <c r="J394" s="91"/>
      <c r="K394" s="91"/>
      <c r="L394" s="177"/>
      <c r="M394" s="176"/>
      <c r="N394" s="176"/>
      <c r="O394" s="176"/>
      <c r="P394" s="91"/>
      <c r="Q394" s="91"/>
      <c r="R394" s="91"/>
      <c r="S394" s="205"/>
      <c r="T394" s="205"/>
    </row>
    <row r="395" spans="7:20" ht="14.25" customHeight="1">
      <c r="G395" s="91"/>
      <c r="H395" s="91"/>
      <c r="I395" s="91"/>
      <c r="J395" s="91"/>
      <c r="K395" s="91"/>
      <c r="L395" s="177"/>
      <c r="M395" s="176"/>
      <c r="N395" s="176"/>
      <c r="O395" s="176"/>
      <c r="P395" s="91"/>
      <c r="Q395" s="91"/>
      <c r="R395" s="91"/>
      <c r="S395" s="205"/>
      <c r="T395" s="205"/>
    </row>
    <row r="396" spans="7:20" ht="14.25" customHeight="1">
      <c r="G396" s="91"/>
      <c r="H396" s="91"/>
      <c r="I396" s="91"/>
      <c r="J396" s="91"/>
      <c r="K396" s="91"/>
      <c r="L396" s="177"/>
      <c r="M396" s="176"/>
      <c r="N396" s="176"/>
      <c r="O396" s="176"/>
      <c r="P396" s="91"/>
      <c r="Q396" s="91"/>
      <c r="R396" s="91"/>
      <c r="S396" s="205"/>
      <c r="T396" s="205"/>
    </row>
    <row r="397" spans="7:20" ht="14.25" customHeight="1">
      <c r="G397" s="91"/>
      <c r="H397" s="91"/>
      <c r="I397" s="91"/>
      <c r="J397" s="91"/>
      <c r="K397" s="91"/>
      <c r="L397" s="177"/>
      <c r="M397" s="176"/>
      <c r="N397" s="176"/>
      <c r="O397" s="176"/>
      <c r="P397" s="91"/>
      <c r="Q397" s="91"/>
      <c r="R397" s="91"/>
      <c r="S397" s="205"/>
      <c r="T397" s="205"/>
    </row>
    <row r="398" spans="7:20" ht="14.25" customHeight="1">
      <c r="G398" s="91"/>
      <c r="H398" s="91"/>
      <c r="I398" s="91"/>
      <c r="J398" s="91"/>
      <c r="K398" s="91"/>
      <c r="L398" s="177"/>
      <c r="M398" s="176"/>
      <c r="N398" s="176"/>
      <c r="O398" s="176"/>
      <c r="P398" s="91"/>
      <c r="Q398" s="91"/>
      <c r="R398" s="91"/>
      <c r="S398" s="205"/>
      <c r="T398" s="205"/>
    </row>
    <row r="399" spans="7:20" ht="14.25" customHeight="1">
      <c r="G399" s="91"/>
      <c r="H399" s="91"/>
      <c r="I399" s="91"/>
      <c r="J399" s="91"/>
      <c r="K399" s="91"/>
      <c r="L399" s="177"/>
      <c r="M399" s="176"/>
      <c r="N399" s="176"/>
      <c r="O399" s="176"/>
      <c r="P399" s="91"/>
      <c r="Q399" s="91"/>
      <c r="R399" s="91"/>
      <c r="S399" s="205"/>
      <c r="T399" s="205"/>
    </row>
    <row r="400" spans="7:20" ht="14.25" customHeight="1">
      <c r="G400" s="91"/>
      <c r="H400" s="91"/>
      <c r="I400" s="91"/>
      <c r="J400" s="91"/>
      <c r="K400" s="91"/>
      <c r="L400" s="177"/>
      <c r="M400" s="176"/>
      <c r="N400" s="176"/>
      <c r="O400" s="176"/>
      <c r="P400" s="91"/>
      <c r="Q400" s="91"/>
      <c r="R400" s="91"/>
      <c r="S400" s="205"/>
      <c r="T400" s="205"/>
    </row>
    <row r="401" spans="7:20" ht="14.25" customHeight="1">
      <c r="G401" s="91"/>
      <c r="H401" s="91"/>
      <c r="I401" s="91"/>
      <c r="J401" s="91"/>
      <c r="K401" s="91"/>
      <c r="L401" s="177"/>
      <c r="M401" s="176"/>
      <c r="N401" s="176"/>
      <c r="O401" s="176"/>
      <c r="P401" s="91"/>
      <c r="Q401" s="91"/>
      <c r="R401" s="91"/>
      <c r="S401" s="205"/>
      <c r="T401" s="205"/>
    </row>
    <row r="402" spans="7:20" ht="14.25" customHeight="1">
      <c r="G402" s="91"/>
      <c r="H402" s="91"/>
      <c r="I402" s="91"/>
      <c r="J402" s="91"/>
      <c r="K402" s="91"/>
      <c r="L402" s="177"/>
      <c r="M402" s="176"/>
      <c r="N402" s="176"/>
      <c r="O402" s="176"/>
      <c r="P402" s="91"/>
      <c r="Q402" s="91"/>
      <c r="R402" s="91"/>
      <c r="S402" s="205"/>
      <c r="T402" s="205"/>
    </row>
    <row r="403" spans="7:20" ht="14.25" customHeight="1">
      <c r="G403" s="91"/>
      <c r="H403" s="91"/>
      <c r="I403" s="91"/>
      <c r="J403" s="91"/>
      <c r="K403" s="91"/>
      <c r="L403" s="177"/>
      <c r="M403" s="176"/>
      <c r="N403" s="176"/>
      <c r="O403" s="176"/>
      <c r="P403" s="91"/>
      <c r="Q403" s="91"/>
      <c r="R403" s="91"/>
      <c r="S403" s="205"/>
      <c r="T403" s="205"/>
    </row>
    <row r="404" spans="7:20" ht="14.25" customHeight="1">
      <c r="G404" s="91"/>
      <c r="H404" s="91"/>
      <c r="I404" s="91"/>
      <c r="J404" s="91"/>
      <c r="K404" s="91"/>
      <c r="L404" s="177"/>
      <c r="M404" s="176"/>
      <c r="N404" s="176"/>
      <c r="O404" s="176"/>
      <c r="P404" s="91"/>
      <c r="Q404" s="91"/>
      <c r="R404" s="91"/>
      <c r="S404" s="205"/>
      <c r="T404" s="205"/>
    </row>
    <row r="405" spans="7:20" ht="14.25" customHeight="1">
      <c r="G405" s="91"/>
      <c r="H405" s="91"/>
      <c r="I405" s="91"/>
      <c r="J405" s="91"/>
      <c r="K405" s="91"/>
      <c r="L405" s="177"/>
      <c r="M405" s="176"/>
      <c r="N405" s="176"/>
      <c r="O405" s="176"/>
      <c r="P405" s="91"/>
      <c r="Q405" s="91"/>
      <c r="R405" s="91"/>
      <c r="S405" s="205"/>
      <c r="T405" s="205"/>
    </row>
    <row r="406" spans="7:20" ht="14.25" customHeight="1">
      <c r="G406" s="91"/>
      <c r="H406" s="91"/>
      <c r="I406" s="91"/>
      <c r="J406" s="91"/>
      <c r="K406" s="91"/>
      <c r="L406" s="177"/>
      <c r="M406" s="176"/>
      <c r="N406" s="176"/>
      <c r="O406" s="176"/>
      <c r="P406" s="91"/>
      <c r="Q406" s="91"/>
      <c r="R406" s="91"/>
      <c r="S406" s="205"/>
      <c r="T406" s="205"/>
    </row>
    <row r="407" spans="7:20" ht="14.25" customHeight="1">
      <c r="G407" s="91"/>
      <c r="H407" s="91"/>
      <c r="I407" s="91"/>
      <c r="J407" s="91"/>
      <c r="K407" s="91"/>
      <c r="L407" s="177"/>
      <c r="M407" s="176"/>
      <c r="N407" s="176"/>
      <c r="O407" s="176"/>
      <c r="P407" s="91"/>
      <c r="Q407" s="91"/>
      <c r="R407" s="91"/>
      <c r="S407" s="205"/>
      <c r="T407" s="205"/>
    </row>
    <row r="408" spans="7:20" ht="14.25" customHeight="1">
      <c r="G408" s="91"/>
      <c r="H408" s="91"/>
      <c r="I408" s="91"/>
      <c r="J408" s="91"/>
      <c r="K408" s="91"/>
      <c r="L408" s="177"/>
      <c r="M408" s="176"/>
      <c r="N408" s="176"/>
      <c r="O408" s="176"/>
      <c r="P408" s="91"/>
      <c r="Q408" s="91"/>
      <c r="R408" s="91"/>
      <c r="S408" s="205"/>
      <c r="T408" s="205"/>
    </row>
    <row r="409" spans="7:20" ht="14.25" customHeight="1">
      <c r="G409" s="91"/>
      <c r="H409" s="91"/>
      <c r="I409" s="91"/>
      <c r="J409" s="91"/>
      <c r="K409" s="91"/>
      <c r="L409" s="177"/>
      <c r="M409" s="176"/>
      <c r="N409" s="176"/>
      <c r="O409" s="176"/>
      <c r="P409" s="91"/>
      <c r="Q409" s="91"/>
      <c r="R409" s="91"/>
      <c r="S409" s="205"/>
      <c r="T409" s="205"/>
    </row>
    <row r="410" spans="7:20" ht="14.25" customHeight="1">
      <c r="G410" s="91"/>
      <c r="H410" s="91"/>
      <c r="I410" s="91"/>
      <c r="J410" s="91"/>
      <c r="K410" s="91"/>
      <c r="L410" s="177"/>
      <c r="M410" s="176"/>
      <c r="N410" s="176"/>
      <c r="O410" s="176"/>
      <c r="P410" s="91"/>
      <c r="Q410" s="91"/>
      <c r="R410" s="91"/>
      <c r="S410" s="205"/>
      <c r="T410" s="205"/>
    </row>
    <row r="411" spans="7:20" ht="14.25" customHeight="1">
      <c r="G411" s="91"/>
      <c r="H411" s="91"/>
      <c r="I411" s="91"/>
      <c r="J411" s="91"/>
      <c r="K411" s="91"/>
      <c r="L411" s="177"/>
      <c r="M411" s="176"/>
      <c r="N411" s="176"/>
      <c r="O411" s="176"/>
      <c r="P411" s="91"/>
      <c r="Q411" s="91"/>
      <c r="R411" s="91"/>
      <c r="S411" s="205"/>
      <c r="T411" s="205"/>
    </row>
    <row r="412" spans="7:20" ht="14.25" customHeight="1">
      <c r="G412" s="91"/>
      <c r="H412" s="91"/>
      <c r="I412" s="91"/>
      <c r="J412" s="91"/>
      <c r="K412" s="91"/>
      <c r="L412" s="177"/>
      <c r="M412" s="176"/>
      <c r="N412" s="176"/>
      <c r="O412" s="176"/>
      <c r="P412" s="91"/>
      <c r="Q412" s="91"/>
      <c r="R412" s="91"/>
      <c r="S412" s="205"/>
      <c r="T412" s="205"/>
    </row>
    <row r="413" spans="7:20" ht="14.25" customHeight="1">
      <c r="G413" s="91"/>
      <c r="H413" s="91"/>
      <c r="I413" s="91"/>
      <c r="J413" s="91"/>
      <c r="K413" s="91"/>
      <c r="L413" s="177"/>
      <c r="M413" s="176"/>
      <c r="N413" s="176"/>
      <c r="O413" s="176"/>
      <c r="P413" s="91"/>
      <c r="Q413" s="91"/>
      <c r="R413" s="91"/>
      <c r="S413" s="205"/>
      <c r="T413" s="205"/>
    </row>
    <row r="414" spans="7:20" ht="14.25" customHeight="1">
      <c r="G414" s="91"/>
      <c r="H414" s="91"/>
      <c r="I414" s="91"/>
      <c r="J414" s="91"/>
      <c r="K414" s="91"/>
      <c r="L414" s="177"/>
      <c r="M414" s="176"/>
      <c r="N414" s="176"/>
      <c r="O414" s="176"/>
      <c r="P414" s="91"/>
      <c r="Q414" s="91"/>
      <c r="R414" s="91"/>
      <c r="S414" s="205"/>
      <c r="T414" s="205"/>
    </row>
    <row r="415" spans="7:20" ht="14.25" customHeight="1">
      <c r="G415" s="91"/>
      <c r="H415" s="91"/>
      <c r="I415" s="91"/>
      <c r="J415" s="91"/>
      <c r="K415" s="91"/>
      <c r="L415" s="177"/>
      <c r="M415" s="176"/>
      <c r="N415" s="176"/>
      <c r="O415" s="176"/>
      <c r="P415" s="91"/>
      <c r="Q415" s="91"/>
      <c r="R415" s="91"/>
      <c r="S415" s="205"/>
      <c r="T415" s="205"/>
    </row>
    <row r="416" spans="7:20" ht="14.25" customHeight="1">
      <c r="G416" s="91"/>
      <c r="H416" s="91"/>
      <c r="I416" s="91"/>
      <c r="J416" s="91"/>
      <c r="K416" s="91"/>
      <c r="L416" s="177"/>
      <c r="M416" s="176"/>
      <c r="N416" s="176"/>
      <c r="O416" s="176"/>
      <c r="P416" s="91"/>
      <c r="Q416" s="91"/>
      <c r="R416" s="91"/>
      <c r="S416" s="205"/>
      <c r="T416" s="205"/>
    </row>
    <row r="417" spans="7:20" ht="14.25" customHeight="1">
      <c r="G417" s="91"/>
      <c r="H417" s="91"/>
      <c r="I417" s="91"/>
      <c r="J417" s="91"/>
      <c r="K417" s="91"/>
      <c r="L417" s="177"/>
      <c r="M417" s="176"/>
      <c r="N417" s="176"/>
      <c r="O417" s="176"/>
      <c r="P417" s="91"/>
      <c r="Q417" s="91"/>
      <c r="R417" s="91"/>
      <c r="S417" s="205"/>
      <c r="T417" s="205"/>
    </row>
    <row r="418" spans="7:20" ht="14.25" customHeight="1">
      <c r="G418" s="91"/>
      <c r="H418" s="91"/>
      <c r="I418" s="91"/>
      <c r="J418" s="91"/>
      <c r="K418" s="91"/>
      <c r="L418" s="177"/>
      <c r="M418" s="176"/>
      <c r="N418" s="176"/>
      <c r="O418" s="176"/>
      <c r="P418" s="91"/>
      <c r="Q418" s="91"/>
      <c r="R418" s="91"/>
      <c r="S418" s="205"/>
      <c r="T418" s="205"/>
    </row>
    <row r="419" spans="7:20" ht="14.25" customHeight="1">
      <c r="G419" s="91"/>
      <c r="H419" s="91"/>
      <c r="I419" s="91"/>
      <c r="J419" s="91"/>
      <c r="K419" s="91"/>
      <c r="L419" s="177"/>
      <c r="M419" s="176"/>
      <c r="N419" s="176"/>
      <c r="O419" s="176"/>
      <c r="P419" s="91"/>
      <c r="Q419" s="91"/>
      <c r="R419" s="91"/>
      <c r="S419" s="205"/>
      <c r="T419" s="205"/>
    </row>
    <row r="420" spans="7:20" ht="14.25" customHeight="1">
      <c r="G420" s="91"/>
      <c r="H420" s="91"/>
      <c r="I420" s="91"/>
      <c r="J420" s="91"/>
      <c r="K420" s="91"/>
      <c r="L420" s="177"/>
      <c r="M420" s="176"/>
      <c r="N420" s="176"/>
      <c r="O420" s="176"/>
      <c r="P420" s="91"/>
      <c r="Q420" s="91"/>
      <c r="R420" s="91"/>
      <c r="S420" s="205"/>
      <c r="T420" s="205"/>
    </row>
    <row r="421" spans="7:20" ht="14.25" customHeight="1">
      <c r="G421" s="91"/>
      <c r="H421" s="91"/>
      <c r="I421" s="91"/>
      <c r="J421" s="91"/>
      <c r="K421" s="91"/>
      <c r="L421" s="177"/>
      <c r="M421" s="176"/>
      <c r="N421" s="176"/>
      <c r="O421" s="176"/>
      <c r="P421" s="91"/>
      <c r="Q421" s="91"/>
      <c r="R421" s="91"/>
      <c r="S421" s="205"/>
      <c r="T421" s="205"/>
    </row>
    <row r="422" spans="7:20" ht="14.25" customHeight="1">
      <c r="G422" s="91"/>
      <c r="H422" s="91"/>
      <c r="I422" s="91"/>
      <c r="J422" s="91"/>
      <c r="K422" s="91"/>
      <c r="L422" s="177"/>
      <c r="M422" s="176"/>
      <c r="N422" s="176"/>
      <c r="O422" s="176"/>
      <c r="P422" s="91"/>
      <c r="Q422" s="91"/>
      <c r="R422" s="91"/>
      <c r="S422" s="205"/>
      <c r="T422" s="205"/>
    </row>
    <row r="423" spans="7:20" ht="14.25" customHeight="1">
      <c r="G423" s="91"/>
      <c r="H423" s="91"/>
      <c r="I423" s="91"/>
      <c r="J423" s="91"/>
      <c r="K423" s="91"/>
      <c r="L423" s="177"/>
      <c r="M423" s="176"/>
      <c r="N423" s="176"/>
      <c r="O423" s="176"/>
      <c r="P423" s="91"/>
      <c r="Q423" s="91"/>
      <c r="R423" s="91"/>
      <c r="S423" s="205"/>
      <c r="T423" s="205"/>
    </row>
    <row r="424" spans="7:20" ht="14.25" customHeight="1">
      <c r="G424" s="91"/>
      <c r="H424" s="91"/>
      <c r="I424" s="91"/>
      <c r="J424" s="91"/>
      <c r="K424" s="91"/>
      <c r="L424" s="177"/>
      <c r="M424" s="176"/>
      <c r="N424" s="176"/>
      <c r="O424" s="176"/>
      <c r="P424" s="91"/>
      <c r="Q424" s="91"/>
      <c r="R424" s="91"/>
      <c r="S424" s="205"/>
      <c r="T424" s="205"/>
    </row>
    <row r="425" spans="7:20" ht="14.25" customHeight="1">
      <c r="G425" s="91"/>
      <c r="H425" s="91"/>
      <c r="I425" s="91"/>
      <c r="J425" s="91"/>
      <c r="K425" s="91"/>
      <c r="L425" s="177"/>
      <c r="M425" s="176"/>
      <c r="N425" s="176"/>
      <c r="O425" s="176"/>
      <c r="P425" s="91"/>
      <c r="Q425" s="91"/>
      <c r="R425" s="91"/>
      <c r="S425" s="205"/>
      <c r="T425" s="205"/>
    </row>
    <row r="426" spans="7:20" ht="14.25" customHeight="1">
      <c r="G426" s="91"/>
      <c r="H426" s="91"/>
      <c r="I426" s="91"/>
      <c r="J426" s="91"/>
      <c r="K426" s="91"/>
      <c r="L426" s="177"/>
      <c r="M426" s="176"/>
      <c r="N426" s="176"/>
      <c r="O426" s="176"/>
      <c r="P426" s="91"/>
      <c r="Q426" s="91"/>
      <c r="R426" s="91"/>
      <c r="S426" s="205"/>
      <c r="T426" s="205"/>
    </row>
    <row r="427" spans="7:20" ht="14.25" customHeight="1">
      <c r="G427" s="91"/>
      <c r="H427" s="91"/>
      <c r="I427" s="91"/>
      <c r="J427" s="91"/>
      <c r="K427" s="91"/>
      <c r="L427" s="177"/>
      <c r="M427" s="176"/>
      <c r="N427" s="176"/>
      <c r="O427" s="176"/>
      <c r="P427" s="91"/>
      <c r="Q427" s="91"/>
      <c r="R427" s="91"/>
      <c r="S427" s="205"/>
      <c r="T427" s="205"/>
    </row>
    <row r="428" spans="7:20" ht="14.25" customHeight="1">
      <c r="G428" s="91"/>
      <c r="H428" s="91"/>
      <c r="I428" s="91"/>
      <c r="J428" s="91"/>
      <c r="K428" s="91"/>
      <c r="L428" s="177"/>
      <c r="M428" s="176"/>
      <c r="N428" s="176"/>
      <c r="O428" s="176"/>
      <c r="P428" s="91"/>
      <c r="Q428" s="91"/>
      <c r="R428" s="91"/>
      <c r="S428" s="205"/>
      <c r="T428" s="205"/>
    </row>
    <row r="429" spans="7:20" ht="14.25" customHeight="1">
      <c r="G429" s="91"/>
      <c r="H429" s="91"/>
      <c r="I429" s="91"/>
      <c r="J429" s="91"/>
      <c r="K429" s="91"/>
      <c r="L429" s="177"/>
      <c r="M429" s="176"/>
      <c r="N429" s="176"/>
      <c r="O429" s="176"/>
      <c r="P429" s="91"/>
      <c r="Q429" s="91"/>
      <c r="R429" s="91"/>
      <c r="S429" s="205"/>
      <c r="T429" s="205"/>
    </row>
    <row r="430" spans="7:20" ht="14.25" customHeight="1">
      <c r="G430" s="91"/>
      <c r="H430" s="91"/>
      <c r="I430" s="91"/>
      <c r="J430" s="91"/>
      <c r="K430" s="91"/>
      <c r="L430" s="177"/>
      <c r="M430" s="176"/>
      <c r="N430" s="176"/>
      <c r="O430" s="176"/>
      <c r="P430" s="91"/>
      <c r="Q430" s="91"/>
      <c r="R430" s="91"/>
      <c r="S430" s="205"/>
      <c r="T430" s="205"/>
    </row>
    <row r="431" spans="7:20" ht="14.25" customHeight="1">
      <c r="G431" s="91"/>
      <c r="H431" s="91"/>
      <c r="I431" s="91"/>
      <c r="J431" s="91"/>
      <c r="K431" s="91"/>
      <c r="L431" s="177"/>
      <c r="M431" s="176"/>
      <c r="N431" s="176"/>
      <c r="O431" s="176"/>
      <c r="P431" s="91"/>
      <c r="Q431" s="91"/>
      <c r="R431" s="91"/>
      <c r="S431" s="205"/>
      <c r="T431" s="205"/>
    </row>
    <row r="432" spans="7:20" ht="14.25" customHeight="1">
      <c r="G432" s="91"/>
      <c r="H432" s="91"/>
      <c r="I432" s="91"/>
      <c r="J432" s="91"/>
      <c r="K432" s="91"/>
      <c r="L432" s="177"/>
      <c r="M432" s="176"/>
      <c r="N432" s="176"/>
      <c r="O432" s="176"/>
      <c r="P432" s="91"/>
      <c r="Q432" s="91"/>
      <c r="R432" s="91"/>
      <c r="S432" s="205"/>
      <c r="T432" s="205"/>
    </row>
    <row r="433" spans="7:20" ht="14.25" customHeight="1">
      <c r="G433" s="91"/>
      <c r="H433" s="91"/>
      <c r="I433" s="91"/>
      <c r="J433" s="91"/>
      <c r="K433" s="91"/>
      <c r="L433" s="177"/>
      <c r="M433" s="176"/>
      <c r="N433" s="176"/>
      <c r="O433" s="176"/>
      <c r="P433" s="91"/>
      <c r="Q433" s="91"/>
      <c r="R433" s="91"/>
      <c r="S433" s="205"/>
      <c r="T433" s="205"/>
    </row>
    <row r="434" spans="7:20" ht="14.25" customHeight="1">
      <c r="G434" s="91"/>
      <c r="H434" s="91"/>
      <c r="I434" s="91"/>
      <c r="J434" s="91"/>
      <c r="K434" s="91"/>
      <c r="L434" s="177"/>
      <c r="M434" s="176"/>
      <c r="N434" s="176"/>
      <c r="O434" s="176"/>
      <c r="P434" s="91"/>
      <c r="Q434" s="91"/>
      <c r="R434" s="91"/>
      <c r="S434" s="205"/>
      <c r="T434" s="205"/>
    </row>
    <row r="435" spans="7:20" ht="14.25" customHeight="1">
      <c r="G435" s="91"/>
      <c r="H435" s="91"/>
      <c r="I435" s="91"/>
      <c r="J435" s="91"/>
      <c r="K435" s="91"/>
      <c r="L435" s="177"/>
      <c r="M435" s="176"/>
      <c r="N435" s="176"/>
      <c r="O435" s="176"/>
      <c r="P435" s="91"/>
      <c r="Q435" s="91"/>
      <c r="R435" s="91"/>
      <c r="S435" s="205"/>
      <c r="T435" s="205"/>
    </row>
    <row r="436" spans="7:20" ht="14.25" customHeight="1">
      <c r="G436" s="91"/>
      <c r="H436" s="91"/>
      <c r="I436" s="91"/>
      <c r="J436" s="91"/>
      <c r="K436" s="91"/>
      <c r="L436" s="177"/>
      <c r="M436" s="176"/>
      <c r="N436" s="176"/>
      <c r="O436" s="176"/>
      <c r="P436" s="91"/>
      <c r="Q436" s="91"/>
      <c r="R436" s="91"/>
      <c r="S436" s="205"/>
      <c r="T436" s="205"/>
    </row>
    <row r="437" spans="7:20" ht="14.25" customHeight="1">
      <c r="G437" s="91"/>
      <c r="H437" s="91"/>
      <c r="I437" s="91"/>
      <c r="J437" s="91"/>
      <c r="K437" s="91"/>
      <c r="L437" s="177"/>
      <c r="M437" s="176"/>
      <c r="N437" s="176"/>
      <c r="O437" s="176"/>
      <c r="P437" s="91"/>
      <c r="Q437" s="91"/>
      <c r="R437" s="91"/>
      <c r="S437" s="205"/>
      <c r="T437" s="205"/>
    </row>
    <row r="438" spans="7:20" ht="14.25" customHeight="1">
      <c r="G438" s="91"/>
      <c r="H438" s="91"/>
      <c r="I438" s="91"/>
      <c r="J438" s="91"/>
      <c r="K438" s="91"/>
      <c r="L438" s="177"/>
      <c r="M438" s="176"/>
      <c r="N438" s="176"/>
      <c r="O438" s="176"/>
      <c r="P438" s="91"/>
      <c r="Q438" s="91"/>
      <c r="R438" s="91"/>
      <c r="S438" s="205"/>
      <c r="T438" s="205"/>
    </row>
    <row r="439" spans="7:20" ht="14.25" customHeight="1">
      <c r="G439" s="91"/>
      <c r="H439" s="91"/>
      <c r="I439" s="91"/>
      <c r="J439" s="91"/>
      <c r="K439" s="91"/>
      <c r="L439" s="177"/>
      <c r="M439" s="176"/>
      <c r="N439" s="176"/>
      <c r="O439" s="176"/>
      <c r="P439" s="91"/>
      <c r="Q439" s="91"/>
      <c r="R439" s="91"/>
      <c r="S439" s="205"/>
      <c r="T439" s="205"/>
    </row>
    <row r="440" spans="7:20" ht="14.25" customHeight="1">
      <c r="G440" s="91"/>
      <c r="H440" s="91"/>
      <c r="I440" s="91"/>
      <c r="J440" s="91"/>
      <c r="K440" s="91"/>
      <c r="L440" s="177"/>
      <c r="M440" s="176"/>
      <c r="N440" s="176"/>
      <c r="O440" s="176"/>
      <c r="P440" s="91"/>
      <c r="Q440" s="91"/>
      <c r="R440" s="91"/>
      <c r="S440" s="205"/>
      <c r="T440" s="205"/>
    </row>
    <row r="441" spans="7:20" ht="14.25" customHeight="1">
      <c r="G441" s="91"/>
      <c r="H441" s="91"/>
      <c r="I441" s="91"/>
      <c r="J441" s="91"/>
      <c r="K441" s="91"/>
      <c r="L441" s="177"/>
      <c r="M441" s="176"/>
      <c r="N441" s="176"/>
      <c r="O441" s="176"/>
      <c r="P441" s="91"/>
      <c r="Q441" s="91"/>
      <c r="R441" s="91"/>
      <c r="S441" s="205"/>
      <c r="T441" s="205"/>
    </row>
    <row r="442" spans="7:20" ht="14.25" customHeight="1">
      <c r="G442" s="91"/>
      <c r="H442" s="91"/>
      <c r="I442" s="91"/>
      <c r="J442" s="91"/>
      <c r="K442" s="91"/>
      <c r="L442" s="177"/>
      <c r="M442" s="176"/>
      <c r="N442" s="176"/>
      <c r="O442" s="176"/>
      <c r="P442" s="91"/>
      <c r="Q442" s="91"/>
      <c r="R442" s="91"/>
      <c r="S442" s="205"/>
      <c r="T442" s="205"/>
    </row>
    <row r="443" spans="7:20" ht="14.25" customHeight="1">
      <c r="G443" s="91"/>
      <c r="H443" s="91"/>
      <c r="I443" s="91"/>
      <c r="J443" s="91"/>
      <c r="K443" s="91"/>
      <c r="L443" s="177"/>
      <c r="M443" s="176"/>
      <c r="N443" s="176"/>
      <c r="O443" s="176"/>
      <c r="P443" s="91"/>
      <c r="Q443" s="91"/>
      <c r="R443" s="91"/>
      <c r="S443" s="205"/>
      <c r="T443" s="205"/>
    </row>
    <row r="444" spans="7:20" ht="14.25" customHeight="1">
      <c r="G444" s="91"/>
      <c r="H444" s="91"/>
      <c r="I444" s="91"/>
      <c r="J444" s="91"/>
      <c r="K444" s="91"/>
      <c r="L444" s="177"/>
      <c r="M444" s="176"/>
      <c r="N444" s="176"/>
      <c r="O444" s="176"/>
      <c r="P444" s="91"/>
      <c r="Q444" s="91"/>
      <c r="R444" s="91"/>
      <c r="S444" s="205"/>
      <c r="T444" s="205"/>
    </row>
    <row r="445" spans="7:20" ht="14.25" customHeight="1">
      <c r="G445" s="91"/>
      <c r="H445" s="91"/>
      <c r="I445" s="91"/>
      <c r="J445" s="91"/>
      <c r="K445" s="91"/>
      <c r="L445" s="177"/>
      <c r="M445" s="176"/>
      <c r="N445" s="176"/>
      <c r="O445" s="176"/>
      <c r="P445" s="91"/>
      <c r="Q445" s="91"/>
      <c r="R445" s="91"/>
      <c r="S445" s="205"/>
      <c r="T445" s="205"/>
    </row>
    <row r="446" spans="7:20" ht="14.25" customHeight="1">
      <c r="G446" s="91"/>
      <c r="H446" s="91"/>
      <c r="I446" s="91"/>
      <c r="J446" s="91"/>
      <c r="K446" s="91"/>
      <c r="L446" s="177"/>
      <c r="M446" s="176"/>
      <c r="N446" s="176"/>
      <c r="O446" s="176"/>
      <c r="P446" s="91"/>
      <c r="Q446" s="91"/>
      <c r="R446" s="91"/>
      <c r="S446" s="205"/>
      <c r="T446" s="205"/>
    </row>
    <row r="447" spans="7:20" ht="14.25" customHeight="1">
      <c r="G447" s="91"/>
      <c r="H447" s="91"/>
      <c r="I447" s="91"/>
      <c r="J447" s="91"/>
      <c r="K447" s="91"/>
      <c r="L447" s="177"/>
      <c r="M447" s="176"/>
      <c r="N447" s="176"/>
      <c r="O447" s="176"/>
      <c r="P447" s="91"/>
      <c r="Q447" s="91"/>
      <c r="R447" s="91"/>
      <c r="S447" s="205"/>
      <c r="T447" s="205"/>
    </row>
    <row r="448" spans="7:20" ht="14.25" customHeight="1">
      <c r="G448" s="91"/>
      <c r="H448" s="91"/>
      <c r="I448" s="91"/>
      <c r="J448" s="91"/>
      <c r="K448" s="91"/>
      <c r="L448" s="177"/>
      <c r="M448" s="176"/>
      <c r="N448" s="176"/>
      <c r="O448" s="176"/>
      <c r="P448" s="91"/>
      <c r="Q448" s="91"/>
      <c r="R448" s="91"/>
      <c r="S448" s="205"/>
      <c r="T448" s="205"/>
    </row>
    <row r="449" spans="7:20" ht="14.25" customHeight="1">
      <c r="G449" s="91"/>
      <c r="H449" s="91"/>
      <c r="I449" s="91"/>
      <c r="J449" s="91"/>
      <c r="K449" s="91"/>
      <c r="L449" s="177"/>
      <c r="M449" s="176"/>
      <c r="N449" s="176"/>
      <c r="O449" s="176"/>
      <c r="P449" s="91"/>
      <c r="Q449" s="91"/>
      <c r="R449" s="91"/>
      <c r="S449" s="205"/>
      <c r="T449" s="205"/>
    </row>
    <row r="450" spans="7:20" ht="14.25" customHeight="1">
      <c r="G450" s="91"/>
      <c r="H450" s="91"/>
      <c r="I450" s="91"/>
      <c r="J450" s="91"/>
      <c r="K450" s="91"/>
      <c r="L450" s="177"/>
      <c r="M450" s="176"/>
      <c r="N450" s="176"/>
      <c r="O450" s="176"/>
      <c r="P450" s="91"/>
      <c r="Q450" s="91"/>
      <c r="R450" s="91"/>
      <c r="S450" s="205"/>
      <c r="T450" s="205"/>
    </row>
    <row r="451" spans="7:20" ht="14.25" customHeight="1">
      <c r="G451" s="91"/>
      <c r="H451" s="91"/>
      <c r="I451" s="91"/>
      <c r="J451" s="91"/>
      <c r="K451" s="91"/>
      <c r="L451" s="177"/>
      <c r="M451" s="176"/>
      <c r="N451" s="176"/>
      <c r="O451" s="176"/>
      <c r="P451" s="91"/>
      <c r="Q451" s="91"/>
      <c r="R451" s="91"/>
      <c r="S451" s="205"/>
      <c r="T451" s="205"/>
    </row>
    <row r="452" spans="7:20" ht="14.25" customHeight="1">
      <c r="G452" s="91"/>
      <c r="H452" s="91"/>
      <c r="I452" s="91"/>
      <c r="J452" s="91"/>
      <c r="K452" s="91"/>
      <c r="L452" s="177"/>
      <c r="M452" s="176"/>
      <c r="N452" s="176"/>
      <c r="O452" s="176"/>
      <c r="P452" s="91"/>
      <c r="Q452" s="91"/>
      <c r="R452" s="91"/>
      <c r="S452" s="205"/>
      <c r="T452" s="205"/>
    </row>
    <row r="453" spans="7:20" ht="14.25" customHeight="1">
      <c r="G453" s="91"/>
      <c r="H453" s="91"/>
      <c r="I453" s="91"/>
      <c r="J453" s="91"/>
      <c r="K453" s="91"/>
      <c r="L453" s="177"/>
      <c r="M453" s="176"/>
      <c r="N453" s="176"/>
      <c r="O453" s="176"/>
      <c r="P453" s="91"/>
      <c r="Q453" s="91"/>
      <c r="R453" s="91"/>
      <c r="S453" s="205"/>
      <c r="T453" s="205"/>
    </row>
    <row r="454" spans="7:20" ht="14.25" customHeight="1">
      <c r="G454" s="91"/>
      <c r="H454" s="91"/>
      <c r="I454" s="91"/>
      <c r="J454" s="91"/>
      <c r="K454" s="91"/>
      <c r="L454" s="177"/>
      <c r="M454" s="176"/>
      <c r="N454" s="176"/>
      <c r="O454" s="176"/>
      <c r="P454" s="91"/>
      <c r="Q454" s="91"/>
      <c r="R454" s="91"/>
      <c r="S454" s="205"/>
      <c r="T454" s="205"/>
    </row>
    <row r="455" spans="7:20" ht="14.25" customHeight="1">
      <c r="G455" s="91"/>
      <c r="H455" s="91"/>
      <c r="I455" s="91"/>
      <c r="J455" s="91"/>
      <c r="K455" s="91"/>
      <c r="L455" s="177"/>
      <c r="M455" s="176"/>
      <c r="N455" s="176"/>
      <c r="O455" s="176"/>
      <c r="P455" s="91"/>
      <c r="Q455" s="91"/>
      <c r="R455" s="91"/>
      <c r="S455" s="205"/>
      <c r="T455" s="205"/>
    </row>
    <row r="456" spans="7:20" ht="14.25" customHeight="1">
      <c r="G456" s="91"/>
      <c r="H456" s="91"/>
      <c r="I456" s="91"/>
      <c r="J456" s="91"/>
      <c r="K456" s="91"/>
      <c r="L456" s="177"/>
      <c r="M456" s="176"/>
      <c r="N456" s="176"/>
      <c r="O456" s="176"/>
      <c r="P456" s="91"/>
      <c r="Q456" s="91"/>
      <c r="R456" s="91"/>
      <c r="S456" s="205"/>
      <c r="T456" s="205"/>
    </row>
    <row r="457" spans="7:20" ht="14.25" customHeight="1">
      <c r="G457" s="91"/>
      <c r="H457" s="91"/>
      <c r="I457" s="91"/>
      <c r="J457" s="91"/>
      <c r="K457" s="91"/>
      <c r="L457" s="177"/>
      <c r="M457" s="176"/>
      <c r="N457" s="176"/>
      <c r="O457" s="176"/>
      <c r="P457" s="91"/>
      <c r="Q457" s="91"/>
      <c r="R457" s="91"/>
      <c r="S457" s="205"/>
      <c r="T457" s="205"/>
    </row>
    <row r="458" spans="7:20" ht="14.25" customHeight="1">
      <c r="G458" s="91"/>
      <c r="H458" s="91"/>
      <c r="I458" s="91"/>
      <c r="J458" s="91"/>
      <c r="K458" s="91"/>
      <c r="L458" s="177"/>
      <c r="M458" s="176"/>
      <c r="N458" s="176"/>
      <c r="O458" s="176"/>
      <c r="P458" s="91"/>
      <c r="Q458" s="91"/>
      <c r="R458" s="91"/>
      <c r="S458" s="205"/>
      <c r="T458" s="205"/>
    </row>
    <row r="459" spans="7:20" ht="14.25" customHeight="1">
      <c r="G459" s="91"/>
      <c r="H459" s="91"/>
      <c r="I459" s="91"/>
      <c r="J459" s="91"/>
      <c r="K459" s="91"/>
      <c r="L459" s="177"/>
      <c r="M459" s="176"/>
      <c r="N459" s="176"/>
      <c r="O459" s="176"/>
      <c r="P459" s="91"/>
      <c r="Q459" s="91"/>
      <c r="R459" s="91"/>
      <c r="S459" s="205"/>
      <c r="T459" s="205"/>
    </row>
    <row r="460" spans="7:20" ht="14.25" customHeight="1">
      <c r="G460" s="91"/>
      <c r="H460" s="91"/>
      <c r="I460" s="91"/>
      <c r="J460" s="91"/>
      <c r="K460" s="91"/>
      <c r="L460" s="177"/>
      <c r="M460" s="176"/>
      <c r="N460" s="176"/>
      <c r="O460" s="176"/>
      <c r="P460" s="91"/>
      <c r="Q460" s="91"/>
      <c r="R460" s="91"/>
      <c r="S460" s="205"/>
      <c r="T460" s="205"/>
    </row>
    <row r="461" spans="7:20" ht="14.25" customHeight="1">
      <c r="G461" s="91"/>
      <c r="H461" s="91"/>
      <c r="I461" s="91"/>
      <c r="J461" s="91"/>
      <c r="K461" s="91"/>
      <c r="L461" s="177"/>
      <c r="M461" s="176"/>
      <c r="N461" s="176"/>
      <c r="O461" s="176"/>
      <c r="P461" s="91"/>
      <c r="Q461" s="91"/>
      <c r="R461" s="91"/>
      <c r="S461" s="205"/>
      <c r="T461" s="205"/>
    </row>
    <row r="462" spans="7:20" ht="14.25" customHeight="1">
      <c r="G462" s="91"/>
      <c r="H462" s="91"/>
      <c r="I462" s="91"/>
      <c r="J462" s="91"/>
      <c r="K462" s="91"/>
      <c r="L462" s="177"/>
      <c r="M462" s="176"/>
      <c r="N462" s="176"/>
      <c r="O462" s="176"/>
      <c r="P462" s="91"/>
      <c r="Q462" s="91"/>
      <c r="R462" s="91"/>
      <c r="S462" s="205"/>
      <c r="T462" s="205"/>
    </row>
    <row r="463" spans="7:20" ht="14.25" customHeight="1">
      <c r="G463" s="91"/>
      <c r="H463" s="91"/>
      <c r="I463" s="91"/>
      <c r="J463" s="91"/>
      <c r="K463" s="91"/>
      <c r="L463" s="177"/>
      <c r="M463" s="176"/>
      <c r="N463" s="176"/>
      <c r="O463" s="176"/>
      <c r="P463" s="91"/>
      <c r="Q463" s="91"/>
      <c r="R463" s="91"/>
      <c r="S463" s="205"/>
      <c r="T463" s="205"/>
    </row>
    <row r="464" spans="7:20" ht="14.25" customHeight="1">
      <c r="G464" s="91"/>
      <c r="H464" s="91"/>
      <c r="I464" s="91"/>
      <c r="J464" s="91"/>
      <c r="K464" s="91"/>
      <c r="L464" s="177"/>
      <c r="M464" s="176"/>
      <c r="N464" s="176"/>
      <c r="O464" s="176"/>
      <c r="P464" s="91"/>
      <c r="Q464" s="91"/>
      <c r="R464" s="91"/>
      <c r="S464" s="205"/>
      <c r="T464" s="205"/>
    </row>
    <row r="465" spans="7:20" ht="14.25" customHeight="1">
      <c r="G465" s="91"/>
      <c r="H465" s="91"/>
      <c r="I465" s="91"/>
      <c r="J465" s="91"/>
      <c r="K465" s="91"/>
      <c r="L465" s="177"/>
      <c r="M465" s="176"/>
      <c r="N465" s="176"/>
      <c r="O465" s="176"/>
      <c r="P465" s="91"/>
      <c r="Q465" s="91"/>
      <c r="R465" s="91"/>
      <c r="S465" s="205"/>
      <c r="T465" s="205"/>
    </row>
    <row r="466" spans="7:20" ht="14.25" customHeight="1">
      <c r="G466" s="91"/>
      <c r="H466" s="91"/>
      <c r="I466" s="91"/>
      <c r="J466" s="91"/>
      <c r="K466" s="91"/>
      <c r="L466" s="177"/>
      <c r="M466" s="176"/>
      <c r="N466" s="176"/>
      <c r="O466" s="176"/>
      <c r="P466" s="91"/>
      <c r="Q466" s="91"/>
      <c r="R466" s="91"/>
      <c r="S466" s="205"/>
      <c r="T466" s="205"/>
    </row>
    <row r="467" spans="7:20" ht="14.25" customHeight="1">
      <c r="G467" s="91"/>
      <c r="H467" s="91"/>
      <c r="I467" s="91"/>
      <c r="J467" s="91"/>
      <c r="K467" s="91"/>
      <c r="L467" s="177"/>
      <c r="M467" s="176"/>
      <c r="N467" s="176"/>
      <c r="O467" s="176"/>
      <c r="P467" s="91"/>
      <c r="Q467" s="91"/>
      <c r="R467" s="91"/>
      <c r="S467" s="205"/>
      <c r="T467" s="205"/>
    </row>
    <row r="468" spans="7:20" ht="14.25" customHeight="1">
      <c r="G468" s="91"/>
      <c r="H468" s="91"/>
      <c r="I468" s="91"/>
      <c r="J468" s="91"/>
      <c r="K468" s="91"/>
      <c r="L468" s="177"/>
      <c r="M468" s="176"/>
      <c r="N468" s="176"/>
      <c r="O468" s="176"/>
      <c r="P468" s="91"/>
      <c r="Q468" s="91"/>
      <c r="R468" s="91"/>
      <c r="S468" s="205"/>
      <c r="T468" s="205"/>
    </row>
    <row r="469" spans="7:20" ht="14.25" customHeight="1">
      <c r="G469" s="91"/>
      <c r="H469" s="91"/>
      <c r="I469" s="91"/>
      <c r="J469" s="91"/>
      <c r="K469" s="91"/>
      <c r="L469" s="177"/>
      <c r="M469" s="176"/>
      <c r="N469" s="176"/>
      <c r="O469" s="176"/>
      <c r="P469" s="91"/>
      <c r="Q469" s="91"/>
      <c r="R469" s="91"/>
      <c r="S469" s="205"/>
      <c r="T469" s="205"/>
    </row>
    <row r="470" spans="7:20" ht="14.25" customHeight="1">
      <c r="G470" s="91"/>
      <c r="H470" s="91"/>
      <c r="I470" s="91"/>
      <c r="J470" s="91"/>
      <c r="K470" s="91"/>
      <c r="L470" s="177"/>
      <c r="M470" s="176"/>
      <c r="N470" s="176"/>
      <c r="O470" s="176"/>
      <c r="P470" s="91"/>
      <c r="Q470" s="91"/>
      <c r="R470" s="91"/>
      <c r="S470" s="205"/>
      <c r="T470" s="205"/>
    </row>
    <row r="471" spans="7:20" ht="14.25" customHeight="1">
      <c r="G471" s="91"/>
      <c r="H471" s="91"/>
      <c r="I471" s="91"/>
      <c r="J471" s="91"/>
      <c r="K471" s="91"/>
      <c r="L471" s="177"/>
      <c r="M471" s="176"/>
      <c r="N471" s="176"/>
      <c r="O471" s="176"/>
      <c r="P471" s="91"/>
      <c r="Q471" s="91"/>
      <c r="R471" s="91"/>
      <c r="S471" s="205"/>
      <c r="T471" s="205"/>
    </row>
    <row r="472" spans="7:20" ht="14.25" customHeight="1">
      <c r="G472" s="91"/>
      <c r="H472" s="91"/>
      <c r="I472" s="91"/>
      <c r="J472" s="91"/>
      <c r="K472" s="91"/>
      <c r="L472" s="177"/>
      <c r="M472" s="176"/>
      <c r="N472" s="176"/>
      <c r="O472" s="176"/>
      <c r="P472" s="91"/>
      <c r="Q472" s="91"/>
      <c r="R472" s="91"/>
      <c r="S472" s="205"/>
      <c r="T472" s="205"/>
    </row>
    <row r="473" spans="7:20" ht="14.25" customHeight="1">
      <c r="G473" s="91"/>
      <c r="H473" s="91"/>
      <c r="I473" s="91"/>
      <c r="J473" s="91"/>
      <c r="K473" s="91"/>
      <c r="L473" s="177"/>
      <c r="M473" s="176"/>
      <c r="N473" s="176"/>
      <c r="O473" s="176"/>
      <c r="P473" s="91"/>
      <c r="Q473" s="91"/>
      <c r="R473" s="91"/>
      <c r="S473" s="205"/>
      <c r="T473" s="205"/>
    </row>
    <row r="474" spans="7:20" ht="14.25" customHeight="1">
      <c r="G474" s="91"/>
      <c r="H474" s="91"/>
      <c r="I474" s="91"/>
      <c r="J474" s="91"/>
      <c r="K474" s="91"/>
      <c r="L474" s="177"/>
      <c r="M474" s="176"/>
      <c r="N474" s="176"/>
      <c r="O474" s="176"/>
      <c r="P474" s="91"/>
      <c r="Q474" s="91"/>
      <c r="R474" s="91"/>
      <c r="S474" s="205"/>
      <c r="T474" s="205"/>
    </row>
    <row r="475" spans="7:20" ht="14.25" customHeight="1">
      <c r="G475" s="91"/>
      <c r="H475" s="91"/>
      <c r="I475" s="91"/>
      <c r="J475" s="91"/>
      <c r="K475" s="91"/>
      <c r="L475" s="177"/>
      <c r="M475" s="176"/>
      <c r="N475" s="176"/>
      <c r="O475" s="176"/>
      <c r="P475" s="91"/>
      <c r="Q475" s="91"/>
      <c r="R475" s="91"/>
      <c r="S475" s="205"/>
      <c r="T475" s="205"/>
    </row>
    <row r="476" spans="7:20" ht="14.25" customHeight="1">
      <c r="G476" s="91"/>
      <c r="H476" s="91"/>
      <c r="I476" s="91"/>
      <c r="J476" s="91"/>
      <c r="K476" s="91"/>
      <c r="L476" s="177"/>
      <c r="M476" s="176"/>
      <c r="N476" s="176"/>
      <c r="O476" s="176"/>
      <c r="P476" s="91"/>
      <c r="Q476" s="91"/>
      <c r="R476" s="91"/>
      <c r="S476" s="205"/>
      <c r="T476" s="205"/>
    </row>
    <row r="477" spans="7:20" ht="14.25" customHeight="1">
      <c r="G477" s="91"/>
      <c r="H477" s="91"/>
      <c r="I477" s="91"/>
      <c r="J477" s="91"/>
      <c r="K477" s="91"/>
      <c r="L477" s="177"/>
      <c r="M477" s="176"/>
      <c r="N477" s="176"/>
      <c r="O477" s="176"/>
      <c r="P477" s="91"/>
      <c r="Q477" s="91"/>
      <c r="R477" s="91"/>
      <c r="S477" s="205"/>
      <c r="T477" s="205"/>
    </row>
    <row r="478" spans="7:20" ht="14.25" customHeight="1">
      <c r="G478" s="91"/>
      <c r="H478" s="91"/>
      <c r="I478" s="91"/>
      <c r="J478" s="91"/>
      <c r="K478" s="91"/>
      <c r="L478" s="177"/>
      <c r="M478" s="176"/>
      <c r="N478" s="176"/>
      <c r="O478" s="176"/>
      <c r="P478" s="91"/>
      <c r="Q478" s="91"/>
      <c r="R478" s="91"/>
      <c r="S478" s="205"/>
      <c r="T478" s="205"/>
    </row>
    <row r="479" spans="7:20" ht="14.25" customHeight="1">
      <c r="G479" s="91"/>
      <c r="H479" s="91"/>
      <c r="I479" s="91"/>
      <c r="J479" s="91"/>
      <c r="K479" s="91"/>
      <c r="L479" s="177"/>
      <c r="M479" s="176"/>
      <c r="N479" s="176"/>
      <c r="O479" s="176"/>
      <c r="P479" s="91"/>
      <c r="Q479" s="91"/>
      <c r="R479" s="91"/>
      <c r="S479" s="205"/>
      <c r="T479" s="205"/>
    </row>
    <row r="480" spans="7:20" ht="14.25" customHeight="1">
      <c r="G480" s="91"/>
      <c r="H480" s="91"/>
      <c r="I480" s="91"/>
      <c r="J480" s="91"/>
      <c r="K480" s="91"/>
      <c r="L480" s="177"/>
      <c r="M480" s="176"/>
      <c r="N480" s="176"/>
      <c r="O480" s="176"/>
      <c r="P480" s="91"/>
      <c r="Q480" s="91"/>
      <c r="R480" s="91"/>
      <c r="S480" s="205"/>
      <c r="T480" s="205"/>
    </row>
    <row r="481" spans="7:20" ht="14.25" customHeight="1">
      <c r="G481" s="91"/>
      <c r="H481" s="91"/>
      <c r="I481" s="91"/>
      <c r="J481" s="91"/>
      <c r="K481" s="91"/>
      <c r="L481" s="177"/>
      <c r="M481" s="176"/>
      <c r="N481" s="176"/>
      <c r="O481" s="176"/>
      <c r="P481" s="91"/>
      <c r="Q481" s="91"/>
      <c r="R481" s="91"/>
      <c r="S481" s="205"/>
      <c r="T481" s="205"/>
    </row>
    <row r="482" spans="7:20" ht="14.25" customHeight="1">
      <c r="G482" s="91"/>
      <c r="H482" s="91"/>
      <c r="I482" s="91"/>
      <c r="J482" s="91"/>
      <c r="K482" s="91"/>
      <c r="L482" s="177"/>
      <c r="M482" s="176"/>
      <c r="N482" s="176"/>
      <c r="O482" s="176"/>
      <c r="P482" s="91"/>
      <c r="Q482" s="91"/>
      <c r="R482" s="91"/>
      <c r="S482" s="205"/>
      <c r="T482" s="205"/>
    </row>
    <row r="483" spans="7:20" ht="14.25" customHeight="1">
      <c r="G483" s="91"/>
      <c r="H483" s="91"/>
      <c r="I483" s="91"/>
      <c r="J483" s="91"/>
      <c r="K483" s="91"/>
      <c r="L483" s="177"/>
      <c r="M483" s="176"/>
      <c r="N483" s="176"/>
      <c r="O483" s="176"/>
      <c r="P483" s="91"/>
      <c r="Q483" s="91"/>
      <c r="R483" s="91"/>
      <c r="S483" s="205"/>
      <c r="T483" s="205"/>
    </row>
    <row r="484" spans="7:20" ht="14.25" customHeight="1">
      <c r="G484" s="91"/>
      <c r="H484" s="91"/>
      <c r="I484" s="91"/>
      <c r="J484" s="91"/>
      <c r="K484" s="91"/>
      <c r="L484" s="177"/>
      <c r="M484" s="176"/>
      <c r="N484" s="176"/>
      <c r="O484" s="176"/>
      <c r="P484" s="91"/>
      <c r="Q484" s="91"/>
      <c r="R484" s="91"/>
      <c r="S484" s="205"/>
      <c r="T484" s="205"/>
    </row>
    <row r="485" spans="7:20" ht="14.25" customHeight="1">
      <c r="G485" s="91"/>
      <c r="H485" s="91"/>
      <c r="I485" s="91"/>
      <c r="J485" s="91"/>
      <c r="K485" s="91"/>
      <c r="L485" s="177"/>
      <c r="M485" s="176"/>
      <c r="N485" s="176"/>
      <c r="O485" s="176"/>
      <c r="P485" s="91"/>
      <c r="Q485" s="91"/>
      <c r="R485" s="91"/>
      <c r="S485" s="205"/>
      <c r="T485" s="205"/>
    </row>
    <row r="486" spans="7:20" ht="14.25" customHeight="1">
      <c r="G486" s="91"/>
      <c r="H486" s="91"/>
      <c r="I486" s="91"/>
      <c r="J486" s="91"/>
      <c r="K486" s="91"/>
      <c r="L486" s="177"/>
      <c r="M486" s="176"/>
      <c r="N486" s="176"/>
      <c r="O486" s="176"/>
      <c r="P486" s="91"/>
      <c r="Q486" s="91"/>
      <c r="R486" s="91"/>
      <c r="S486" s="205"/>
      <c r="T486" s="205"/>
    </row>
    <row r="487" spans="7:20" ht="14.25" customHeight="1">
      <c r="G487" s="91"/>
      <c r="H487" s="91"/>
      <c r="I487" s="91"/>
      <c r="J487" s="91"/>
      <c r="K487" s="91"/>
      <c r="L487" s="177"/>
      <c r="M487" s="176"/>
      <c r="N487" s="176"/>
      <c r="O487" s="176"/>
      <c r="P487" s="91"/>
      <c r="Q487" s="91"/>
      <c r="R487" s="91"/>
      <c r="S487" s="205"/>
      <c r="T487" s="205"/>
    </row>
    <row r="488" spans="7:20" ht="14.25" customHeight="1">
      <c r="G488" s="91"/>
      <c r="H488" s="91"/>
      <c r="I488" s="91"/>
      <c r="J488" s="91"/>
      <c r="K488" s="91"/>
      <c r="L488" s="177"/>
      <c r="M488" s="176"/>
      <c r="N488" s="176"/>
      <c r="O488" s="176"/>
      <c r="P488" s="91"/>
      <c r="Q488" s="91"/>
      <c r="R488" s="91"/>
      <c r="S488" s="205"/>
      <c r="T488" s="205"/>
    </row>
    <row r="489" spans="7:20" ht="14.25" customHeight="1">
      <c r="G489" s="91"/>
      <c r="H489" s="91"/>
      <c r="I489" s="91"/>
      <c r="J489" s="91"/>
      <c r="K489" s="91"/>
      <c r="L489" s="177"/>
      <c r="M489" s="176"/>
      <c r="N489" s="176"/>
      <c r="O489" s="176"/>
      <c r="P489" s="91"/>
      <c r="Q489" s="91"/>
      <c r="R489" s="91"/>
      <c r="S489" s="205"/>
      <c r="T489" s="205"/>
    </row>
    <row r="490" spans="7:20" ht="14.25" customHeight="1">
      <c r="G490" s="91"/>
      <c r="H490" s="91"/>
      <c r="I490" s="91"/>
      <c r="J490" s="91"/>
      <c r="K490" s="91"/>
      <c r="L490" s="177"/>
      <c r="M490" s="176"/>
      <c r="N490" s="176"/>
      <c r="O490" s="176"/>
      <c r="P490" s="91"/>
      <c r="Q490" s="91"/>
      <c r="R490" s="91"/>
      <c r="S490" s="205"/>
      <c r="T490" s="205"/>
    </row>
    <row r="491" spans="7:20" ht="14.25" customHeight="1">
      <c r="G491" s="91"/>
      <c r="H491" s="91"/>
      <c r="I491" s="91"/>
      <c r="J491" s="91"/>
      <c r="K491" s="91"/>
      <c r="L491" s="177"/>
      <c r="M491" s="176"/>
      <c r="N491" s="176"/>
      <c r="O491" s="176"/>
      <c r="P491" s="91"/>
      <c r="Q491" s="91"/>
      <c r="R491" s="91"/>
      <c r="S491" s="205"/>
      <c r="T491" s="205"/>
    </row>
    <row r="492" spans="7:20" ht="14.25" customHeight="1">
      <c r="G492" s="91"/>
      <c r="H492" s="91"/>
      <c r="I492" s="91"/>
      <c r="J492" s="91"/>
      <c r="K492" s="91"/>
      <c r="L492" s="177"/>
      <c r="M492" s="176"/>
      <c r="N492" s="176"/>
      <c r="O492" s="176"/>
      <c r="P492" s="91"/>
      <c r="Q492" s="91"/>
      <c r="R492" s="91"/>
      <c r="S492" s="205"/>
      <c r="T492" s="205"/>
    </row>
    <row r="493" spans="7:20" ht="14.25" customHeight="1">
      <c r="G493" s="91"/>
      <c r="H493" s="91"/>
      <c r="I493" s="91"/>
      <c r="J493" s="91"/>
      <c r="K493" s="91"/>
      <c r="L493" s="177"/>
      <c r="M493" s="176"/>
      <c r="N493" s="176"/>
      <c r="O493" s="176"/>
      <c r="P493" s="91"/>
      <c r="Q493" s="91"/>
      <c r="R493" s="91"/>
      <c r="S493" s="205"/>
      <c r="T493" s="205"/>
    </row>
    <row r="494" spans="7:20" ht="14.25" customHeight="1">
      <c r="G494" s="91"/>
      <c r="H494" s="91"/>
      <c r="I494" s="91"/>
      <c r="J494" s="91"/>
      <c r="K494" s="91"/>
      <c r="L494" s="177"/>
      <c r="M494" s="176"/>
      <c r="N494" s="176"/>
      <c r="O494" s="176"/>
      <c r="P494" s="91"/>
      <c r="Q494" s="91"/>
      <c r="R494" s="91"/>
      <c r="S494" s="205"/>
      <c r="T494" s="205"/>
    </row>
    <row r="495" spans="7:20" ht="14.25" customHeight="1">
      <c r="G495" s="91"/>
      <c r="H495" s="91"/>
      <c r="I495" s="91"/>
      <c r="J495" s="91"/>
      <c r="K495" s="91"/>
      <c r="L495" s="177"/>
      <c r="M495" s="176"/>
      <c r="N495" s="176"/>
      <c r="O495" s="176"/>
      <c r="P495" s="91"/>
      <c r="Q495" s="91"/>
      <c r="R495" s="91"/>
      <c r="S495" s="205"/>
      <c r="T495" s="205"/>
    </row>
    <row r="496" spans="7:20" ht="14.25" customHeight="1">
      <c r="G496" s="91"/>
      <c r="H496" s="91"/>
      <c r="I496" s="91"/>
      <c r="J496" s="91"/>
      <c r="K496" s="91"/>
      <c r="L496" s="177"/>
      <c r="M496" s="176"/>
      <c r="N496" s="176"/>
      <c r="O496" s="176"/>
      <c r="P496" s="91"/>
      <c r="Q496" s="91"/>
      <c r="R496" s="91"/>
      <c r="S496" s="205"/>
      <c r="T496" s="205"/>
    </row>
    <row r="497" spans="7:20" ht="14.25" customHeight="1">
      <c r="G497" s="91"/>
      <c r="H497" s="91"/>
      <c r="I497" s="91"/>
      <c r="J497" s="91"/>
      <c r="K497" s="91"/>
      <c r="L497" s="177"/>
      <c r="M497" s="176"/>
      <c r="N497" s="176"/>
      <c r="O497" s="176"/>
      <c r="P497" s="91"/>
      <c r="Q497" s="91"/>
      <c r="R497" s="91"/>
      <c r="S497" s="205"/>
      <c r="T497" s="205"/>
    </row>
    <row r="498" spans="7:20" ht="14.25" customHeight="1">
      <c r="G498" s="91"/>
      <c r="H498" s="91"/>
      <c r="I498" s="91"/>
      <c r="J498" s="91"/>
      <c r="K498" s="91"/>
      <c r="L498" s="177"/>
      <c r="M498" s="176"/>
      <c r="N498" s="176"/>
      <c r="O498" s="176"/>
      <c r="P498" s="91"/>
      <c r="Q498" s="91"/>
      <c r="R498" s="91"/>
      <c r="S498" s="205"/>
      <c r="T498" s="205"/>
    </row>
    <row r="499" spans="7:20" ht="14.25" customHeight="1">
      <c r="G499" s="91"/>
      <c r="H499" s="91"/>
      <c r="I499" s="91"/>
      <c r="J499" s="91"/>
      <c r="K499" s="91"/>
      <c r="L499" s="177"/>
      <c r="M499" s="176"/>
      <c r="N499" s="176"/>
      <c r="O499" s="176"/>
      <c r="P499" s="91"/>
      <c r="Q499" s="91"/>
      <c r="R499" s="91"/>
      <c r="S499" s="205"/>
      <c r="T499" s="205"/>
    </row>
    <row r="500" spans="7:20" ht="14.25" customHeight="1">
      <c r="G500" s="91"/>
      <c r="H500" s="91"/>
      <c r="I500" s="91"/>
      <c r="J500" s="91"/>
      <c r="K500" s="91"/>
      <c r="L500" s="177"/>
      <c r="M500" s="176"/>
      <c r="N500" s="176"/>
      <c r="O500" s="176"/>
      <c r="P500" s="91"/>
      <c r="Q500" s="91"/>
      <c r="R500" s="91"/>
      <c r="S500" s="205"/>
      <c r="T500" s="205"/>
    </row>
    <row r="501" spans="7:20" ht="14.25" customHeight="1">
      <c r="G501" s="91"/>
      <c r="H501" s="91"/>
      <c r="I501" s="91"/>
      <c r="J501" s="91"/>
      <c r="K501" s="91"/>
      <c r="L501" s="177"/>
      <c r="M501" s="176"/>
      <c r="N501" s="176"/>
      <c r="O501" s="176"/>
      <c r="P501" s="91"/>
      <c r="Q501" s="91"/>
      <c r="R501" s="91"/>
      <c r="S501" s="205"/>
      <c r="T501" s="205"/>
    </row>
    <row r="502" spans="7:20" ht="14.25" customHeight="1">
      <c r="G502" s="91"/>
      <c r="H502" s="91"/>
      <c r="I502" s="91"/>
      <c r="J502" s="91"/>
      <c r="K502" s="91"/>
      <c r="L502" s="177"/>
      <c r="M502" s="176"/>
      <c r="N502" s="176"/>
      <c r="O502" s="176"/>
      <c r="P502" s="91"/>
      <c r="Q502" s="91"/>
      <c r="R502" s="91"/>
      <c r="S502" s="205"/>
      <c r="T502" s="205"/>
    </row>
    <row r="503" spans="7:20" ht="14.25" customHeight="1">
      <c r="G503" s="91"/>
      <c r="H503" s="91"/>
      <c r="I503" s="91"/>
      <c r="J503" s="91"/>
      <c r="K503" s="91"/>
      <c r="L503" s="177"/>
      <c r="M503" s="176"/>
      <c r="N503" s="176"/>
      <c r="O503" s="176"/>
      <c r="P503" s="91"/>
      <c r="Q503" s="91"/>
      <c r="R503" s="91"/>
      <c r="S503" s="205"/>
      <c r="T503" s="205"/>
    </row>
    <row r="504" spans="7:20" ht="14.25" customHeight="1">
      <c r="G504" s="91"/>
      <c r="H504" s="91"/>
      <c r="I504" s="91"/>
      <c r="J504" s="91"/>
      <c r="K504" s="91"/>
      <c r="L504" s="177"/>
      <c r="M504" s="176"/>
      <c r="N504" s="176"/>
      <c r="O504" s="176"/>
      <c r="P504" s="91"/>
      <c r="Q504" s="91"/>
      <c r="R504" s="91"/>
      <c r="S504" s="205"/>
      <c r="T504" s="205"/>
    </row>
    <row r="505" spans="7:20" ht="14.25" customHeight="1">
      <c r="G505" s="91"/>
      <c r="H505" s="91"/>
      <c r="I505" s="91"/>
      <c r="J505" s="91"/>
      <c r="K505" s="91"/>
      <c r="L505" s="177"/>
      <c r="M505" s="176"/>
      <c r="N505" s="176"/>
      <c r="O505" s="176"/>
      <c r="P505" s="91"/>
      <c r="Q505" s="91"/>
      <c r="R505" s="91"/>
      <c r="S505" s="205"/>
      <c r="T505" s="205"/>
    </row>
    <row r="506" spans="7:20" ht="14.25" customHeight="1">
      <c r="G506" s="91"/>
      <c r="H506" s="91"/>
      <c r="I506" s="91"/>
      <c r="J506" s="91"/>
      <c r="K506" s="91"/>
      <c r="L506" s="177"/>
      <c r="M506" s="176"/>
      <c r="N506" s="176"/>
      <c r="O506" s="176"/>
      <c r="P506" s="91"/>
      <c r="Q506" s="91"/>
      <c r="R506" s="91"/>
      <c r="S506" s="205"/>
      <c r="T506" s="205"/>
    </row>
    <row r="507" spans="7:20" ht="14.25" customHeight="1">
      <c r="G507" s="91"/>
      <c r="H507" s="91"/>
      <c r="I507" s="91"/>
      <c r="J507" s="91"/>
      <c r="K507" s="91"/>
      <c r="L507" s="177"/>
      <c r="M507" s="176"/>
      <c r="N507" s="176"/>
      <c r="O507" s="176"/>
      <c r="P507" s="91"/>
      <c r="Q507" s="91"/>
      <c r="R507" s="91"/>
      <c r="S507" s="205"/>
      <c r="T507" s="205"/>
    </row>
    <row r="508" spans="7:20" ht="14.25" customHeight="1">
      <c r="G508" s="91"/>
      <c r="H508" s="91"/>
      <c r="I508" s="91"/>
      <c r="J508" s="91"/>
      <c r="K508" s="91"/>
      <c r="L508" s="177"/>
      <c r="M508" s="176"/>
      <c r="N508" s="176"/>
      <c r="O508" s="176"/>
      <c r="P508" s="91"/>
      <c r="Q508" s="91"/>
      <c r="R508" s="91"/>
      <c r="S508" s="205"/>
      <c r="T508" s="205"/>
    </row>
    <row r="509" spans="7:20" ht="14.25" customHeight="1">
      <c r="G509" s="91"/>
      <c r="H509" s="91"/>
      <c r="I509" s="91"/>
      <c r="J509" s="91"/>
      <c r="K509" s="91"/>
      <c r="L509" s="177"/>
      <c r="M509" s="176"/>
      <c r="N509" s="176"/>
      <c r="O509" s="176"/>
      <c r="P509" s="91"/>
      <c r="Q509" s="91"/>
      <c r="R509" s="91"/>
      <c r="S509" s="205"/>
      <c r="T509" s="205"/>
    </row>
    <row r="510" spans="7:20" ht="14.25" customHeight="1">
      <c r="G510" s="91"/>
      <c r="H510" s="91"/>
      <c r="I510" s="91"/>
      <c r="J510" s="91"/>
      <c r="K510" s="91"/>
      <c r="L510" s="177"/>
      <c r="M510" s="176"/>
      <c r="N510" s="176"/>
      <c r="O510" s="176"/>
      <c r="P510" s="91"/>
      <c r="Q510" s="91"/>
      <c r="R510" s="91"/>
      <c r="S510" s="205"/>
      <c r="T510" s="205"/>
    </row>
    <row r="511" spans="7:20" ht="14.25" customHeight="1">
      <c r="G511" s="91"/>
      <c r="H511" s="91"/>
      <c r="I511" s="91"/>
      <c r="J511" s="91"/>
      <c r="K511" s="91"/>
      <c r="L511" s="177"/>
      <c r="M511" s="176"/>
      <c r="N511" s="176"/>
      <c r="O511" s="176"/>
      <c r="P511" s="91"/>
      <c r="Q511" s="91"/>
      <c r="R511" s="91"/>
      <c r="S511" s="205"/>
      <c r="T511" s="205"/>
    </row>
    <row r="512" spans="7:20" ht="14.25" customHeight="1">
      <c r="G512" s="91"/>
      <c r="H512" s="91"/>
      <c r="I512" s="91"/>
      <c r="J512" s="91"/>
      <c r="K512" s="91"/>
      <c r="L512" s="177"/>
      <c r="M512" s="176"/>
      <c r="N512" s="176"/>
      <c r="O512" s="176"/>
      <c r="P512" s="91"/>
      <c r="Q512" s="91"/>
      <c r="R512" s="91"/>
      <c r="S512" s="205"/>
      <c r="T512" s="205"/>
    </row>
    <row r="513" spans="7:20" ht="14.25" customHeight="1">
      <c r="G513" s="91"/>
      <c r="H513" s="91"/>
      <c r="I513" s="91"/>
      <c r="J513" s="91"/>
      <c r="K513" s="91"/>
      <c r="L513" s="177"/>
      <c r="M513" s="176"/>
      <c r="N513" s="176"/>
      <c r="O513" s="176"/>
      <c r="P513" s="91"/>
      <c r="Q513" s="91"/>
      <c r="R513" s="91"/>
      <c r="S513" s="205"/>
      <c r="T513" s="205"/>
    </row>
    <row r="514" spans="7:20" ht="14.25" customHeight="1">
      <c r="G514" s="91"/>
      <c r="H514" s="91"/>
      <c r="I514" s="91"/>
      <c r="J514" s="91"/>
      <c r="K514" s="91"/>
      <c r="L514" s="177"/>
      <c r="M514" s="176"/>
      <c r="N514" s="176"/>
      <c r="O514" s="176"/>
      <c r="P514" s="91"/>
      <c r="Q514" s="91"/>
      <c r="R514" s="91"/>
      <c r="S514" s="205"/>
      <c r="T514" s="205"/>
    </row>
    <row r="515" spans="7:20" ht="14.25" customHeight="1">
      <c r="G515" s="91"/>
      <c r="H515" s="91"/>
      <c r="I515" s="91"/>
      <c r="J515" s="91"/>
      <c r="K515" s="91"/>
      <c r="L515" s="177"/>
      <c r="M515" s="176"/>
      <c r="N515" s="176"/>
      <c r="O515" s="176"/>
      <c r="P515" s="91"/>
      <c r="Q515" s="91"/>
      <c r="R515" s="91"/>
      <c r="S515" s="205"/>
      <c r="T515" s="205"/>
    </row>
    <row r="516" spans="7:20" ht="14.25" customHeight="1">
      <c r="G516" s="91"/>
      <c r="H516" s="91"/>
      <c r="I516" s="91"/>
      <c r="J516" s="91"/>
      <c r="K516" s="91"/>
      <c r="L516" s="177"/>
      <c r="M516" s="176"/>
      <c r="N516" s="176"/>
      <c r="O516" s="176"/>
      <c r="P516" s="91"/>
      <c r="Q516" s="91"/>
      <c r="R516" s="91"/>
      <c r="S516" s="205"/>
      <c r="T516" s="205"/>
    </row>
    <row r="517" spans="7:20" ht="14.25" customHeight="1">
      <c r="G517" s="91"/>
      <c r="H517" s="91"/>
      <c r="I517" s="91"/>
      <c r="J517" s="91"/>
      <c r="K517" s="91"/>
      <c r="L517" s="177"/>
      <c r="M517" s="176"/>
      <c r="N517" s="176"/>
      <c r="O517" s="176"/>
      <c r="P517" s="91"/>
      <c r="Q517" s="91"/>
      <c r="R517" s="91"/>
      <c r="S517" s="205"/>
      <c r="T517" s="205"/>
    </row>
    <row r="518" spans="7:20" ht="14.25" customHeight="1">
      <c r="G518" s="91"/>
      <c r="H518" s="91"/>
      <c r="I518" s="91"/>
      <c r="J518" s="91"/>
      <c r="K518" s="91"/>
      <c r="L518" s="177"/>
      <c r="M518" s="176"/>
      <c r="N518" s="176"/>
      <c r="O518" s="176"/>
      <c r="P518" s="91"/>
      <c r="Q518" s="91"/>
      <c r="R518" s="91"/>
      <c r="S518" s="205"/>
      <c r="T518" s="205"/>
    </row>
    <row r="519" spans="7:20" ht="14.25" customHeight="1">
      <c r="G519" s="91"/>
      <c r="H519" s="91"/>
      <c r="I519" s="91"/>
      <c r="J519" s="91"/>
      <c r="K519" s="91"/>
      <c r="L519" s="177"/>
      <c r="M519" s="176"/>
      <c r="N519" s="176"/>
      <c r="O519" s="176"/>
      <c r="P519" s="91"/>
      <c r="Q519" s="91"/>
      <c r="R519" s="91"/>
      <c r="S519" s="205"/>
      <c r="T519" s="205"/>
    </row>
    <row r="520" spans="7:20" ht="14.25" customHeight="1">
      <c r="G520" s="91"/>
      <c r="H520" s="91"/>
      <c r="I520" s="91"/>
      <c r="J520" s="91"/>
      <c r="K520" s="91"/>
      <c r="L520" s="177"/>
      <c r="M520" s="176"/>
      <c r="N520" s="176"/>
      <c r="O520" s="176"/>
      <c r="P520" s="91"/>
      <c r="Q520" s="91"/>
      <c r="R520" s="91"/>
      <c r="S520" s="205"/>
      <c r="T520" s="205"/>
    </row>
    <row r="521" spans="7:20" ht="14.25" customHeight="1">
      <c r="G521" s="91"/>
      <c r="H521" s="91"/>
      <c r="I521" s="91"/>
      <c r="J521" s="91"/>
      <c r="K521" s="91"/>
      <c r="L521" s="177"/>
      <c r="M521" s="176"/>
      <c r="N521" s="176"/>
      <c r="O521" s="176"/>
      <c r="P521" s="91"/>
      <c r="Q521" s="91"/>
      <c r="R521" s="91"/>
      <c r="S521" s="205"/>
      <c r="T521" s="205"/>
    </row>
    <row r="522" spans="7:20" ht="14.25" customHeight="1">
      <c r="G522" s="91"/>
      <c r="H522" s="91"/>
      <c r="I522" s="91"/>
      <c r="J522" s="91"/>
      <c r="K522" s="91"/>
      <c r="L522" s="177"/>
      <c r="M522" s="176"/>
      <c r="N522" s="176"/>
      <c r="O522" s="176"/>
      <c r="P522" s="91"/>
      <c r="Q522" s="91"/>
      <c r="R522" s="91"/>
      <c r="S522" s="205"/>
      <c r="T522" s="205"/>
    </row>
    <row r="523" spans="7:20" ht="14.25" customHeight="1">
      <c r="G523" s="91"/>
      <c r="H523" s="91"/>
      <c r="I523" s="91"/>
      <c r="J523" s="91"/>
      <c r="K523" s="91"/>
      <c r="L523" s="177"/>
      <c r="M523" s="176"/>
      <c r="N523" s="176"/>
      <c r="O523" s="176"/>
      <c r="P523" s="91"/>
      <c r="Q523" s="91"/>
      <c r="R523" s="91"/>
      <c r="S523" s="205"/>
      <c r="T523" s="205"/>
    </row>
    <row r="524" spans="7:20" ht="14.25" customHeight="1">
      <c r="G524" s="91"/>
      <c r="H524" s="91"/>
      <c r="I524" s="91"/>
      <c r="J524" s="91"/>
      <c r="K524" s="91"/>
      <c r="L524" s="177"/>
      <c r="M524" s="176"/>
      <c r="N524" s="176"/>
      <c r="O524" s="176"/>
      <c r="P524" s="91"/>
      <c r="Q524" s="91"/>
      <c r="R524" s="91"/>
      <c r="S524" s="205"/>
      <c r="T524" s="205"/>
    </row>
    <row r="525" spans="7:20" ht="14.25" customHeight="1">
      <c r="G525" s="91"/>
      <c r="H525" s="91"/>
      <c r="I525" s="91"/>
      <c r="J525" s="91"/>
      <c r="K525" s="91"/>
      <c r="L525" s="177"/>
      <c r="M525" s="176"/>
      <c r="N525" s="176"/>
      <c r="O525" s="176"/>
      <c r="P525" s="91"/>
      <c r="Q525" s="91"/>
      <c r="R525" s="91"/>
      <c r="S525" s="205"/>
      <c r="T525" s="205"/>
    </row>
    <row r="526" spans="7:20" ht="14.25" customHeight="1">
      <c r="G526" s="91"/>
      <c r="H526" s="91"/>
      <c r="I526" s="91"/>
      <c r="J526" s="91"/>
      <c r="K526" s="91"/>
      <c r="L526" s="177"/>
      <c r="M526" s="176"/>
      <c r="N526" s="176"/>
      <c r="O526" s="176"/>
      <c r="P526" s="91"/>
      <c r="Q526" s="91"/>
      <c r="R526" s="91"/>
      <c r="S526" s="205"/>
      <c r="T526" s="205"/>
    </row>
    <row r="527" spans="7:20" ht="14.25" customHeight="1">
      <c r="G527" s="91"/>
      <c r="H527" s="91"/>
      <c r="I527" s="91"/>
      <c r="J527" s="91"/>
      <c r="K527" s="91"/>
      <c r="L527" s="177"/>
      <c r="M527" s="176"/>
      <c r="N527" s="176"/>
      <c r="O527" s="176"/>
      <c r="P527" s="91"/>
      <c r="Q527" s="91"/>
      <c r="R527" s="91"/>
      <c r="S527" s="205"/>
      <c r="T527" s="205"/>
    </row>
    <row r="528" spans="7:20" ht="14.25" customHeight="1">
      <c r="G528" s="91"/>
      <c r="H528" s="91"/>
      <c r="I528" s="91"/>
      <c r="J528" s="91"/>
      <c r="K528" s="91"/>
      <c r="L528" s="177"/>
      <c r="M528" s="176"/>
      <c r="N528" s="176"/>
      <c r="O528" s="176"/>
      <c r="P528" s="91"/>
      <c r="Q528" s="91"/>
      <c r="R528" s="91"/>
      <c r="S528" s="205"/>
      <c r="T528" s="205"/>
    </row>
    <row r="529" spans="7:20" ht="14.25" customHeight="1">
      <c r="G529" s="91"/>
      <c r="H529" s="91"/>
      <c r="I529" s="91"/>
      <c r="J529" s="91"/>
      <c r="K529" s="91"/>
      <c r="L529" s="177"/>
      <c r="M529" s="176"/>
      <c r="N529" s="176"/>
      <c r="O529" s="176"/>
      <c r="P529" s="91"/>
      <c r="Q529" s="91"/>
      <c r="R529" s="91"/>
      <c r="S529" s="205"/>
      <c r="T529" s="205"/>
    </row>
    <row r="530" spans="7:20" ht="14.25" customHeight="1">
      <c r="G530" s="91"/>
      <c r="H530" s="91"/>
      <c r="I530" s="91"/>
      <c r="J530" s="91"/>
      <c r="K530" s="91"/>
      <c r="L530" s="177"/>
      <c r="M530" s="176"/>
      <c r="N530" s="176"/>
      <c r="O530" s="176"/>
      <c r="P530" s="91"/>
      <c r="Q530" s="91"/>
      <c r="R530" s="91"/>
      <c r="S530" s="205"/>
      <c r="T530" s="205"/>
    </row>
    <row r="531" spans="7:20" ht="14.25" customHeight="1">
      <c r="G531" s="91"/>
      <c r="H531" s="91"/>
      <c r="I531" s="91"/>
      <c r="J531" s="91"/>
      <c r="K531" s="91"/>
      <c r="L531" s="177"/>
      <c r="M531" s="176"/>
      <c r="N531" s="176"/>
      <c r="O531" s="176"/>
      <c r="P531" s="91"/>
      <c r="Q531" s="91"/>
      <c r="R531" s="91"/>
      <c r="S531" s="205"/>
      <c r="T531" s="205"/>
    </row>
    <row r="532" spans="7:20" ht="14.25" customHeight="1">
      <c r="G532" s="91"/>
      <c r="H532" s="91"/>
      <c r="I532" s="91"/>
      <c r="J532" s="91"/>
      <c r="K532" s="91"/>
      <c r="L532" s="177"/>
      <c r="M532" s="176"/>
      <c r="N532" s="176"/>
      <c r="O532" s="176"/>
      <c r="P532" s="91"/>
      <c r="Q532" s="91"/>
      <c r="R532" s="91"/>
      <c r="S532" s="205"/>
      <c r="T532" s="205"/>
    </row>
    <row r="533" spans="7:20" ht="14.25" customHeight="1">
      <c r="G533" s="91"/>
      <c r="H533" s="91"/>
      <c r="I533" s="91"/>
      <c r="J533" s="91"/>
      <c r="K533" s="91"/>
      <c r="L533" s="177"/>
      <c r="M533" s="176"/>
      <c r="N533" s="176"/>
      <c r="O533" s="176"/>
      <c r="P533" s="91"/>
      <c r="Q533" s="91"/>
      <c r="R533" s="91"/>
      <c r="S533" s="205"/>
      <c r="T533" s="205"/>
    </row>
    <row r="534" spans="7:20" ht="14.25" customHeight="1">
      <c r="G534" s="91"/>
      <c r="H534" s="91"/>
      <c r="I534" s="91"/>
      <c r="J534" s="91"/>
      <c r="K534" s="91"/>
      <c r="L534" s="177"/>
      <c r="M534" s="176"/>
      <c r="N534" s="176"/>
      <c r="O534" s="176"/>
      <c r="P534" s="91"/>
      <c r="Q534" s="91"/>
      <c r="R534" s="91"/>
      <c r="S534" s="205"/>
      <c r="T534" s="205"/>
    </row>
    <row r="535" spans="7:20" ht="14.25" customHeight="1">
      <c r="G535" s="91"/>
      <c r="H535" s="91"/>
      <c r="I535" s="91"/>
      <c r="J535" s="91"/>
      <c r="K535" s="91"/>
      <c r="L535" s="177"/>
      <c r="M535" s="176"/>
      <c r="N535" s="176"/>
      <c r="O535" s="176"/>
      <c r="P535" s="91"/>
      <c r="Q535" s="91"/>
      <c r="R535" s="91"/>
      <c r="S535" s="205"/>
      <c r="T535" s="205"/>
    </row>
    <row r="536" spans="7:20" ht="14.25" customHeight="1">
      <c r="G536" s="91"/>
      <c r="H536" s="91"/>
      <c r="I536" s="91"/>
      <c r="J536" s="91"/>
      <c r="K536" s="91"/>
      <c r="L536" s="177"/>
      <c r="M536" s="176"/>
      <c r="N536" s="176"/>
      <c r="O536" s="176"/>
      <c r="P536" s="91"/>
      <c r="Q536" s="91"/>
      <c r="R536" s="91"/>
      <c r="S536" s="205"/>
      <c r="T536" s="205"/>
    </row>
    <row r="537" spans="7:20" ht="14.25" customHeight="1">
      <c r="G537" s="91"/>
      <c r="H537" s="91"/>
      <c r="I537" s="91"/>
      <c r="J537" s="91"/>
      <c r="K537" s="91"/>
      <c r="L537" s="177"/>
      <c r="M537" s="176"/>
      <c r="N537" s="176"/>
      <c r="O537" s="176"/>
      <c r="P537" s="91"/>
      <c r="Q537" s="91"/>
      <c r="R537" s="91"/>
      <c r="S537" s="205"/>
      <c r="T537" s="205"/>
    </row>
    <row r="538" spans="7:20" ht="14.25" customHeight="1">
      <c r="G538" s="91"/>
      <c r="H538" s="91"/>
      <c r="I538" s="91"/>
      <c r="J538" s="91"/>
      <c r="K538" s="91"/>
      <c r="L538" s="177"/>
      <c r="M538" s="176"/>
      <c r="N538" s="176"/>
      <c r="O538" s="176"/>
      <c r="P538" s="91"/>
      <c r="Q538" s="91"/>
      <c r="R538" s="91"/>
      <c r="S538" s="205"/>
      <c r="T538" s="205"/>
    </row>
    <row r="539" spans="7:20" ht="14.25" customHeight="1">
      <c r="G539" s="91"/>
      <c r="H539" s="91"/>
      <c r="I539" s="91"/>
      <c r="J539" s="91"/>
      <c r="K539" s="91"/>
      <c r="L539" s="177"/>
      <c r="M539" s="176"/>
      <c r="N539" s="176"/>
      <c r="O539" s="176"/>
      <c r="P539" s="91"/>
      <c r="Q539" s="91"/>
      <c r="R539" s="91"/>
      <c r="S539" s="205"/>
      <c r="T539" s="205"/>
    </row>
    <row r="540" spans="7:20" ht="14.25" customHeight="1">
      <c r="G540" s="91"/>
      <c r="H540" s="91"/>
      <c r="I540" s="91"/>
      <c r="J540" s="91"/>
      <c r="K540" s="91"/>
      <c r="L540" s="177"/>
      <c r="M540" s="176"/>
      <c r="N540" s="176"/>
      <c r="O540" s="176"/>
      <c r="P540" s="91"/>
      <c r="Q540" s="91"/>
      <c r="R540" s="91"/>
      <c r="S540" s="205"/>
      <c r="T540" s="205"/>
    </row>
    <row r="541" spans="7:20" ht="14.25" customHeight="1">
      <c r="G541" s="91"/>
      <c r="H541" s="91"/>
      <c r="I541" s="91"/>
      <c r="J541" s="91"/>
      <c r="K541" s="91"/>
      <c r="L541" s="177"/>
      <c r="M541" s="176"/>
      <c r="N541" s="176"/>
      <c r="O541" s="176"/>
      <c r="P541" s="91"/>
      <c r="Q541" s="91"/>
      <c r="R541" s="91"/>
      <c r="S541" s="205"/>
      <c r="T541" s="205"/>
    </row>
    <row r="542" spans="7:20" ht="14.25" customHeight="1">
      <c r="G542" s="91"/>
      <c r="H542" s="91"/>
      <c r="I542" s="91"/>
      <c r="J542" s="91"/>
      <c r="K542" s="91"/>
      <c r="L542" s="177"/>
      <c r="M542" s="176"/>
      <c r="N542" s="176"/>
      <c r="O542" s="176"/>
      <c r="P542" s="91"/>
      <c r="Q542" s="91"/>
      <c r="R542" s="91"/>
      <c r="S542" s="205"/>
      <c r="T542" s="205"/>
    </row>
    <row r="543" spans="7:20" ht="14.25" customHeight="1">
      <c r="G543" s="91"/>
      <c r="H543" s="91"/>
      <c r="I543" s="91"/>
      <c r="J543" s="91"/>
      <c r="K543" s="91"/>
      <c r="L543" s="177"/>
      <c r="M543" s="176"/>
      <c r="N543" s="176"/>
      <c r="O543" s="176"/>
      <c r="P543" s="91"/>
      <c r="Q543" s="91"/>
      <c r="R543" s="91"/>
      <c r="S543" s="205"/>
      <c r="T543" s="205"/>
    </row>
    <row r="544" spans="7:20" ht="14.25" customHeight="1">
      <c r="G544" s="91"/>
      <c r="H544" s="91"/>
      <c r="I544" s="91"/>
      <c r="J544" s="91"/>
      <c r="K544" s="91"/>
      <c r="L544" s="177"/>
      <c r="M544" s="176"/>
      <c r="N544" s="176"/>
      <c r="O544" s="176"/>
      <c r="P544" s="91"/>
      <c r="Q544" s="91"/>
      <c r="R544" s="91"/>
      <c r="S544" s="205"/>
      <c r="T544" s="205"/>
    </row>
    <row r="545" spans="7:20" ht="14.25" customHeight="1">
      <c r="G545" s="91"/>
      <c r="H545" s="91"/>
      <c r="I545" s="91"/>
      <c r="J545" s="91"/>
      <c r="K545" s="91"/>
      <c r="L545" s="177"/>
      <c r="M545" s="176"/>
      <c r="N545" s="176"/>
      <c r="O545" s="176"/>
      <c r="P545" s="91"/>
      <c r="Q545" s="91"/>
      <c r="R545" s="91"/>
      <c r="S545" s="205"/>
      <c r="T545" s="205"/>
    </row>
    <row r="546" spans="7:20" ht="14.25" customHeight="1">
      <c r="G546" s="91"/>
      <c r="H546" s="91"/>
      <c r="I546" s="91"/>
      <c r="J546" s="91"/>
      <c r="K546" s="91"/>
      <c r="L546" s="177"/>
      <c r="M546" s="176"/>
      <c r="N546" s="176"/>
      <c r="O546" s="176"/>
      <c r="P546" s="91"/>
      <c r="Q546" s="91"/>
      <c r="R546" s="91"/>
      <c r="S546" s="205"/>
      <c r="T546" s="205"/>
    </row>
    <row r="547" spans="7:20" ht="14.25" customHeight="1">
      <c r="G547" s="91"/>
      <c r="H547" s="91"/>
      <c r="I547" s="91"/>
      <c r="J547" s="91"/>
      <c r="K547" s="91"/>
      <c r="L547" s="177"/>
      <c r="M547" s="176"/>
      <c r="N547" s="176"/>
      <c r="O547" s="176"/>
      <c r="P547" s="91"/>
      <c r="Q547" s="91"/>
      <c r="R547" s="91"/>
      <c r="S547" s="205"/>
      <c r="T547" s="205"/>
    </row>
    <row r="548" spans="7:20" ht="14.25" customHeight="1">
      <c r="G548" s="91"/>
      <c r="H548" s="91"/>
      <c r="I548" s="91"/>
      <c r="J548" s="91"/>
      <c r="K548" s="91"/>
      <c r="L548" s="177"/>
      <c r="M548" s="176"/>
      <c r="N548" s="176"/>
      <c r="O548" s="176"/>
      <c r="P548" s="91"/>
      <c r="Q548" s="91"/>
      <c r="R548" s="91"/>
      <c r="S548" s="205"/>
      <c r="T548" s="205"/>
    </row>
    <row r="549" spans="7:20" ht="14.25" customHeight="1">
      <c r="G549" s="91"/>
      <c r="H549" s="91"/>
      <c r="I549" s="91"/>
      <c r="J549" s="91"/>
      <c r="K549" s="91"/>
      <c r="L549" s="177"/>
      <c r="M549" s="176"/>
      <c r="N549" s="176"/>
      <c r="O549" s="176"/>
      <c r="P549" s="91"/>
      <c r="Q549" s="91"/>
      <c r="R549" s="91"/>
      <c r="S549" s="205"/>
      <c r="T549" s="205"/>
    </row>
    <row r="550" spans="7:20" ht="14.25" customHeight="1">
      <c r="G550" s="91"/>
      <c r="H550" s="91"/>
      <c r="I550" s="91"/>
      <c r="J550" s="91"/>
      <c r="K550" s="91"/>
      <c r="L550" s="177"/>
      <c r="M550" s="176"/>
      <c r="N550" s="176"/>
      <c r="O550" s="176"/>
      <c r="P550" s="91"/>
      <c r="Q550" s="91"/>
      <c r="R550" s="91"/>
      <c r="S550" s="205"/>
      <c r="T550" s="205"/>
    </row>
    <row r="551" spans="7:20" ht="14.25" customHeight="1">
      <c r="G551" s="91"/>
      <c r="H551" s="91"/>
      <c r="I551" s="91"/>
      <c r="J551" s="91"/>
      <c r="K551" s="91"/>
      <c r="L551" s="177"/>
      <c r="M551" s="176"/>
      <c r="N551" s="176"/>
      <c r="O551" s="176"/>
      <c r="P551" s="91"/>
      <c r="Q551" s="91"/>
      <c r="R551" s="91"/>
      <c r="S551" s="205"/>
      <c r="T551" s="205"/>
    </row>
    <row r="552" spans="7:20" ht="14.25" customHeight="1">
      <c r="G552" s="91"/>
      <c r="H552" s="91"/>
      <c r="I552" s="91"/>
      <c r="J552" s="91"/>
      <c r="K552" s="91"/>
      <c r="L552" s="177"/>
      <c r="M552" s="176"/>
      <c r="N552" s="176"/>
      <c r="O552" s="176"/>
      <c r="P552" s="91"/>
      <c r="Q552" s="91"/>
      <c r="R552" s="91"/>
      <c r="S552" s="205"/>
      <c r="T552" s="205"/>
    </row>
    <row r="553" spans="7:20" ht="14.25" customHeight="1">
      <c r="G553" s="91"/>
      <c r="H553" s="91"/>
      <c r="I553" s="91"/>
      <c r="J553" s="91"/>
      <c r="K553" s="91"/>
      <c r="L553" s="177"/>
      <c r="M553" s="176"/>
      <c r="N553" s="176"/>
      <c r="O553" s="176"/>
      <c r="P553" s="91"/>
      <c r="Q553" s="91"/>
      <c r="R553" s="91"/>
      <c r="S553" s="205"/>
      <c r="T553" s="205"/>
    </row>
    <row r="554" spans="7:20" ht="14.25" customHeight="1">
      <c r="G554" s="91"/>
      <c r="H554" s="91"/>
      <c r="I554" s="91"/>
      <c r="J554" s="91"/>
      <c r="K554" s="91"/>
      <c r="L554" s="177"/>
      <c r="M554" s="176"/>
      <c r="N554" s="176"/>
      <c r="O554" s="176"/>
      <c r="P554" s="91"/>
      <c r="Q554" s="91"/>
      <c r="R554" s="91"/>
      <c r="S554" s="205"/>
      <c r="T554" s="205"/>
    </row>
    <row r="555" spans="7:20" ht="14.25" customHeight="1">
      <c r="G555" s="91"/>
      <c r="H555" s="91"/>
      <c r="I555" s="91"/>
      <c r="J555" s="91"/>
      <c r="K555" s="91"/>
      <c r="L555" s="177"/>
      <c r="M555" s="176"/>
      <c r="N555" s="176"/>
      <c r="O555" s="176"/>
      <c r="P555" s="91"/>
      <c r="Q555" s="91"/>
      <c r="R555" s="91"/>
      <c r="S555" s="205"/>
      <c r="T555" s="205"/>
    </row>
    <row r="556" spans="7:20" ht="14.25" customHeight="1">
      <c r="G556" s="91"/>
      <c r="H556" s="91"/>
      <c r="I556" s="91"/>
      <c r="J556" s="91"/>
      <c r="K556" s="91"/>
      <c r="L556" s="177"/>
      <c r="M556" s="176"/>
      <c r="N556" s="176"/>
      <c r="O556" s="176"/>
      <c r="P556" s="91"/>
      <c r="Q556" s="91"/>
      <c r="R556" s="91"/>
      <c r="S556" s="205"/>
      <c r="T556" s="205"/>
    </row>
    <row r="557" spans="7:20" ht="14.25" customHeight="1">
      <c r="G557" s="91"/>
      <c r="H557" s="91"/>
      <c r="I557" s="91"/>
      <c r="J557" s="91"/>
      <c r="K557" s="91"/>
      <c r="L557" s="177"/>
      <c r="M557" s="176"/>
      <c r="N557" s="176"/>
      <c r="O557" s="176"/>
      <c r="P557" s="91"/>
      <c r="Q557" s="91"/>
      <c r="R557" s="91"/>
      <c r="S557" s="205"/>
      <c r="T557" s="205"/>
    </row>
    <row r="558" spans="7:20" ht="14.25" customHeight="1">
      <c r="G558" s="91"/>
      <c r="H558" s="91"/>
      <c r="I558" s="91"/>
      <c r="J558" s="91"/>
      <c r="K558" s="91"/>
      <c r="L558" s="177"/>
      <c r="M558" s="176"/>
      <c r="N558" s="176"/>
      <c r="O558" s="176"/>
      <c r="P558" s="91"/>
      <c r="Q558" s="91"/>
      <c r="R558" s="91"/>
      <c r="S558" s="205"/>
      <c r="T558" s="205"/>
    </row>
    <row r="559" spans="7:20" ht="14.25" customHeight="1">
      <c r="G559" s="91"/>
      <c r="H559" s="91"/>
      <c r="I559" s="91"/>
      <c r="J559" s="91"/>
      <c r="K559" s="91"/>
      <c r="L559" s="177"/>
      <c r="M559" s="176"/>
      <c r="N559" s="176"/>
      <c r="O559" s="176"/>
      <c r="P559" s="91"/>
      <c r="Q559" s="91"/>
      <c r="R559" s="91"/>
      <c r="S559" s="205"/>
      <c r="T559" s="205"/>
    </row>
    <row r="560" spans="7:20" ht="14.25" customHeight="1">
      <c r="G560" s="91"/>
      <c r="H560" s="91"/>
      <c r="I560" s="91"/>
      <c r="J560" s="91"/>
      <c r="K560" s="91"/>
      <c r="L560" s="177"/>
      <c r="M560" s="176"/>
      <c r="N560" s="176"/>
      <c r="O560" s="176"/>
      <c r="P560" s="91"/>
      <c r="Q560" s="91"/>
      <c r="R560" s="91"/>
      <c r="S560" s="205"/>
      <c r="T560" s="205"/>
    </row>
    <row r="561" spans="7:20" ht="14.25" customHeight="1">
      <c r="G561" s="91"/>
      <c r="H561" s="91"/>
      <c r="I561" s="91"/>
      <c r="J561" s="91"/>
      <c r="K561" s="91"/>
      <c r="L561" s="177"/>
      <c r="M561" s="176"/>
      <c r="N561" s="176"/>
      <c r="O561" s="176"/>
      <c r="P561" s="91"/>
      <c r="Q561" s="91"/>
      <c r="R561" s="91"/>
      <c r="S561" s="205"/>
      <c r="T561" s="205"/>
    </row>
    <row r="562" spans="7:20" ht="14.25" customHeight="1">
      <c r="G562" s="91"/>
      <c r="H562" s="91"/>
      <c r="I562" s="91"/>
      <c r="J562" s="91"/>
      <c r="K562" s="91"/>
      <c r="L562" s="177"/>
      <c r="M562" s="176"/>
      <c r="N562" s="176"/>
      <c r="O562" s="176"/>
      <c r="P562" s="91"/>
      <c r="Q562" s="91"/>
      <c r="R562" s="91"/>
      <c r="S562" s="205"/>
      <c r="T562" s="205"/>
    </row>
    <row r="563" spans="7:20" ht="14.25" customHeight="1">
      <c r="G563" s="91"/>
      <c r="H563" s="91"/>
      <c r="I563" s="91"/>
      <c r="J563" s="91"/>
      <c r="K563" s="91"/>
      <c r="L563" s="177"/>
      <c r="M563" s="176"/>
      <c r="N563" s="176"/>
      <c r="O563" s="176"/>
      <c r="P563" s="91"/>
      <c r="Q563" s="91"/>
      <c r="R563" s="91"/>
      <c r="S563" s="205"/>
      <c r="T563" s="205"/>
    </row>
    <row r="564" spans="7:20" ht="14.25" customHeight="1">
      <c r="G564" s="91"/>
      <c r="H564" s="91"/>
      <c r="I564" s="91"/>
      <c r="J564" s="91"/>
      <c r="K564" s="91"/>
      <c r="L564" s="177"/>
      <c r="M564" s="176"/>
      <c r="N564" s="176"/>
      <c r="O564" s="176"/>
      <c r="P564" s="91"/>
      <c r="Q564" s="91"/>
      <c r="R564" s="91"/>
      <c r="S564" s="205"/>
      <c r="T564" s="205"/>
    </row>
    <row r="565" spans="7:20" ht="14.25" customHeight="1">
      <c r="G565" s="91"/>
      <c r="H565" s="91"/>
      <c r="I565" s="91"/>
      <c r="J565" s="91"/>
      <c r="K565" s="91"/>
      <c r="L565" s="177"/>
      <c r="M565" s="176"/>
      <c r="N565" s="176"/>
      <c r="O565" s="176"/>
      <c r="P565" s="91"/>
      <c r="Q565" s="91"/>
      <c r="R565" s="91"/>
      <c r="S565" s="205"/>
      <c r="T565" s="205"/>
    </row>
    <row r="566" spans="7:20" ht="14.25" customHeight="1">
      <c r="G566" s="91"/>
      <c r="H566" s="91"/>
      <c r="I566" s="91"/>
      <c r="J566" s="91"/>
      <c r="K566" s="91"/>
      <c r="L566" s="177"/>
      <c r="M566" s="176"/>
      <c r="N566" s="176"/>
      <c r="O566" s="176"/>
      <c r="P566" s="91"/>
      <c r="Q566" s="91"/>
      <c r="R566" s="91"/>
      <c r="S566" s="205"/>
      <c r="T566" s="205"/>
    </row>
    <row r="567" spans="7:20" ht="14.25" customHeight="1">
      <c r="G567" s="91"/>
      <c r="H567" s="91"/>
      <c r="I567" s="91"/>
      <c r="J567" s="91"/>
      <c r="K567" s="91"/>
      <c r="L567" s="177"/>
      <c r="M567" s="176"/>
      <c r="N567" s="176"/>
      <c r="O567" s="176"/>
      <c r="P567" s="91"/>
      <c r="Q567" s="91"/>
      <c r="R567" s="91"/>
      <c r="S567" s="205"/>
      <c r="T567" s="205"/>
    </row>
    <row r="568" spans="7:20" ht="14.25" customHeight="1">
      <c r="G568" s="91"/>
      <c r="H568" s="91"/>
      <c r="I568" s="91"/>
      <c r="J568" s="91"/>
      <c r="K568" s="91"/>
      <c r="L568" s="177"/>
      <c r="M568" s="176"/>
      <c r="N568" s="176"/>
      <c r="O568" s="176"/>
      <c r="P568" s="91"/>
      <c r="Q568" s="91"/>
      <c r="R568" s="91"/>
      <c r="S568" s="205"/>
      <c r="T568" s="205"/>
    </row>
    <row r="569" spans="7:20" ht="14.25" customHeight="1">
      <c r="G569" s="91"/>
      <c r="H569" s="91"/>
      <c r="I569" s="91"/>
      <c r="J569" s="91"/>
      <c r="K569" s="91"/>
      <c r="L569" s="177"/>
      <c r="M569" s="176"/>
      <c r="N569" s="176"/>
      <c r="O569" s="176"/>
      <c r="P569" s="91"/>
      <c r="Q569" s="91"/>
      <c r="R569" s="91"/>
      <c r="S569" s="205"/>
      <c r="T569" s="205"/>
    </row>
    <row r="570" spans="7:20" ht="14.25" customHeight="1">
      <c r="G570" s="91"/>
      <c r="H570" s="91"/>
      <c r="I570" s="91"/>
      <c r="J570" s="91"/>
      <c r="K570" s="91"/>
      <c r="L570" s="177"/>
      <c r="M570" s="176"/>
      <c r="N570" s="176"/>
      <c r="O570" s="176"/>
      <c r="P570" s="91"/>
      <c r="Q570" s="91"/>
      <c r="R570" s="91"/>
      <c r="S570" s="205"/>
      <c r="T570" s="205"/>
    </row>
    <row r="571" spans="7:20" ht="14.25" customHeight="1">
      <c r="G571" s="91"/>
      <c r="H571" s="91"/>
      <c r="I571" s="91"/>
      <c r="J571" s="91"/>
      <c r="K571" s="91"/>
      <c r="L571" s="177"/>
      <c r="M571" s="176"/>
      <c r="N571" s="176"/>
      <c r="O571" s="176"/>
      <c r="P571" s="91"/>
      <c r="Q571" s="91"/>
      <c r="R571" s="91"/>
      <c r="S571" s="205"/>
      <c r="T571" s="205"/>
    </row>
    <row r="572" spans="7:20" ht="14.25" customHeight="1">
      <c r="G572" s="91"/>
      <c r="H572" s="91"/>
      <c r="I572" s="91"/>
      <c r="J572" s="91"/>
      <c r="K572" s="91"/>
      <c r="L572" s="177"/>
      <c r="M572" s="176"/>
      <c r="N572" s="176"/>
      <c r="O572" s="176"/>
      <c r="P572" s="91"/>
      <c r="Q572" s="91"/>
      <c r="R572" s="91"/>
      <c r="S572" s="205"/>
      <c r="T572" s="205"/>
    </row>
    <row r="573" spans="7:20" ht="14.25" customHeight="1">
      <c r="G573" s="91"/>
      <c r="H573" s="91"/>
      <c r="I573" s="91"/>
      <c r="J573" s="91"/>
      <c r="K573" s="91"/>
      <c r="L573" s="177"/>
      <c r="M573" s="176"/>
      <c r="N573" s="176"/>
      <c r="O573" s="176"/>
      <c r="P573" s="91"/>
      <c r="Q573" s="91"/>
      <c r="R573" s="91"/>
      <c r="S573" s="205"/>
      <c r="T573" s="205"/>
    </row>
    <row r="574" spans="7:20" ht="14.25" customHeight="1">
      <c r="G574" s="91"/>
      <c r="H574" s="91"/>
      <c r="I574" s="91"/>
      <c r="J574" s="91"/>
      <c r="K574" s="91"/>
      <c r="L574" s="177"/>
      <c r="M574" s="176"/>
      <c r="N574" s="176"/>
      <c r="O574" s="176"/>
      <c r="P574" s="91"/>
      <c r="Q574" s="91"/>
      <c r="R574" s="91"/>
      <c r="S574" s="205"/>
      <c r="T574" s="205"/>
    </row>
    <row r="575" spans="7:20" ht="14.25" customHeight="1">
      <c r="G575" s="91"/>
      <c r="H575" s="91"/>
      <c r="I575" s="91"/>
      <c r="J575" s="91"/>
      <c r="K575" s="91"/>
      <c r="L575" s="177"/>
      <c r="M575" s="176"/>
      <c r="N575" s="176"/>
      <c r="O575" s="176"/>
      <c r="P575" s="91"/>
      <c r="Q575" s="91"/>
      <c r="R575" s="91"/>
      <c r="S575" s="205"/>
      <c r="T575" s="205"/>
    </row>
    <row r="576" spans="7:20" ht="14.25" customHeight="1">
      <c r="G576" s="91"/>
      <c r="H576" s="91"/>
      <c r="I576" s="91"/>
      <c r="J576" s="91"/>
      <c r="K576" s="91"/>
      <c r="L576" s="177"/>
      <c r="M576" s="176"/>
      <c r="N576" s="176"/>
      <c r="O576" s="176"/>
      <c r="P576" s="91"/>
      <c r="Q576" s="91"/>
      <c r="R576" s="91"/>
      <c r="S576" s="205"/>
      <c r="T576" s="205"/>
    </row>
    <row r="577" spans="7:20" ht="14.25" customHeight="1">
      <c r="G577" s="91"/>
      <c r="H577" s="91"/>
      <c r="I577" s="91"/>
      <c r="J577" s="91"/>
      <c r="K577" s="91"/>
      <c r="L577" s="177"/>
      <c r="M577" s="176"/>
      <c r="N577" s="176"/>
      <c r="O577" s="176"/>
      <c r="P577" s="91"/>
      <c r="Q577" s="91"/>
      <c r="R577" s="91"/>
      <c r="S577" s="205"/>
      <c r="T577" s="205"/>
    </row>
    <row r="578" spans="7:20" ht="14.25" customHeight="1">
      <c r="G578" s="91"/>
      <c r="H578" s="91"/>
      <c r="I578" s="91"/>
      <c r="J578" s="91"/>
      <c r="K578" s="91"/>
      <c r="L578" s="177"/>
      <c r="M578" s="176"/>
      <c r="N578" s="176"/>
      <c r="O578" s="176"/>
      <c r="P578" s="91"/>
      <c r="Q578" s="91"/>
      <c r="R578" s="91"/>
      <c r="S578" s="205"/>
      <c r="T578" s="205"/>
    </row>
    <row r="579" spans="7:20" ht="14.25" customHeight="1">
      <c r="G579" s="91"/>
      <c r="H579" s="91"/>
      <c r="I579" s="91"/>
      <c r="J579" s="91"/>
      <c r="K579" s="91"/>
      <c r="L579" s="177"/>
      <c r="M579" s="176"/>
      <c r="N579" s="176"/>
      <c r="O579" s="176"/>
      <c r="P579" s="91"/>
      <c r="Q579" s="91"/>
      <c r="R579" s="91"/>
      <c r="S579" s="205"/>
      <c r="T579" s="205"/>
    </row>
    <row r="580" spans="7:20" ht="14.25" customHeight="1">
      <c r="G580" s="91"/>
      <c r="H580" s="91"/>
      <c r="I580" s="91"/>
      <c r="J580" s="91"/>
      <c r="K580" s="91"/>
      <c r="L580" s="177"/>
      <c r="M580" s="176"/>
      <c r="N580" s="176"/>
      <c r="O580" s="176"/>
      <c r="P580" s="91"/>
      <c r="Q580" s="91"/>
      <c r="R580" s="91"/>
      <c r="S580" s="205"/>
      <c r="T580" s="205"/>
    </row>
    <row r="581" spans="7:20" ht="14.25" customHeight="1">
      <c r="G581" s="91"/>
      <c r="H581" s="91"/>
      <c r="I581" s="91"/>
      <c r="J581" s="91"/>
      <c r="K581" s="91"/>
      <c r="L581" s="177"/>
      <c r="M581" s="176"/>
      <c r="N581" s="176"/>
      <c r="O581" s="176"/>
      <c r="P581" s="91"/>
      <c r="Q581" s="91"/>
      <c r="R581" s="91"/>
      <c r="S581" s="205"/>
      <c r="T581" s="205"/>
    </row>
    <row r="582" spans="7:20" ht="14.25" customHeight="1">
      <c r="G582" s="91"/>
      <c r="H582" s="91"/>
      <c r="I582" s="91"/>
      <c r="J582" s="91"/>
      <c r="K582" s="91"/>
      <c r="L582" s="177"/>
      <c r="M582" s="176"/>
      <c r="N582" s="176"/>
      <c r="O582" s="176"/>
      <c r="P582" s="91"/>
      <c r="Q582" s="91"/>
      <c r="R582" s="91"/>
      <c r="S582" s="205"/>
      <c r="T582" s="205"/>
    </row>
    <row r="583" spans="7:20" ht="14.25" customHeight="1">
      <c r="G583" s="91"/>
      <c r="H583" s="91"/>
      <c r="I583" s="91"/>
      <c r="J583" s="91"/>
      <c r="K583" s="91"/>
      <c r="L583" s="177"/>
      <c r="M583" s="176"/>
      <c r="N583" s="176"/>
      <c r="O583" s="176"/>
      <c r="P583" s="91"/>
      <c r="Q583" s="91"/>
      <c r="R583" s="91"/>
      <c r="S583" s="205"/>
      <c r="T583" s="205"/>
    </row>
    <row r="584" spans="7:20" ht="14.25" customHeight="1">
      <c r="G584" s="91"/>
      <c r="H584" s="91"/>
      <c r="I584" s="91"/>
      <c r="J584" s="91"/>
      <c r="K584" s="91"/>
      <c r="L584" s="177"/>
      <c r="M584" s="176"/>
      <c r="N584" s="176"/>
      <c r="O584" s="176"/>
      <c r="P584" s="91"/>
      <c r="Q584" s="91"/>
      <c r="R584" s="91"/>
      <c r="S584" s="205"/>
      <c r="T584" s="205"/>
    </row>
    <row r="585" spans="7:20" ht="14.25" customHeight="1">
      <c r="G585" s="91"/>
      <c r="H585" s="91"/>
      <c r="I585" s="91"/>
      <c r="J585" s="91"/>
      <c r="K585" s="91"/>
      <c r="L585" s="177"/>
      <c r="M585" s="176"/>
      <c r="N585" s="176"/>
      <c r="O585" s="176"/>
      <c r="P585" s="91"/>
      <c r="Q585" s="91"/>
      <c r="R585" s="91"/>
      <c r="S585" s="205"/>
      <c r="T585" s="205"/>
    </row>
    <row r="586" spans="7:20" ht="14.25" customHeight="1">
      <c r="G586" s="91"/>
      <c r="H586" s="91"/>
      <c r="I586" s="91"/>
      <c r="J586" s="91"/>
      <c r="K586" s="91"/>
      <c r="L586" s="177"/>
      <c r="M586" s="176"/>
      <c r="N586" s="176"/>
      <c r="O586" s="176"/>
      <c r="P586" s="91"/>
      <c r="Q586" s="91"/>
      <c r="R586" s="91"/>
      <c r="S586" s="205"/>
      <c r="T586" s="205"/>
    </row>
    <row r="587" spans="7:20" ht="14.25" customHeight="1">
      <c r="G587" s="91"/>
      <c r="H587" s="91"/>
      <c r="I587" s="91"/>
      <c r="J587" s="91"/>
      <c r="K587" s="91"/>
      <c r="L587" s="177"/>
      <c r="M587" s="176"/>
      <c r="N587" s="176"/>
      <c r="O587" s="176"/>
      <c r="P587" s="91"/>
      <c r="Q587" s="91"/>
      <c r="R587" s="91"/>
      <c r="S587" s="205"/>
      <c r="T587" s="205"/>
    </row>
    <row r="588" spans="7:20" ht="14.25" customHeight="1">
      <c r="G588" s="91"/>
      <c r="H588" s="91"/>
      <c r="I588" s="91"/>
      <c r="J588" s="91"/>
      <c r="K588" s="91"/>
      <c r="L588" s="177"/>
      <c r="M588" s="176"/>
      <c r="N588" s="176"/>
      <c r="O588" s="176"/>
      <c r="P588" s="91"/>
      <c r="Q588" s="91"/>
      <c r="R588" s="91"/>
      <c r="S588" s="205"/>
      <c r="T588" s="205"/>
    </row>
    <row r="589" spans="7:20" ht="14.25" customHeight="1">
      <c r="G589" s="91"/>
      <c r="H589" s="91"/>
      <c r="I589" s="91"/>
      <c r="J589" s="91"/>
      <c r="K589" s="91"/>
      <c r="L589" s="177"/>
      <c r="M589" s="176"/>
      <c r="N589" s="176"/>
      <c r="O589" s="176"/>
      <c r="P589" s="91"/>
      <c r="Q589" s="91"/>
      <c r="R589" s="91"/>
      <c r="S589" s="205"/>
      <c r="T589" s="205"/>
    </row>
    <row r="590" spans="7:20" ht="14.25" customHeight="1">
      <c r="G590" s="91"/>
      <c r="H590" s="91"/>
      <c r="I590" s="91"/>
      <c r="J590" s="91"/>
      <c r="K590" s="91"/>
      <c r="L590" s="177"/>
      <c r="M590" s="176"/>
      <c r="N590" s="176"/>
      <c r="O590" s="176"/>
      <c r="P590" s="91"/>
      <c r="Q590" s="91"/>
      <c r="R590" s="91"/>
      <c r="S590" s="205"/>
      <c r="T590" s="205"/>
    </row>
    <row r="591" spans="7:20" ht="14.25" customHeight="1">
      <c r="G591" s="91"/>
      <c r="H591" s="91"/>
      <c r="I591" s="91"/>
      <c r="J591" s="91"/>
      <c r="K591" s="91"/>
      <c r="L591" s="177"/>
      <c r="M591" s="176"/>
      <c r="N591" s="176"/>
      <c r="O591" s="176"/>
      <c r="P591" s="91"/>
      <c r="Q591" s="91"/>
      <c r="R591" s="91"/>
      <c r="S591" s="205"/>
      <c r="T591" s="205"/>
    </row>
    <row r="592" spans="7:20" ht="14.25" customHeight="1">
      <c r="G592" s="91"/>
      <c r="H592" s="91"/>
      <c r="I592" s="91"/>
      <c r="J592" s="91"/>
      <c r="K592" s="91"/>
      <c r="L592" s="177"/>
      <c r="M592" s="176"/>
      <c r="N592" s="176"/>
      <c r="O592" s="176"/>
      <c r="P592" s="91"/>
      <c r="Q592" s="91"/>
      <c r="R592" s="91"/>
      <c r="S592" s="205"/>
      <c r="T592" s="205"/>
    </row>
    <row r="593" spans="7:20" ht="14.25" customHeight="1">
      <c r="G593" s="91"/>
      <c r="H593" s="91"/>
      <c r="I593" s="91"/>
      <c r="J593" s="91"/>
      <c r="K593" s="91"/>
      <c r="L593" s="177"/>
      <c r="M593" s="176"/>
      <c r="N593" s="176"/>
      <c r="O593" s="176"/>
      <c r="P593" s="91"/>
      <c r="Q593" s="91"/>
      <c r="R593" s="91"/>
      <c r="S593" s="205"/>
      <c r="T593" s="205"/>
    </row>
    <row r="594" spans="7:20" ht="14.25" customHeight="1">
      <c r="G594" s="91"/>
      <c r="H594" s="91"/>
      <c r="I594" s="91"/>
      <c r="J594" s="91"/>
      <c r="K594" s="91"/>
      <c r="L594" s="177"/>
      <c r="M594" s="176"/>
      <c r="N594" s="176"/>
      <c r="O594" s="176"/>
      <c r="P594" s="91"/>
      <c r="Q594" s="91"/>
      <c r="R594" s="91"/>
      <c r="S594" s="205"/>
      <c r="T594" s="205"/>
    </row>
    <row r="595" spans="7:20" ht="14.25" customHeight="1">
      <c r="G595" s="91"/>
      <c r="H595" s="91"/>
      <c r="I595" s="91"/>
      <c r="J595" s="91"/>
      <c r="K595" s="91"/>
      <c r="L595" s="177"/>
      <c r="M595" s="176"/>
      <c r="N595" s="176"/>
      <c r="O595" s="176"/>
      <c r="P595" s="91"/>
      <c r="Q595" s="91"/>
      <c r="R595" s="91"/>
      <c r="S595" s="205"/>
      <c r="T595" s="205"/>
    </row>
    <row r="596" spans="7:20" ht="14.25" customHeight="1">
      <c r="G596" s="91"/>
      <c r="H596" s="91"/>
      <c r="I596" s="91"/>
      <c r="J596" s="91"/>
      <c r="K596" s="91"/>
      <c r="L596" s="177"/>
      <c r="M596" s="176"/>
      <c r="N596" s="176"/>
      <c r="O596" s="176"/>
      <c r="P596" s="91"/>
      <c r="Q596" s="91"/>
      <c r="R596" s="91"/>
      <c r="S596" s="205"/>
      <c r="T596" s="205"/>
    </row>
    <row r="597" spans="7:20" ht="14.25" customHeight="1">
      <c r="G597" s="91"/>
      <c r="H597" s="91"/>
      <c r="I597" s="91"/>
      <c r="J597" s="91"/>
      <c r="K597" s="91"/>
      <c r="L597" s="177"/>
      <c r="M597" s="176"/>
      <c r="N597" s="176"/>
      <c r="O597" s="176"/>
      <c r="P597" s="91"/>
      <c r="Q597" s="91"/>
      <c r="R597" s="91"/>
      <c r="S597" s="205"/>
      <c r="T597" s="205"/>
    </row>
    <row r="598" spans="7:20" ht="14.25" customHeight="1">
      <c r="G598" s="91"/>
      <c r="H598" s="91"/>
      <c r="I598" s="91"/>
      <c r="J598" s="91"/>
      <c r="K598" s="91"/>
      <c r="L598" s="177"/>
      <c r="M598" s="176"/>
      <c r="N598" s="176"/>
      <c r="O598" s="176"/>
      <c r="P598" s="91"/>
      <c r="Q598" s="91"/>
      <c r="R598" s="91"/>
      <c r="S598" s="205"/>
      <c r="T598" s="205"/>
    </row>
    <row r="599" spans="7:20" ht="14.25" customHeight="1">
      <c r="G599" s="91"/>
      <c r="H599" s="91"/>
      <c r="I599" s="91"/>
      <c r="J599" s="91"/>
      <c r="K599" s="91"/>
      <c r="L599" s="177"/>
      <c r="M599" s="176"/>
      <c r="N599" s="176"/>
      <c r="O599" s="176"/>
      <c r="P599" s="91"/>
      <c r="Q599" s="91"/>
      <c r="R599" s="91"/>
      <c r="S599" s="205"/>
      <c r="T599" s="205"/>
    </row>
    <row r="600" spans="7:20" ht="14.25" customHeight="1">
      <c r="G600" s="91"/>
      <c r="H600" s="91"/>
      <c r="I600" s="91"/>
      <c r="J600" s="91"/>
      <c r="K600" s="91"/>
      <c r="L600" s="177"/>
      <c r="M600" s="176"/>
      <c r="N600" s="176"/>
      <c r="O600" s="176"/>
      <c r="P600" s="91"/>
      <c r="Q600" s="91"/>
      <c r="R600" s="91"/>
      <c r="S600" s="205"/>
      <c r="T600" s="205"/>
    </row>
    <row r="601" spans="7:20" ht="14.25" customHeight="1">
      <c r="G601" s="91"/>
      <c r="H601" s="91"/>
      <c r="I601" s="91"/>
      <c r="J601" s="91"/>
      <c r="K601" s="91"/>
      <c r="L601" s="177"/>
      <c r="M601" s="176"/>
      <c r="N601" s="176"/>
      <c r="O601" s="176"/>
      <c r="P601" s="91"/>
      <c r="Q601" s="91"/>
      <c r="R601" s="91"/>
      <c r="S601" s="205"/>
      <c r="T601" s="205"/>
    </row>
    <row r="602" spans="7:20" ht="14.25" customHeight="1">
      <c r="G602" s="91"/>
      <c r="H602" s="91"/>
      <c r="I602" s="91"/>
      <c r="J602" s="91"/>
      <c r="K602" s="91"/>
      <c r="L602" s="177"/>
      <c r="M602" s="176"/>
      <c r="N602" s="176"/>
      <c r="O602" s="176"/>
      <c r="P602" s="91"/>
      <c r="Q602" s="91"/>
      <c r="R602" s="91"/>
      <c r="S602" s="205"/>
      <c r="T602" s="205"/>
    </row>
    <row r="603" spans="7:20" ht="14.25" customHeight="1">
      <c r="G603" s="91"/>
      <c r="H603" s="91"/>
      <c r="I603" s="91"/>
      <c r="J603" s="91"/>
      <c r="K603" s="91"/>
      <c r="L603" s="177"/>
      <c r="M603" s="176"/>
      <c r="N603" s="176"/>
      <c r="O603" s="176"/>
      <c r="P603" s="91"/>
      <c r="Q603" s="91"/>
      <c r="R603" s="91"/>
      <c r="S603" s="205"/>
      <c r="T603" s="205"/>
    </row>
    <row r="604" spans="7:20" ht="14.25" customHeight="1">
      <c r="G604" s="91"/>
      <c r="H604" s="91"/>
      <c r="I604" s="91"/>
      <c r="J604" s="91"/>
      <c r="K604" s="91"/>
      <c r="L604" s="177"/>
      <c r="M604" s="176"/>
      <c r="N604" s="176"/>
      <c r="O604" s="176"/>
      <c r="P604" s="91"/>
      <c r="Q604" s="91"/>
      <c r="R604" s="91"/>
      <c r="S604" s="205"/>
      <c r="T604" s="205"/>
    </row>
    <row r="605" spans="7:20" ht="14.25" customHeight="1">
      <c r="G605" s="91"/>
      <c r="H605" s="91"/>
      <c r="I605" s="91"/>
      <c r="J605" s="91"/>
      <c r="K605" s="91"/>
      <c r="L605" s="177"/>
      <c r="M605" s="176"/>
      <c r="N605" s="176"/>
      <c r="O605" s="176"/>
      <c r="P605" s="91"/>
      <c r="Q605" s="91"/>
      <c r="R605" s="91"/>
      <c r="S605" s="205"/>
      <c r="T605" s="205"/>
    </row>
    <row r="606" spans="7:20" ht="14.25" customHeight="1">
      <c r="G606" s="91"/>
      <c r="H606" s="91"/>
      <c r="I606" s="91"/>
      <c r="J606" s="91"/>
      <c r="K606" s="91"/>
      <c r="L606" s="177"/>
      <c r="M606" s="176"/>
      <c r="N606" s="176"/>
      <c r="O606" s="176"/>
      <c r="P606" s="91"/>
      <c r="Q606" s="91"/>
      <c r="R606" s="91"/>
      <c r="S606" s="205"/>
      <c r="T606" s="205"/>
    </row>
    <row r="607" spans="7:20" ht="14.25" customHeight="1">
      <c r="G607" s="91"/>
      <c r="H607" s="91"/>
      <c r="I607" s="91"/>
      <c r="J607" s="91"/>
      <c r="K607" s="91"/>
      <c r="L607" s="177"/>
      <c r="M607" s="176"/>
      <c r="N607" s="176"/>
      <c r="O607" s="176"/>
      <c r="P607" s="91"/>
      <c r="Q607" s="91"/>
      <c r="R607" s="91"/>
      <c r="S607" s="205"/>
      <c r="T607" s="205"/>
    </row>
    <row r="608" spans="7:20" ht="14.25" customHeight="1">
      <c r="G608" s="91"/>
      <c r="H608" s="91"/>
      <c r="I608" s="91"/>
      <c r="J608" s="91"/>
      <c r="K608" s="91"/>
      <c r="L608" s="177"/>
      <c r="M608" s="176"/>
      <c r="N608" s="176"/>
      <c r="O608" s="176"/>
      <c r="P608" s="91"/>
      <c r="Q608" s="91"/>
      <c r="R608" s="91"/>
      <c r="S608" s="205"/>
      <c r="T608" s="205"/>
    </row>
    <row r="609" spans="7:20" ht="14.25" customHeight="1">
      <c r="G609" s="91"/>
      <c r="H609" s="91"/>
      <c r="I609" s="91"/>
      <c r="J609" s="91"/>
      <c r="K609" s="91"/>
      <c r="L609" s="177"/>
      <c r="M609" s="176"/>
      <c r="N609" s="176"/>
      <c r="O609" s="176"/>
      <c r="P609" s="91"/>
      <c r="Q609" s="91"/>
      <c r="R609" s="91"/>
      <c r="S609" s="205"/>
      <c r="T609" s="205"/>
    </row>
    <row r="610" spans="7:20" ht="14.25" customHeight="1">
      <c r="G610" s="91"/>
      <c r="H610" s="91"/>
      <c r="I610" s="91"/>
      <c r="J610" s="91"/>
      <c r="K610" s="91"/>
      <c r="L610" s="177"/>
      <c r="M610" s="176"/>
      <c r="N610" s="176"/>
      <c r="O610" s="176"/>
      <c r="P610" s="91"/>
      <c r="Q610" s="91"/>
      <c r="R610" s="91"/>
      <c r="S610" s="205"/>
      <c r="T610" s="205"/>
    </row>
    <row r="611" spans="7:20" ht="14.25" customHeight="1">
      <c r="G611" s="91"/>
      <c r="H611" s="91"/>
      <c r="I611" s="91"/>
      <c r="J611" s="91"/>
      <c r="K611" s="91"/>
      <c r="L611" s="177"/>
      <c r="M611" s="176"/>
      <c r="N611" s="176"/>
      <c r="O611" s="176"/>
      <c r="P611" s="91"/>
      <c r="Q611" s="91"/>
      <c r="R611" s="91"/>
      <c r="S611" s="205"/>
      <c r="T611" s="205"/>
    </row>
    <row r="612" spans="7:20" ht="14.25" customHeight="1">
      <c r="G612" s="91"/>
      <c r="H612" s="91"/>
      <c r="I612" s="91"/>
      <c r="J612" s="91"/>
      <c r="K612" s="91"/>
      <c r="L612" s="177"/>
      <c r="M612" s="176"/>
      <c r="N612" s="176"/>
      <c r="O612" s="176"/>
      <c r="P612" s="91"/>
      <c r="Q612" s="91"/>
      <c r="R612" s="91"/>
      <c r="S612" s="205"/>
      <c r="T612" s="205"/>
    </row>
    <row r="613" spans="7:20" ht="14.25" customHeight="1">
      <c r="G613" s="91"/>
      <c r="H613" s="91"/>
      <c r="I613" s="91"/>
      <c r="J613" s="91"/>
      <c r="K613" s="91"/>
      <c r="L613" s="177"/>
      <c r="M613" s="176"/>
      <c r="N613" s="176"/>
      <c r="O613" s="176"/>
      <c r="P613" s="91"/>
      <c r="Q613" s="91"/>
      <c r="R613" s="91"/>
      <c r="S613" s="205"/>
      <c r="T613" s="205"/>
    </row>
    <row r="614" spans="7:20" ht="14.25" customHeight="1">
      <c r="G614" s="91"/>
      <c r="H614" s="91"/>
      <c r="I614" s="91"/>
      <c r="J614" s="91"/>
      <c r="K614" s="91"/>
      <c r="L614" s="177"/>
      <c r="M614" s="176"/>
      <c r="N614" s="176"/>
      <c r="O614" s="176"/>
      <c r="P614" s="91"/>
      <c r="Q614" s="91"/>
      <c r="R614" s="91"/>
      <c r="S614" s="205"/>
      <c r="T614" s="205"/>
    </row>
    <row r="615" spans="7:20" ht="14.25" customHeight="1">
      <c r="G615" s="91"/>
      <c r="H615" s="91"/>
      <c r="I615" s="91"/>
      <c r="J615" s="91"/>
      <c r="K615" s="91"/>
      <c r="L615" s="177"/>
      <c r="M615" s="176"/>
      <c r="N615" s="176"/>
      <c r="O615" s="176"/>
      <c r="P615" s="91"/>
      <c r="Q615" s="91"/>
      <c r="R615" s="91"/>
      <c r="S615" s="205"/>
      <c r="T615" s="205"/>
    </row>
    <row r="616" spans="7:20" ht="14.25" customHeight="1">
      <c r="G616" s="91"/>
      <c r="H616" s="91"/>
      <c r="I616" s="91"/>
      <c r="J616" s="91"/>
      <c r="K616" s="91"/>
      <c r="L616" s="177"/>
      <c r="M616" s="176"/>
      <c r="N616" s="176"/>
      <c r="O616" s="176"/>
      <c r="P616" s="91"/>
      <c r="Q616" s="91"/>
      <c r="R616" s="91"/>
      <c r="S616" s="205"/>
      <c r="T616" s="205"/>
    </row>
    <row r="617" spans="7:20" ht="14.25" customHeight="1">
      <c r="G617" s="91"/>
      <c r="H617" s="91"/>
      <c r="I617" s="91"/>
      <c r="J617" s="91"/>
      <c r="K617" s="91"/>
      <c r="L617" s="177"/>
      <c r="M617" s="176"/>
      <c r="N617" s="176"/>
      <c r="O617" s="176"/>
      <c r="P617" s="91"/>
      <c r="Q617" s="91"/>
      <c r="R617" s="91"/>
      <c r="S617" s="205"/>
      <c r="T617" s="205"/>
    </row>
    <row r="618" spans="7:20" ht="14.25" customHeight="1">
      <c r="G618" s="91"/>
      <c r="H618" s="91"/>
      <c r="I618" s="91"/>
      <c r="J618" s="91"/>
      <c r="K618" s="91"/>
      <c r="L618" s="177"/>
      <c r="M618" s="176"/>
      <c r="N618" s="176"/>
      <c r="O618" s="176"/>
      <c r="P618" s="91"/>
      <c r="Q618" s="91"/>
      <c r="R618" s="91"/>
      <c r="S618" s="205"/>
      <c r="T618" s="205"/>
    </row>
    <row r="619" spans="7:20" ht="14.25" customHeight="1">
      <c r="G619" s="91"/>
      <c r="H619" s="91"/>
      <c r="I619" s="91"/>
      <c r="J619" s="91"/>
      <c r="K619" s="91"/>
      <c r="L619" s="177"/>
      <c r="M619" s="176"/>
      <c r="N619" s="176"/>
      <c r="O619" s="176"/>
      <c r="P619" s="91"/>
      <c r="Q619" s="91"/>
      <c r="R619" s="91"/>
      <c r="S619" s="205"/>
      <c r="T619" s="205"/>
    </row>
    <row r="620" spans="7:20" ht="14.25" customHeight="1">
      <c r="G620" s="91"/>
      <c r="H620" s="91"/>
      <c r="I620" s="91"/>
      <c r="J620" s="91"/>
      <c r="K620" s="91"/>
      <c r="L620" s="177"/>
      <c r="M620" s="176"/>
      <c r="N620" s="176"/>
      <c r="O620" s="176"/>
      <c r="P620" s="91"/>
      <c r="Q620" s="91"/>
      <c r="R620" s="91"/>
      <c r="S620" s="205"/>
      <c r="T620" s="205"/>
    </row>
    <row r="621" spans="7:20" ht="14.25" customHeight="1">
      <c r="G621" s="91"/>
      <c r="H621" s="91"/>
      <c r="I621" s="91"/>
      <c r="J621" s="91"/>
      <c r="K621" s="91"/>
      <c r="L621" s="177"/>
      <c r="M621" s="176"/>
      <c r="N621" s="176"/>
      <c r="O621" s="176"/>
      <c r="P621" s="91"/>
      <c r="Q621" s="91"/>
      <c r="R621" s="91"/>
      <c r="S621" s="205"/>
      <c r="T621" s="205"/>
    </row>
    <row r="622" spans="7:20" ht="14.25" customHeight="1">
      <c r="G622" s="91"/>
      <c r="H622" s="91"/>
      <c r="I622" s="91"/>
      <c r="J622" s="91"/>
      <c r="K622" s="91"/>
      <c r="L622" s="177"/>
      <c r="M622" s="176"/>
      <c r="N622" s="176"/>
      <c r="O622" s="176"/>
      <c r="P622" s="91"/>
      <c r="Q622" s="91"/>
      <c r="R622" s="91"/>
      <c r="S622" s="205"/>
      <c r="T622" s="205"/>
    </row>
    <row r="623" spans="7:20" ht="14.25" customHeight="1">
      <c r="G623" s="91"/>
      <c r="H623" s="91"/>
      <c r="I623" s="91"/>
      <c r="J623" s="91"/>
      <c r="K623" s="91"/>
      <c r="L623" s="177"/>
      <c r="M623" s="176"/>
      <c r="N623" s="176"/>
      <c r="O623" s="176"/>
      <c r="P623" s="91"/>
      <c r="Q623" s="91"/>
      <c r="R623" s="91"/>
      <c r="S623" s="205"/>
      <c r="T623" s="205"/>
    </row>
    <row r="624" spans="7:20" ht="14.25" customHeight="1">
      <c r="G624" s="91"/>
      <c r="H624" s="91"/>
      <c r="I624" s="91"/>
      <c r="J624" s="91"/>
      <c r="K624" s="91"/>
      <c r="L624" s="177"/>
      <c r="M624" s="176"/>
      <c r="N624" s="176"/>
      <c r="O624" s="176"/>
      <c r="P624" s="91"/>
      <c r="Q624" s="91"/>
      <c r="R624" s="91"/>
      <c r="S624" s="205"/>
      <c r="T624" s="205"/>
    </row>
    <row r="625" spans="7:20" ht="14.25" customHeight="1">
      <c r="G625" s="91"/>
      <c r="H625" s="91"/>
      <c r="I625" s="91"/>
      <c r="J625" s="91"/>
      <c r="K625" s="91"/>
      <c r="L625" s="177"/>
      <c r="M625" s="176"/>
      <c r="N625" s="176"/>
      <c r="O625" s="176"/>
      <c r="P625" s="91"/>
      <c r="Q625" s="91"/>
      <c r="R625" s="91"/>
      <c r="S625" s="205"/>
      <c r="T625" s="205"/>
    </row>
    <row r="626" spans="7:20" ht="14.25" customHeight="1">
      <c r="G626" s="91"/>
      <c r="H626" s="91"/>
      <c r="I626" s="91"/>
      <c r="J626" s="91"/>
      <c r="K626" s="91"/>
      <c r="L626" s="177"/>
      <c r="M626" s="176"/>
      <c r="N626" s="176"/>
      <c r="O626" s="176"/>
      <c r="P626" s="91"/>
      <c r="Q626" s="91"/>
      <c r="R626" s="91"/>
      <c r="S626" s="205"/>
      <c r="T626" s="205"/>
    </row>
    <row r="627" spans="7:20" ht="14.25" customHeight="1">
      <c r="G627" s="91"/>
      <c r="H627" s="91"/>
      <c r="I627" s="91"/>
      <c r="J627" s="91"/>
      <c r="K627" s="91"/>
      <c r="L627" s="177"/>
      <c r="M627" s="176"/>
      <c r="N627" s="176"/>
      <c r="O627" s="176"/>
      <c r="P627" s="91"/>
      <c r="Q627" s="91"/>
      <c r="R627" s="91"/>
      <c r="S627" s="205"/>
      <c r="T627" s="205"/>
    </row>
    <row r="628" spans="7:20" ht="14.25" customHeight="1">
      <c r="G628" s="91"/>
      <c r="H628" s="91"/>
      <c r="I628" s="91"/>
      <c r="J628" s="91"/>
      <c r="K628" s="91"/>
      <c r="L628" s="177"/>
      <c r="M628" s="176"/>
      <c r="N628" s="176"/>
      <c r="O628" s="176"/>
      <c r="P628" s="91"/>
      <c r="Q628" s="91"/>
      <c r="R628" s="91"/>
      <c r="S628" s="205"/>
      <c r="T628" s="205"/>
    </row>
    <row r="629" spans="7:20" ht="14.25" customHeight="1">
      <c r="G629" s="91"/>
      <c r="H629" s="91"/>
      <c r="I629" s="91"/>
      <c r="J629" s="91"/>
      <c r="K629" s="91"/>
      <c r="L629" s="177"/>
      <c r="M629" s="176"/>
      <c r="N629" s="176"/>
      <c r="O629" s="176"/>
      <c r="P629" s="91"/>
      <c r="Q629" s="91"/>
      <c r="R629" s="91"/>
      <c r="S629" s="205"/>
      <c r="T629" s="205"/>
    </row>
    <row r="630" spans="7:20" ht="14.25" customHeight="1">
      <c r="G630" s="91"/>
      <c r="H630" s="91"/>
      <c r="I630" s="91"/>
      <c r="J630" s="91"/>
      <c r="K630" s="91"/>
      <c r="L630" s="177"/>
      <c r="M630" s="176"/>
      <c r="N630" s="176"/>
      <c r="O630" s="176"/>
      <c r="P630" s="91"/>
      <c r="Q630" s="91"/>
      <c r="R630" s="91"/>
      <c r="S630" s="205"/>
      <c r="T630" s="205"/>
    </row>
    <row r="631" spans="7:20" ht="14.25" customHeight="1">
      <c r="G631" s="91"/>
      <c r="H631" s="91"/>
      <c r="I631" s="91"/>
      <c r="J631" s="91"/>
      <c r="K631" s="91"/>
      <c r="L631" s="177"/>
      <c r="M631" s="176"/>
      <c r="N631" s="176"/>
      <c r="O631" s="176"/>
      <c r="P631" s="91"/>
      <c r="Q631" s="91"/>
      <c r="R631" s="91"/>
      <c r="S631" s="205"/>
      <c r="T631" s="205"/>
    </row>
    <row r="632" spans="7:20" ht="14.25" customHeight="1">
      <c r="G632" s="91"/>
      <c r="H632" s="91"/>
      <c r="I632" s="91"/>
      <c r="J632" s="91"/>
      <c r="K632" s="91"/>
      <c r="L632" s="177"/>
      <c r="M632" s="176"/>
      <c r="N632" s="176"/>
      <c r="O632" s="176"/>
      <c r="P632" s="91"/>
      <c r="Q632" s="91"/>
      <c r="R632" s="91"/>
      <c r="S632" s="205"/>
      <c r="T632" s="205"/>
    </row>
    <row r="633" spans="7:20" ht="14.25" customHeight="1">
      <c r="G633" s="91"/>
      <c r="H633" s="91"/>
      <c r="I633" s="91"/>
      <c r="J633" s="91"/>
      <c r="K633" s="91"/>
      <c r="L633" s="177"/>
      <c r="M633" s="176"/>
      <c r="N633" s="176"/>
      <c r="O633" s="176"/>
      <c r="P633" s="91"/>
      <c r="Q633" s="91"/>
      <c r="R633" s="91"/>
      <c r="S633" s="205"/>
      <c r="T633" s="205"/>
    </row>
    <row r="634" spans="7:20" ht="14.25" customHeight="1">
      <c r="G634" s="91"/>
      <c r="H634" s="91"/>
      <c r="I634" s="91"/>
      <c r="J634" s="91"/>
      <c r="K634" s="91"/>
      <c r="L634" s="177"/>
      <c r="M634" s="176"/>
      <c r="N634" s="176"/>
      <c r="O634" s="176"/>
      <c r="P634" s="91"/>
      <c r="Q634" s="91"/>
      <c r="R634" s="91"/>
      <c r="S634" s="205"/>
      <c r="T634" s="205"/>
    </row>
    <row r="635" spans="7:20" ht="14.25" customHeight="1">
      <c r="G635" s="91"/>
      <c r="H635" s="91"/>
      <c r="I635" s="91"/>
      <c r="J635" s="91"/>
      <c r="K635" s="91"/>
      <c r="L635" s="177"/>
      <c r="M635" s="176"/>
      <c r="N635" s="176"/>
      <c r="O635" s="176"/>
      <c r="P635" s="91"/>
      <c r="Q635" s="91"/>
      <c r="R635" s="91"/>
      <c r="S635" s="205"/>
      <c r="T635" s="205"/>
    </row>
    <row r="636" spans="7:20" ht="14.25" customHeight="1">
      <c r="G636" s="91"/>
      <c r="H636" s="91"/>
      <c r="I636" s="91"/>
      <c r="J636" s="91"/>
      <c r="K636" s="91"/>
      <c r="L636" s="177"/>
      <c r="M636" s="176"/>
      <c r="N636" s="176"/>
      <c r="O636" s="176"/>
      <c r="P636" s="91"/>
      <c r="Q636" s="91"/>
      <c r="R636" s="91"/>
      <c r="S636" s="205"/>
      <c r="T636" s="205"/>
    </row>
    <row r="637" spans="7:20" ht="14.25" customHeight="1">
      <c r="G637" s="91"/>
      <c r="H637" s="91"/>
      <c r="I637" s="91"/>
      <c r="J637" s="91"/>
      <c r="K637" s="91"/>
      <c r="L637" s="177"/>
      <c r="M637" s="176"/>
      <c r="N637" s="176"/>
      <c r="O637" s="176"/>
      <c r="P637" s="91"/>
      <c r="Q637" s="91"/>
      <c r="R637" s="91"/>
      <c r="S637" s="205"/>
      <c r="T637" s="205"/>
    </row>
    <row r="638" spans="7:20" ht="14.25" customHeight="1">
      <c r="G638" s="91"/>
      <c r="H638" s="91"/>
      <c r="I638" s="91"/>
      <c r="J638" s="91"/>
      <c r="K638" s="91"/>
      <c r="L638" s="177"/>
      <c r="M638" s="176"/>
      <c r="N638" s="176"/>
      <c r="O638" s="176"/>
      <c r="P638" s="91"/>
      <c r="Q638" s="91"/>
      <c r="R638" s="91"/>
      <c r="S638" s="205"/>
      <c r="T638" s="205"/>
    </row>
    <row r="639" spans="7:20" ht="14.25" customHeight="1">
      <c r="G639" s="91"/>
      <c r="H639" s="91"/>
      <c r="I639" s="91"/>
      <c r="J639" s="91"/>
      <c r="K639" s="91"/>
      <c r="L639" s="177"/>
      <c r="M639" s="176"/>
      <c r="N639" s="176"/>
      <c r="O639" s="176"/>
      <c r="P639" s="91"/>
      <c r="Q639" s="91"/>
      <c r="R639" s="91"/>
      <c r="S639" s="205"/>
      <c r="T639" s="205"/>
    </row>
    <row r="640" spans="7:20" ht="14.25" customHeight="1">
      <c r="G640" s="91"/>
      <c r="H640" s="91"/>
      <c r="I640" s="91"/>
      <c r="J640" s="91"/>
      <c r="K640" s="91"/>
      <c r="L640" s="177"/>
      <c r="M640" s="176"/>
      <c r="N640" s="176"/>
      <c r="O640" s="176"/>
      <c r="P640" s="91"/>
      <c r="Q640" s="91"/>
      <c r="R640" s="91"/>
      <c r="S640" s="205"/>
      <c r="T640" s="205"/>
    </row>
    <row r="641" spans="7:20" ht="14.25" customHeight="1">
      <c r="G641" s="91"/>
      <c r="H641" s="91"/>
      <c r="I641" s="91"/>
      <c r="J641" s="91"/>
      <c r="K641" s="91"/>
      <c r="L641" s="177"/>
      <c r="M641" s="176"/>
      <c r="N641" s="176"/>
      <c r="O641" s="176"/>
      <c r="P641" s="91"/>
      <c r="Q641" s="91"/>
      <c r="R641" s="91"/>
      <c r="S641" s="205"/>
      <c r="T641" s="205"/>
    </row>
    <row r="642" spans="7:20" ht="14.25" customHeight="1">
      <c r="G642" s="91"/>
      <c r="H642" s="91"/>
      <c r="I642" s="91"/>
      <c r="J642" s="91"/>
      <c r="K642" s="91"/>
      <c r="L642" s="177"/>
      <c r="M642" s="176"/>
      <c r="N642" s="176"/>
      <c r="O642" s="176"/>
      <c r="P642" s="91"/>
      <c r="Q642" s="91"/>
      <c r="R642" s="91"/>
      <c r="S642" s="205"/>
      <c r="T642" s="205"/>
    </row>
    <row r="643" spans="7:20" ht="14.25" customHeight="1">
      <c r="G643" s="91"/>
      <c r="H643" s="91"/>
      <c r="I643" s="91"/>
      <c r="J643" s="91"/>
      <c r="K643" s="91"/>
      <c r="L643" s="177"/>
      <c r="M643" s="176"/>
      <c r="N643" s="176"/>
      <c r="O643" s="176"/>
      <c r="P643" s="91"/>
      <c r="Q643" s="91"/>
      <c r="R643" s="91"/>
      <c r="S643" s="205"/>
      <c r="T643" s="205"/>
    </row>
    <row r="644" spans="7:20" ht="14.25" customHeight="1">
      <c r="G644" s="91"/>
      <c r="H644" s="91"/>
      <c r="I644" s="91"/>
      <c r="J644" s="91"/>
      <c r="K644" s="91"/>
      <c r="L644" s="177"/>
      <c r="M644" s="176"/>
      <c r="N644" s="176"/>
      <c r="O644" s="176"/>
      <c r="P644" s="91"/>
      <c r="Q644" s="91"/>
      <c r="R644" s="91"/>
      <c r="S644" s="205"/>
      <c r="T644" s="205"/>
    </row>
    <row r="645" spans="7:20" ht="14.25" customHeight="1">
      <c r="G645" s="91"/>
      <c r="H645" s="91"/>
      <c r="I645" s="91"/>
      <c r="J645" s="91"/>
      <c r="K645" s="91"/>
      <c r="L645" s="177"/>
      <c r="M645" s="176"/>
      <c r="N645" s="176"/>
      <c r="O645" s="176"/>
      <c r="P645" s="91"/>
      <c r="Q645" s="91"/>
      <c r="R645" s="91"/>
      <c r="S645" s="205"/>
      <c r="T645" s="205"/>
    </row>
    <row r="646" spans="7:20" ht="14.25" customHeight="1">
      <c r="G646" s="91"/>
      <c r="H646" s="91"/>
      <c r="I646" s="91"/>
      <c r="J646" s="91"/>
      <c r="K646" s="91"/>
      <c r="L646" s="177"/>
      <c r="M646" s="176"/>
      <c r="N646" s="176"/>
      <c r="O646" s="176"/>
      <c r="P646" s="91"/>
      <c r="Q646" s="91"/>
      <c r="R646" s="91"/>
      <c r="S646" s="205"/>
      <c r="T646" s="205"/>
    </row>
    <row r="647" spans="7:20" ht="14.25" customHeight="1">
      <c r="G647" s="91"/>
      <c r="H647" s="91"/>
      <c r="I647" s="91"/>
      <c r="J647" s="91"/>
      <c r="K647" s="91"/>
      <c r="L647" s="177"/>
      <c r="M647" s="176"/>
      <c r="N647" s="176"/>
      <c r="O647" s="176"/>
      <c r="P647" s="91"/>
      <c r="Q647" s="91"/>
      <c r="R647" s="91"/>
      <c r="S647" s="205"/>
      <c r="T647" s="205"/>
    </row>
    <row r="648" spans="7:20" ht="14.25" customHeight="1">
      <c r="G648" s="91"/>
      <c r="H648" s="91"/>
      <c r="I648" s="91"/>
      <c r="J648" s="91"/>
      <c r="K648" s="91"/>
      <c r="L648" s="177"/>
      <c r="M648" s="176"/>
      <c r="N648" s="176"/>
      <c r="O648" s="176"/>
      <c r="P648" s="91"/>
      <c r="Q648" s="91"/>
      <c r="R648" s="91"/>
      <c r="S648" s="205"/>
      <c r="T648" s="205"/>
    </row>
    <row r="649" spans="7:20" ht="14.25" customHeight="1">
      <c r="G649" s="91"/>
      <c r="H649" s="91"/>
      <c r="I649" s="91"/>
      <c r="J649" s="91"/>
      <c r="K649" s="91"/>
      <c r="L649" s="177"/>
      <c r="M649" s="176"/>
      <c r="N649" s="176"/>
      <c r="O649" s="176"/>
      <c r="P649" s="91"/>
      <c r="Q649" s="91"/>
      <c r="R649" s="91"/>
      <c r="S649" s="205"/>
      <c r="T649" s="205"/>
    </row>
    <row r="650" spans="7:20" ht="14.25" customHeight="1">
      <c r="G650" s="91"/>
      <c r="H650" s="91"/>
      <c r="I650" s="91"/>
      <c r="J650" s="91"/>
      <c r="K650" s="91"/>
      <c r="L650" s="177"/>
      <c r="M650" s="176"/>
      <c r="N650" s="176"/>
      <c r="O650" s="176"/>
      <c r="P650" s="91"/>
      <c r="Q650" s="91"/>
      <c r="R650" s="91"/>
      <c r="S650" s="205"/>
      <c r="T650" s="205"/>
    </row>
    <row r="651" spans="7:20" ht="14.25" customHeight="1">
      <c r="G651" s="91"/>
      <c r="H651" s="91"/>
      <c r="I651" s="91"/>
      <c r="J651" s="91"/>
      <c r="K651" s="91"/>
      <c r="L651" s="177"/>
      <c r="M651" s="176"/>
      <c r="N651" s="176"/>
      <c r="O651" s="176"/>
      <c r="P651" s="91"/>
      <c r="Q651" s="91"/>
      <c r="R651" s="91"/>
      <c r="S651" s="205"/>
      <c r="T651" s="205"/>
    </row>
    <row r="652" spans="7:20" ht="14.25" customHeight="1">
      <c r="G652" s="91"/>
      <c r="H652" s="91"/>
      <c r="I652" s="91"/>
      <c r="J652" s="91"/>
      <c r="K652" s="91"/>
      <c r="L652" s="177"/>
      <c r="M652" s="176"/>
      <c r="N652" s="176"/>
      <c r="O652" s="176"/>
      <c r="P652" s="91"/>
      <c r="Q652" s="91"/>
      <c r="R652" s="91"/>
      <c r="S652" s="205"/>
      <c r="T652" s="205"/>
    </row>
    <row r="653" spans="7:20" ht="14.25" customHeight="1">
      <c r="G653" s="91"/>
      <c r="H653" s="91"/>
      <c r="I653" s="91"/>
      <c r="J653" s="91"/>
      <c r="K653" s="91"/>
      <c r="L653" s="177"/>
      <c r="M653" s="176"/>
      <c r="N653" s="176"/>
      <c r="O653" s="176"/>
      <c r="P653" s="91"/>
      <c r="Q653" s="91"/>
      <c r="R653" s="91"/>
      <c r="S653" s="205"/>
      <c r="T653" s="205"/>
    </row>
    <row r="654" spans="7:20" ht="14.25" customHeight="1">
      <c r="G654" s="91"/>
      <c r="H654" s="91"/>
      <c r="I654" s="91"/>
      <c r="J654" s="91"/>
      <c r="K654" s="91"/>
      <c r="L654" s="177"/>
      <c r="M654" s="176"/>
      <c r="N654" s="176"/>
      <c r="O654" s="176"/>
      <c r="P654" s="91"/>
      <c r="Q654" s="91"/>
      <c r="R654" s="91"/>
      <c r="S654" s="205"/>
      <c r="T654" s="205"/>
    </row>
    <row r="655" spans="7:20" ht="14.25" customHeight="1">
      <c r="G655" s="91"/>
      <c r="H655" s="91"/>
      <c r="I655" s="91"/>
      <c r="J655" s="91"/>
      <c r="K655" s="91"/>
      <c r="L655" s="177"/>
      <c r="M655" s="176"/>
      <c r="N655" s="176"/>
      <c r="O655" s="176"/>
      <c r="P655" s="91"/>
      <c r="Q655" s="91"/>
      <c r="R655" s="91"/>
      <c r="S655" s="205"/>
      <c r="T655" s="205"/>
    </row>
    <row r="656" spans="7:20" ht="14.25" customHeight="1">
      <c r="G656" s="91"/>
      <c r="H656" s="91"/>
      <c r="I656" s="91"/>
      <c r="J656" s="91"/>
      <c r="K656" s="91"/>
      <c r="L656" s="177"/>
      <c r="M656" s="176"/>
      <c r="N656" s="176"/>
      <c r="O656" s="176"/>
      <c r="P656" s="91"/>
      <c r="Q656" s="91"/>
      <c r="R656" s="91"/>
      <c r="S656" s="205"/>
      <c r="T656" s="205"/>
    </row>
    <row r="657" spans="7:20" ht="14.25" customHeight="1">
      <c r="G657" s="91"/>
      <c r="H657" s="91"/>
      <c r="I657" s="91"/>
      <c r="J657" s="91"/>
      <c r="K657" s="91"/>
      <c r="L657" s="177"/>
      <c r="M657" s="176"/>
      <c r="N657" s="176"/>
      <c r="O657" s="176"/>
      <c r="P657" s="91"/>
      <c r="Q657" s="91"/>
      <c r="R657" s="91"/>
      <c r="S657" s="205"/>
      <c r="T657" s="205"/>
    </row>
    <row r="658" spans="7:20" ht="14.25" customHeight="1">
      <c r="G658" s="91"/>
      <c r="H658" s="91"/>
      <c r="I658" s="91"/>
      <c r="J658" s="91"/>
      <c r="K658" s="91"/>
      <c r="L658" s="177"/>
      <c r="M658" s="176"/>
      <c r="N658" s="176"/>
      <c r="O658" s="176"/>
      <c r="P658" s="91"/>
      <c r="Q658" s="91"/>
      <c r="R658" s="91"/>
      <c r="S658" s="205"/>
      <c r="T658" s="205"/>
    </row>
    <row r="659" spans="7:20" ht="14.25" customHeight="1">
      <c r="G659" s="91"/>
      <c r="H659" s="91"/>
      <c r="I659" s="91"/>
      <c r="J659" s="91"/>
      <c r="K659" s="91"/>
      <c r="L659" s="177"/>
      <c r="M659" s="176"/>
      <c r="N659" s="176"/>
      <c r="O659" s="176"/>
      <c r="P659" s="91"/>
      <c r="Q659" s="91"/>
      <c r="R659" s="91"/>
      <c r="S659" s="205"/>
      <c r="T659" s="205"/>
    </row>
    <row r="660" spans="7:20" ht="14.25" customHeight="1">
      <c r="G660" s="91"/>
      <c r="H660" s="91"/>
      <c r="I660" s="91"/>
      <c r="J660" s="91"/>
      <c r="K660" s="91"/>
      <c r="L660" s="177"/>
      <c r="M660" s="176"/>
      <c r="N660" s="176"/>
      <c r="O660" s="176"/>
      <c r="P660" s="91"/>
      <c r="Q660" s="91"/>
      <c r="R660" s="91"/>
      <c r="S660" s="205"/>
      <c r="T660" s="205"/>
    </row>
    <row r="661" spans="7:20" ht="14.25" customHeight="1">
      <c r="G661" s="91"/>
      <c r="H661" s="91"/>
      <c r="I661" s="91"/>
      <c r="J661" s="91"/>
      <c r="K661" s="91"/>
      <c r="L661" s="177"/>
      <c r="M661" s="176"/>
      <c r="N661" s="176"/>
      <c r="O661" s="176"/>
      <c r="P661" s="91"/>
      <c r="Q661" s="91"/>
      <c r="R661" s="91"/>
      <c r="S661" s="205"/>
      <c r="T661" s="205"/>
    </row>
    <row r="662" spans="7:20" ht="14.25" customHeight="1">
      <c r="G662" s="91"/>
      <c r="H662" s="91"/>
      <c r="I662" s="91"/>
      <c r="J662" s="91"/>
      <c r="K662" s="91"/>
      <c r="L662" s="177"/>
      <c r="M662" s="176"/>
      <c r="N662" s="176"/>
      <c r="O662" s="176"/>
      <c r="P662" s="91"/>
      <c r="Q662" s="91"/>
      <c r="R662" s="91"/>
      <c r="S662" s="205"/>
      <c r="T662" s="205"/>
    </row>
    <row r="663" spans="7:20" ht="14.25" customHeight="1">
      <c r="G663" s="91"/>
      <c r="H663" s="91"/>
      <c r="I663" s="91"/>
      <c r="J663" s="91"/>
      <c r="K663" s="91"/>
      <c r="L663" s="177"/>
      <c r="M663" s="176"/>
      <c r="N663" s="176"/>
      <c r="O663" s="176"/>
      <c r="P663" s="91"/>
      <c r="Q663" s="91"/>
      <c r="R663" s="91"/>
      <c r="S663" s="205"/>
      <c r="T663" s="205"/>
    </row>
    <row r="664" spans="7:20" ht="14.25" customHeight="1">
      <c r="G664" s="91"/>
      <c r="H664" s="91"/>
      <c r="I664" s="91"/>
      <c r="J664" s="91"/>
      <c r="K664" s="91"/>
      <c r="L664" s="177"/>
      <c r="M664" s="176"/>
      <c r="N664" s="176"/>
      <c r="O664" s="176"/>
      <c r="P664" s="91"/>
      <c r="Q664" s="91"/>
      <c r="R664" s="91"/>
      <c r="S664" s="205"/>
      <c r="T664" s="205"/>
    </row>
    <row r="665" spans="7:20" ht="14.25" customHeight="1">
      <c r="G665" s="91"/>
      <c r="H665" s="91"/>
      <c r="I665" s="91"/>
      <c r="J665" s="91"/>
      <c r="K665" s="91"/>
      <c r="L665" s="177"/>
      <c r="M665" s="176"/>
      <c r="N665" s="176"/>
      <c r="O665" s="176"/>
      <c r="P665" s="91"/>
      <c r="Q665" s="91"/>
      <c r="R665" s="91"/>
      <c r="S665" s="205"/>
      <c r="T665" s="205"/>
    </row>
    <row r="666" spans="7:20" ht="14.25" customHeight="1">
      <c r="G666" s="91"/>
      <c r="H666" s="91"/>
      <c r="I666" s="91"/>
      <c r="J666" s="91"/>
      <c r="K666" s="91"/>
      <c r="L666" s="177"/>
      <c r="M666" s="176"/>
      <c r="N666" s="176"/>
      <c r="O666" s="176"/>
      <c r="P666" s="91"/>
      <c r="Q666" s="91"/>
      <c r="R666" s="91"/>
      <c r="S666" s="205"/>
      <c r="T666" s="205"/>
    </row>
    <row r="667" spans="7:20" ht="14.25" customHeight="1">
      <c r="G667" s="91"/>
      <c r="H667" s="91"/>
      <c r="I667" s="91"/>
      <c r="J667" s="91"/>
      <c r="K667" s="91"/>
      <c r="L667" s="177"/>
      <c r="M667" s="176"/>
      <c r="N667" s="176"/>
      <c r="O667" s="176"/>
      <c r="P667" s="91"/>
      <c r="Q667" s="91"/>
      <c r="R667" s="91"/>
      <c r="S667" s="205"/>
      <c r="T667" s="205"/>
    </row>
    <row r="668" spans="7:20" ht="14.25" customHeight="1">
      <c r="G668" s="91"/>
      <c r="H668" s="91"/>
      <c r="I668" s="91"/>
      <c r="J668" s="91"/>
      <c r="K668" s="91"/>
      <c r="L668" s="177"/>
      <c r="M668" s="176"/>
      <c r="N668" s="176"/>
      <c r="O668" s="176"/>
      <c r="P668" s="91"/>
      <c r="Q668" s="91"/>
      <c r="R668" s="91"/>
      <c r="S668" s="205"/>
      <c r="T668" s="205"/>
    </row>
    <row r="669" spans="7:20" ht="14.25" customHeight="1">
      <c r="G669" s="91"/>
      <c r="H669" s="91"/>
      <c r="I669" s="91"/>
      <c r="J669" s="91"/>
      <c r="K669" s="91"/>
      <c r="L669" s="177"/>
      <c r="M669" s="176"/>
      <c r="N669" s="176"/>
      <c r="O669" s="176"/>
      <c r="P669" s="91"/>
      <c r="Q669" s="91"/>
      <c r="R669" s="91"/>
      <c r="S669" s="205"/>
      <c r="T669" s="205"/>
    </row>
    <row r="670" spans="7:20" ht="14.25" customHeight="1">
      <c r="G670" s="91"/>
      <c r="H670" s="91"/>
      <c r="I670" s="91"/>
      <c r="J670" s="91"/>
      <c r="K670" s="91"/>
      <c r="L670" s="177"/>
      <c r="M670" s="176"/>
      <c r="N670" s="176"/>
      <c r="O670" s="176"/>
      <c r="P670" s="91"/>
      <c r="Q670" s="91"/>
      <c r="R670" s="91"/>
      <c r="S670" s="205"/>
      <c r="T670" s="205"/>
    </row>
    <row r="671" spans="7:20" ht="14.25" customHeight="1">
      <c r="G671" s="91"/>
      <c r="H671" s="91"/>
      <c r="I671" s="91"/>
      <c r="J671" s="91"/>
      <c r="K671" s="91"/>
      <c r="L671" s="177"/>
      <c r="M671" s="176"/>
      <c r="N671" s="176"/>
      <c r="O671" s="176"/>
      <c r="P671" s="91"/>
      <c r="Q671" s="91"/>
      <c r="R671" s="91"/>
      <c r="S671" s="205"/>
      <c r="T671" s="205"/>
    </row>
    <row r="672" spans="7:20" ht="14.25" customHeight="1">
      <c r="G672" s="91"/>
      <c r="H672" s="91"/>
      <c r="I672" s="91"/>
      <c r="J672" s="91"/>
      <c r="K672" s="91"/>
      <c r="L672" s="177"/>
      <c r="M672" s="176"/>
      <c r="N672" s="176"/>
      <c r="O672" s="176"/>
      <c r="P672" s="91"/>
      <c r="Q672" s="91"/>
      <c r="R672" s="91"/>
      <c r="S672" s="205"/>
      <c r="T672" s="205"/>
    </row>
    <row r="673" spans="7:20" ht="14.25" customHeight="1">
      <c r="G673" s="91"/>
      <c r="H673" s="91"/>
      <c r="I673" s="91"/>
      <c r="J673" s="91"/>
      <c r="K673" s="91"/>
      <c r="L673" s="177"/>
      <c r="M673" s="176"/>
      <c r="N673" s="176"/>
      <c r="O673" s="176"/>
      <c r="P673" s="91"/>
      <c r="Q673" s="91"/>
      <c r="R673" s="91"/>
      <c r="S673" s="205"/>
      <c r="T673" s="205"/>
    </row>
    <row r="674" spans="7:20" ht="14.25" customHeight="1">
      <c r="G674" s="91"/>
      <c r="H674" s="91"/>
      <c r="I674" s="91"/>
      <c r="J674" s="91"/>
      <c r="K674" s="91"/>
      <c r="L674" s="177"/>
      <c r="M674" s="176"/>
      <c r="N674" s="176"/>
      <c r="O674" s="176"/>
      <c r="P674" s="91"/>
      <c r="Q674" s="91"/>
      <c r="R674" s="91"/>
      <c r="S674" s="205"/>
      <c r="T674" s="205"/>
    </row>
    <row r="675" spans="7:20" ht="14.25" customHeight="1">
      <c r="G675" s="91"/>
      <c r="H675" s="91"/>
      <c r="I675" s="91"/>
      <c r="J675" s="91"/>
      <c r="K675" s="91"/>
      <c r="L675" s="177"/>
      <c r="M675" s="176"/>
      <c r="N675" s="176"/>
      <c r="O675" s="176"/>
      <c r="P675" s="91"/>
      <c r="Q675" s="91"/>
      <c r="R675" s="91"/>
      <c r="S675" s="205"/>
      <c r="T675" s="205"/>
    </row>
    <row r="676" spans="7:20" ht="14.25" customHeight="1">
      <c r="G676" s="91"/>
      <c r="H676" s="91"/>
      <c r="I676" s="91"/>
      <c r="J676" s="91"/>
      <c r="K676" s="91"/>
      <c r="L676" s="177"/>
      <c r="M676" s="176"/>
      <c r="N676" s="176"/>
      <c r="O676" s="176"/>
      <c r="P676" s="91"/>
      <c r="Q676" s="91"/>
      <c r="R676" s="91"/>
      <c r="S676" s="205"/>
      <c r="T676" s="205"/>
    </row>
    <row r="677" spans="7:20" ht="14.25" customHeight="1">
      <c r="G677" s="91"/>
      <c r="H677" s="91"/>
      <c r="I677" s="91"/>
      <c r="J677" s="91"/>
      <c r="K677" s="91"/>
      <c r="L677" s="177"/>
      <c r="M677" s="176"/>
      <c r="N677" s="176"/>
      <c r="O677" s="176"/>
      <c r="P677" s="91"/>
      <c r="Q677" s="91"/>
      <c r="R677" s="91"/>
      <c r="S677" s="205"/>
      <c r="T677" s="205"/>
    </row>
    <row r="678" spans="7:20" ht="14.25" customHeight="1">
      <c r="G678" s="91"/>
      <c r="H678" s="91"/>
      <c r="I678" s="91"/>
      <c r="J678" s="91"/>
      <c r="K678" s="91"/>
      <c r="L678" s="177"/>
      <c r="M678" s="176"/>
      <c r="N678" s="176"/>
      <c r="O678" s="176"/>
      <c r="P678" s="91"/>
      <c r="Q678" s="91"/>
      <c r="R678" s="91"/>
      <c r="S678" s="205"/>
      <c r="T678" s="205"/>
    </row>
    <row r="679" spans="7:20" ht="14.25" customHeight="1">
      <c r="G679" s="91"/>
      <c r="H679" s="91"/>
      <c r="I679" s="91"/>
      <c r="J679" s="91"/>
      <c r="K679" s="91"/>
      <c r="L679" s="177"/>
      <c r="M679" s="176"/>
      <c r="N679" s="176"/>
      <c r="O679" s="176"/>
      <c r="P679" s="91"/>
      <c r="Q679" s="91"/>
      <c r="R679" s="91"/>
      <c r="S679" s="205"/>
      <c r="T679" s="205"/>
    </row>
    <row r="680" spans="7:20" ht="14.25" customHeight="1">
      <c r="G680" s="91"/>
      <c r="H680" s="91"/>
      <c r="I680" s="91"/>
      <c r="J680" s="91"/>
      <c r="K680" s="91"/>
      <c r="L680" s="177"/>
      <c r="M680" s="176"/>
      <c r="N680" s="176"/>
      <c r="O680" s="176"/>
      <c r="P680" s="91"/>
      <c r="Q680" s="91"/>
      <c r="R680" s="91"/>
      <c r="S680" s="205"/>
      <c r="T680" s="205"/>
    </row>
    <row r="681" spans="7:20" ht="14.25" customHeight="1">
      <c r="G681" s="91"/>
      <c r="H681" s="91"/>
      <c r="I681" s="91"/>
      <c r="J681" s="91"/>
      <c r="K681" s="91"/>
      <c r="L681" s="177"/>
      <c r="M681" s="176"/>
      <c r="N681" s="176"/>
      <c r="O681" s="176"/>
      <c r="P681" s="91"/>
      <c r="Q681" s="91"/>
      <c r="R681" s="91"/>
      <c r="S681" s="205"/>
      <c r="T681" s="205"/>
    </row>
    <row r="682" spans="7:20" ht="14.25" customHeight="1">
      <c r="G682" s="91"/>
      <c r="H682" s="91"/>
      <c r="I682" s="91"/>
      <c r="J682" s="91"/>
      <c r="K682" s="91"/>
      <c r="L682" s="177"/>
      <c r="M682" s="176"/>
      <c r="N682" s="176"/>
      <c r="O682" s="176"/>
      <c r="P682" s="91"/>
      <c r="Q682" s="91"/>
      <c r="R682" s="91"/>
      <c r="S682" s="205"/>
      <c r="T682" s="205"/>
    </row>
    <row r="683" spans="7:20" ht="14.25" customHeight="1">
      <c r="G683" s="91"/>
      <c r="H683" s="91"/>
      <c r="I683" s="91"/>
      <c r="J683" s="91"/>
      <c r="K683" s="91"/>
      <c r="L683" s="177"/>
      <c r="M683" s="176"/>
      <c r="N683" s="176"/>
      <c r="O683" s="176"/>
      <c r="P683" s="91"/>
      <c r="Q683" s="91"/>
      <c r="R683" s="91"/>
      <c r="S683" s="205"/>
      <c r="T683" s="205"/>
    </row>
    <row r="684" spans="7:20" ht="14.25" customHeight="1">
      <c r="G684" s="91"/>
      <c r="H684" s="91"/>
      <c r="I684" s="91"/>
      <c r="J684" s="91"/>
      <c r="K684" s="91"/>
      <c r="L684" s="177"/>
      <c r="M684" s="176"/>
      <c r="N684" s="176"/>
      <c r="O684" s="176"/>
      <c r="P684" s="91"/>
      <c r="Q684" s="91"/>
      <c r="R684" s="91"/>
      <c r="S684" s="205"/>
      <c r="T684" s="205"/>
    </row>
    <row r="685" spans="7:20" ht="14.25" customHeight="1">
      <c r="G685" s="91"/>
      <c r="H685" s="91"/>
      <c r="I685" s="91"/>
      <c r="J685" s="91"/>
      <c r="K685" s="91"/>
      <c r="L685" s="177"/>
      <c r="M685" s="176"/>
      <c r="N685" s="176"/>
      <c r="O685" s="176"/>
      <c r="P685" s="91"/>
      <c r="Q685" s="91"/>
      <c r="R685" s="91"/>
      <c r="S685" s="205"/>
      <c r="T685" s="205"/>
    </row>
    <row r="686" spans="7:20" ht="14.25" customHeight="1">
      <c r="G686" s="91"/>
      <c r="H686" s="91"/>
      <c r="I686" s="91"/>
      <c r="J686" s="91"/>
      <c r="K686" s="91"/>
      <c r="L686" s="177"/>
      <c r="M686" s="176"/>
      <c r="N686" s="176"/>
      <c r="O686" s="176"/>
      <c r="P686" s="91"/>
      <c r="Q686" s="91"/>
      <c r="R686" s="91"/>
      <c r="S686" s="205"/>
      <c r="T686" s="205"/>
    </row>
    <row r="687" spans="7:20" ht="14.25" customHeight="1">
      <c r="G687" s="91"/>
      <c r="H687" s="91"/>
      <c r="I687" s="91"/>
      <c r="J687" s="91"/>
      <c r="K687" s="91"/>
      <c r="L687" s="177"/>
      <c r="M687" s="176"/>
      <c r="N687" s="176"/>
      <c r="O687" s="176"/>
      <c r="P687" s="91"/>
      <c r="Q687" s="91"/>
      <c r="R687" s="91"/>
      <c r="S687" s="205"/>
      <c r="T687" s="205"/>
    </row>
    <row r="688" spans="7:20" ht="14.25" customHeight="1">
      <c r="G688" s="91"/>
      <c r="H688" s="91"/>
      <c r="I688" s="91"/>
      <c r="J688" s="91"/>
      <c r="K688" s="91"/>
      <c r="L688" s="177"/>
      <c r="M688" s="176"/>
      <c r="N688" s="176"/>
      <c r="O688" s="176"/>
      <c r="P688" s="91"/>
      <c r="Q688" s="91"/>
      <c r="R688" s="91"/>
      <c r="S688" s="205"/>
      <c r="T688" s="205"/>
    </row>
    <row r="689" spans="7:20" ht="14.25" customHeight="1">
      <c r="G689" s="91"/>
      <c r="H689" s="91"/>
      <c r="I689" s="91"/>
      <c r="J689" s="91"/>
      <c r="K689" s="91"/>
      <c r="L689" s="177"/>
      <c r="M689" s="176"/>
      <c r="N689" s="176"/>
      <c r="O689" s="176"/>
      <c r="P689" s="91"/>
      <c r="Q689" s="91"/>
      <c r="R689" s="91"/>
      <c r="S689" s="205"/>
      <c r="T689" s="205"/>
    </row>
    <row r="690" spans="7:20" ht="14.25" customHeight="1">
      <c r="G690" s="91"/>
      <c r="H690" s="91"/>
      <c r="I690" s="91"/>
      <c r="J690" s="91"/>
      <c r="K690" s="91"/>
      <c r="L690" s="177"/>
      <c r="M690" s="176"/>
      <c r="N690" s="176"/>
      <c r="O690" s="176"/>
      <c r="P690" s="91"/>
      <c r="Q690" s="91"/>
      <c r="R690" s="91"/>
      <c r="S690" s="205"/>
      <c r="T690" s="205"/>
    </row>
    <row r="691" spans="7:20" ht="14.25" customHeight="1">
      <c r="G691" s="91"/>
      <c r="H691" s="91"/>
      <c r="I691" s="91"/>
      <c r="J691" s="91"/>
      <c r="K691" s="91"/>
      <c r="L691" s="177"/>
      <c r="M691" s="176"/>
      <c r="N691" s="176"/>
      <c r="O691" s="176"/>
      <c r="P691" s="91"/>
      <c r="Q691" s="91"/>
      <c r="R691" s="91"/>
      <c r="S691" s="205"/>
      <c r="T691" s="205"/>
    </row>
    <row r="692" spans="7:20" ht="14.25" customHeight="1">
      <c r="G692" s="91"/>
      <c r="H692" s="91"/>
      <c r="I692" s="91"/>
      <c r="J692" s="91"/>
      <c r="K692" s="91"/>
      <c r="L692" s="177"/>
      <c r="M692" s="176"/>
      <c r="N692" s="176"/>
      <c r="O692" s="176"/>
      <c r="P692" s="91"/>
      <c r="Q692" s="91"/>
      <c r="R692" s="91"/>
      <c r="S692" s="205"/>
      <c r="T692" s="205"/>
    </row>
    <row r="693" spans="7:20" ht="14.25" customHeight="1">
      <c r="G693" s="91"/>
      <c r="H693" s="91"/>
      <c r="I693" s="91"/>
      <c r="J693" s="91"/>
      <c r="K693" s="91"/>
      <c r="L693" s="177"/>
      <c r="M693" s="176"/>
      <c r="N693" s="176"/>
      <c r="O693" s="176"/>
      <c r="P693" s="91"/>
      <c r="Q693" s="91"/>
      <c r="R693" s="91"/>
      <c r="S693" s="205"/>
      <c r="T693" s="205"/>
    </row>
    <row r="694" spans="7:20" ht="14.25" customHeight="1">
      <c r="G694" s="91"/>
      <c r="H694" s="91"/>
      <c r="I694" s="91"/>
      <c r="J694" s="91"/>
      <c r="K694" s="91"/>
      <c r="L694" s="177"/>
      <c r="M694" s="176"/>
      <c r="N694" s="176"/>
      <c r="O694" s="176"/>
      <c r="P694" s="91"/>
      <c r="Q694" s="91"/>
      <c r="R694" s="91"/>
      <c r="S694" s="205"/>
      <c r="T694" s="205"/>
    </row>
    <row r="695" spans="7:20" ht="14.25" customHeight="1">
      <c r="G695" s="91"/>
      <c r="H695" s="91"/>
      <c r="I695" s="91"/>
      <c r="J695" s="91"/>
      <c r="K695" s="91"/>
      <c r="L695" s="177"/>
      <c r="M695" s="176"/>
      <c r="N695" s="176"/>
      <c r="O695" s="176"/>
      <c r="P695" s="91"/>
      <c r="Q695" s="91"/>
      <c r="R695" s="91"/>
      <c r="S695" s="205"/>
      <c r="T695" s="205"/>
    </row>
    <row r="696" spans="7:20" ht="14.25" customHeight="1">
      <c r="G696" s="91"/>
      <c r="H696" s="91"/>
      <c r="I696" s="91"/>
      <c r="J696" s="91"/>
      <c r="K696" s="91"/>
      <c r="L696" s="177"/>
      <c r="M696" s="176"/>
      <c r="N696" s="176"/>
      <c r="O696" s="176"/>
      <c r="P696" s="91"/>
      <c r="Q696" s="91"/>
      <c r="R696" s="91"/>
      <c r="S696" s="205"/>
      <c r="T696" s="205"/>
    </row>
    <row r="697" spans="7:20" ht="14.25" customHeight="1">
      <c r="G697" s="91"/>
      <c r="H697" s="91"/>
      <c r="I697" s="91"/>
      <c r="J697" s="91"/>
      <c r="K697" s="91"/>
      <c r="L697" s="177"/>
      <c r="M697" s="176"/>
      <c r="N697" s="176"/>
      <c r="O697" s="176"/>
      <c r="P697" s="91"/>
      <c r="Q697" s="91"/>
      <c r="R697" s="91"/>
      <c r="S697" s="205"/>
      <c r="T697" s="205"/>
    </row>
    <row r="698" spans="7:20" ht="14.25" customHeight="1">
      <c r="G698" s="91"/>
      <c r="H698" s="91"/>
      <c r="I698" s="91"/>
      <c r="J698" s="91"/>
      <c r="K698" s="91"/>
      <c r="L698" s="177"/>
      <c r="M698" s="176"/>
      <c r="N698" s="176"/>
      <c r="O698" s="176"/>
      <c r="P698" s="91"/>
      <c r="Q698" s="91"/>
      <c r="R698" s="91"/>
      <c r="S698" s="205"/>
      <c r="T698" s="205"/>
    </row>
    <row r="699" spans="7:20" ht="14.25" customHeight="1">
      <c r="G699" s="91"/>
      <c r="H699" s="91"/>
      <c r="I699" s="91"/>
      <c r="J699" s="91"/>
      <c r="K699" s="91"/>
      <c r="L699" s="177"/>
      <c r="M699" s="176"/>
      <c r="N699" s="176"/>
      <c r="O699" s="176"/>
      <c r="P699" s="91"/>
      <c r="Q699" s="91"/>
      <c r="R699" s="91"/>
      <c r="S699" s="205"/>
      <c r="T699" s="205"/>
    </row>
    <row r="700" spans="7:20" ht="14.25" customHeight="1">
      <c r="G700" s="91"/>
      <c r="H700" s="91"/>
      <c r="I700" s="91"/>
      <c r="J700" s="91"/>
      <c r="K700" s="91"/>
      <c r="L700" s="177"/>
      <c r="M700" s="176"/>
      <c r="N700" s="176"/>
      <c r="O700" s="176"/>
      <c r="P700" s="91"/>
      <c r="Q700" s="91"/>
      <c r="R700" s="91"/>
      <c r="S700" s="205"/>
      <c r="T700" s="205"/>
    </row>
    <row r="701" spans="7:20" ht="14.25" customHeight="1">
      <c r="G701" s="91"/>
      <c r="H701" s="91"/>
      <c r="I701" s="91"/>
      <c r="J701" s="91"/>
      <c r="K701" s="91"/>
      <c r="L701" s="177"/>
      <c r="M701" s="176"/>
      <c r="N701" s="176"/>
      <c r="O701" s="176"/>
      <c r="P701" s="91"/>
      <c r="Q701" s="91"/>
      <c r="R701" s="91"/>
      <c r="S701" s="205"/>
      <c r="T701" s="205"/>
    </row>
    <row r="702" spans="7:20" ht="14.25" customHeight="1">
      <c r="G702" s="91"/>
      <c r="H702" s="91"/>
      <c r="I702" s="91"/>
      <c r="J702" s="91"/>
      <c r="K702" s="91"/>
      <c r="L702" s="177"/>
      <c r="M702" s="176"/>
      <c r="N702" s="176"/>
      <c r="O702" s="176"/>
      <c r="P702" s="91"/>
      <c r="Q702" s="91"/>
      <c r="R702" s="91"/>
      <c r="S702" s="205"/>
      <c r="T702" s="205"/>
    </row>
    <row r="703" spans="7:20" ht="14.25" customHeight="1">
      <c r="G703" s="91"/>
      <c r="H703" s="91"/>
      <c r="I703" s="91"/>
      <c r="J703" s="91"/>
      <c r="K703" s="91"/>
      <c r="L703" s="177"/>
      <c r="M703" s="176"/>
      <c r="N703" s="176"/>
      <c r="O703" s="176"/>
      <c r="P703" s="91"/>
      <c r="Q703" s="91"/>
      <c r="R703" s="91"/>
      <c r="S703" s="205"/>
      <c r="T703" s="205"/>
    </row>
    <row r="704" spans="7:20" ht="14.25" customHeight="1">
      <c r="G704" s="91"/>
      <c r="H704" s="91"/>
      <c r="I704" s="91"/>
      <c r="J704" s="91"/>
      <c r="K704" s="91"/>
      <c r="L704" s="177"/>
      <c r="M704" s="176"/>
      <c r="N704" s="176"/>
      <c r="O704" s="176"/>
      <c r="P704" s="91"/>
      <c r="Q704" s="91"/>
      <c r="R704" s="91"/>
      <c r="S704" s="205"/>
      <c r="T704" s="205"/>
    </row>
    <row r="705" spans="7:20" ht="14.25" customHeight="1">
      <c r="G705" s="91"/>
      <c r="H705" s="91"/>
      <c r="I705" s="91"/>
      <c r="J705" s="91"/>
      <c r="K705" s="91"/>
      <c r="L705" s="177"/>
      <c r="M705" s="176"/>
      <c r="N705" s="176"/>
      <c r="O705" s="176"/>
      <c r="P705" s="91"/>
      <c r="Q705" s="91"/>
      <c r="R705" s="91"/>
      <c r="S705" s="205"/>
      <c r="T705" s="205"/>
    </row>
    <row r="706" spans="7:20" ht="14.25" customHeight="1">
      <c r="G706" s="91"/>
      <c r="H706" s="91"/>
      <c r="I706" s="91"/>
      <c r="J706" s="91"/>
      <c r="K706" s="91"/>
      <c r="L706" s="177"/>
      <c r="M706" s="176"/>
      <c r="N706" s="176"/>
      <c r="O706" s="176"/>
      <c r="P706" s="91"/>
      <c r="Q706" s="91"/>
      <c r="R706" s="91"/>
      <c r="S706" s="205"/>
      <c r="T706" s="205"/>
    </row>
    <row r="707" spans="7:20" ht="14.25" customHeight="1">
      <c r="G707" s="91"/>
      <c r="H707" s="91"/>
      <c r="I707" s="91"/>
      <c r="J707" s="91"/>
      <c r="K707" s="91"/>
      <c r="L707" s="177"/>
      <c r="M707" s="176"/>
      <c r="N707" s="176"/>
      <c r="O707" s="176"/>
      <c r="P707" s="91"/>
      <c r="Q707" s="91"/>
      <c r="R707" s="91"/>
      <c r="S707" s="205"/>
      <c r="T707" s="205"/>
    </row>
    <row r="708" spans="7:20" ht="14.25" customHeight="1">
      <c r="G708" s="91"/>
      <c r="H708" s="91"/>
      <c r="I708" s="91"/>
      <c r="J708" s="91"/>
      <c r="K708" s="91"/>
      <c r="L708" s="177"/>
      <c r="M708" s="176"/>
      <c r="N708" s="176"/>
      <c r="O708" s="176"/>
      <c r="P708" s="91"/>
      <c r="Q708" s="91"/>
      <c r="R708" s="91"/>
      <c r="S708" s="205"/>
      <c r="T708" s="205"/>
    </row>
    <row r="709" spans="7:20" ht="14.25" customHeight="1">
      <c r="G709" s="91"/>
      <c r="H709" s="91"/>
      <c r="I709" s="91"/>
      <c r="J709" s="91"/>
      <c r="K709" s="91"/>
      <c r="L709" s="177"/>
      <c r="M709" s="176"/>
      <c r="N709" s="176"/>
      <c r="O709" s="176"/>
      <c r="P709" s="91"/>
      <c r="Q709" s="91"/>
      <c r="R709" s="91"/>
      <c r="S709" s="205"/>
      <c r="T709" s="205"/>
    </row>
    <row r="710" spans="7:20" ht="14.25" customHeight="1">
      <c r="G710" s="91"/>
      <c r="H710" s="91"/>
      <c r="I710" s="91"/>
      <c r="J710" s="91"/>
      <c r="K710" s="91"/>
      <c r="L710" s="177"/>
      <c r="M710" s="176"/>
      <c r="N710" s="176"/>
      <c r="O710" s="176"/>
      <c r="P710" s="91"/>
      <c r="Q710" s="91"/>
      <c r="R710" s="91"/>
      <c r="S710" s="205"/>
      <c r="T710" s="205"/>
    </row>
    <row r="711" spans="7:20" ht="14.25" customHeight="1">
      <c r="G711" s="91"/>
      <c r="H711" s="91"/>
      <c r="I711" s="91"/>
      <c r="J711" s="91"/>
      <c r="K711" s="91"/>
      <c r="L711" s="177"/>
      <c r="M711" s="176"/>
      <c r="N711" s="176"/>
      <c r="O711" s="176"/>
      <c r="P711" s="91"/>
      <c r="Q711" s="91"/>
      <c r="R711" s="91"/>
      <c r="S711" s="205"/>
      <c r="T711" s="205"/>
    </row>
    <row r="712" spans="7:20" ht="14.25" customHeight="1">
      <c r="G712" s="91"/>
      <c r="H712" s="91"/>
      <c r="I712" s="91"/>
      <c r="J712" s="91"/>
      <c r="K712" s="91"/>
      <c r="L712" s="177"/>
      <c r="M712" s="176"/>
      <c r="N712" s="176"/>
      <c r="O712" s="176"/>
      <c r="P712" s="91"/>
      <c r="Q712" s="91"/>
      <c r="R712" s="91"/>
      <c r="S712" s="205"/>
      <c r="T712" s="205"/>
    </row>
    <row r="713" spans="7:20" ht="14.25" customHeight="1">
      <c r="G713" s="91"/>
      <c r="H713" s="91"/>
      <c r="I713" s="91"/>
      <c r="J713" s="91"/>
      <c r="K713" s="91"/>
      <c r="L713" s="177"/>
      <c r="M713" s="176"/>
      <c r="N713" s="176"/>
      <c r="O713" s="176"/>
      <c r="P713" s="91"/>
      <c r="Q713" s="91"/>
      <c r="R713" s="91"/>
      <c r="S713" s="205"/>
      <c r="T713" s="205"/>
    </row>
    <row r="714" spans="7:20" ht="14.25" customHeight="1">
      <c r="G714" s="91"/>
      <c r="H714" s="91"/>
      <c r="I714" s="91"/>
      <c r="J714" s="91"/>
      <c r="K714" s="91"/>
      <c r="L714" s="177"/>
      <c r="M714" s="176"/>
      <c r="N714" s="176"/>
      <c r="O714" s="176"/>
      <c r="P714" s="91"/>
      <c r="Q714" s="91"/>
      <c r="R714" s="91"/>
      <c r="S714" s="205"/>
      <c r="T714" s="205"/>
    </row>
    <row r="715" spans="7:20" ht="14.25" customHeight="1">
      <c r="G715" s="91"/>
      <c r="H715" s="91"/>
      <c r="I715" s="91"/>
      <c r="J715" s="91"/>
      <c r="K715" s="91"/>
      <c r="L715" s="177"/>
      <c r="M715" s="176"/>
      <c r="N715" s="176"/>
      <c r="O715" s="176"/>
      <c r="P715" s="91"/>
      <c r="Q715" s="91"/>
      <c r="R715" s="91"/>
      <c r="S715" s="205"/>
      <c r="T715" s="205"/>
    </row>
    <row r="716" spans="7:20" ht="14.25" customHeight="1">
      <c r="G716" s="91"/>
      <c r="H716" s="91"/>
      <c r="I716" s="91"/>
      <c r="J716" s="91"/>
      <c r="K716" s="91"/>
      <c r="L716" s="177"/>
      <c r="M716" s="176"/>
      <c r="N716" s="176"/>
      <c r="O716" s="176"/>
      <c r="P716" s="91"/>
      <c r="Q716" s="91"/>
      <c r="R716" s="91"/>
      <c r="S716" s="205"/>
      <c r="T716" s="205"/>
    </row>
    <row r="717" spans="7:20" ht="14.25" customHeight="1">
      <c r="G717" s="91"/>
      <c r="H717" s="91"/>
      <c r="I717" s="91"/>
      <c r="J717" s="91"/>
      <c r="K717" s="91"/>
      <c r="L717" s="177"/>
      <c r="M717" s="176"/>
      <c r="N717" s="176"/>
      <c r="O717" s="176"/>
      <c r="P717" s="91"/>
      <c r="Q717" s="91"/>
      <c r="R717" s="91"/>
      <c r="S717" s="205"/>
      <c r="T717" s="205"/>
    </row>
    <row r="718" spans="7:20" ht="14.25" customHeight="1">
      <c r="G718" s="91"/>
      <c r="H718" s="91"/>
      <c r="I718" s="91"/>
      <c r="J718" s="91"/>
      <c r="K718" s="91"/>
      <c r="L718" s="177"/>
      <c r="M718" s="176"/>
      <c r="N718" s="176"/>
      <c r="O718" s="176"/>
      <c r="P718" s="91"/>
      <c r="Q718" s="91"/>
      <c r="R718" s="91"/>
      <c r="S718" s="205"/>
      <c r="T718" s="205"/>
    </row>
    <row r="719" spans="7:20" ht="14.25" customHeight="1">
      <c r="G719" s="91"/>
      <c r="H719" s="91"/>
      <c r="I719" s="91"/>
      <c r="J719" s="91"/>
      <c r="K719" s="91"/>
      <c r="L719" s="177"/>
      <c r="M719" s="176"/>
      <c r="N719" s="176"/>
      <c r="O719" s="176"/>
      <c r="P719" s="91"/>
      <c r="Q719" s="91"/>
      <c r="R719" s="91"/>
      <c r="S719" s="205"/>
      <c r="T719" s="205"/>
    </row>
    <row r="720" spans="7:20" ht="14.25" customHeight="1">
      <c r="G720" s="91"/>
      <c r="H720" s="91"/>
      <c r="I720" s="91"/>
      <c r="J720" s="91"/>
      <c r="K720" s="91"/>
      <c r="L720" s="177"/>
      <c r="M720" s="176"/>
      <c r="N720" s="176"/>
      <c r="O720" s="176"/>
      <c r="P720" s="91"/>
      <c r="Q720" s="91"/>
      <c r="R720" s="91"/>
      <c r="S720" s="205"/>
      <c r="T720" s="205"/>
    </row>
    <row r="721" spans="7:20" ht="14.25" customHeight="1">
      <c r="G721" s="91"/>
      <c r="H721" s="91"/>
      <c r="I721" s="91"/>
      <c r="J721" s="91"/>
      <c r="K721" s="91"/>
      <c r="L721" s="177"/>
      <c r="M721" s="176"/>
      <c r="N721" s="176"/>
      <c r="O721" s="176"/>
      <c r="P721" s="91"/>
      <c r="Q721" s="91"/>
      <c r="R721" s="91"/>
      <c r="S721" s="205"/>
      <c r="T721" s="205"/>
    </row>
    <row r="722" spans="7:20" ht="14.25" customHeight="1">
      <c r="G722" s="91"/>
      <c r="H722" s="91"/>
      <c r="I722" s="91"/>
      <c r="J722" s="91"/>
      <c r="K722" s="91"/>
      <c r="L722" s="177"/>
      <c r="M722" s="176"/>
      <c r="N722" s="176"/>
      <c r="O722" s="176"/>
      <c r="P722" s="91"/>
      <c r="Q722" s="91"/>
      <c r="R722" s="91"/>
      <c r="S722" s="205"/>
      <c r="T722" s="205"/>
    </row>
    <row r="723" spans="7:20" ht="14.25" customHeight="1">
      <c r="G723" s="91"/>
      <c r="H723" s="91"/>
      <c r="I723" s="91"/>
      <c r="J723" s="91"/>
      <c r="K723" s="91"/>
      <c r="L723" s="177"/>
      <c r="M723" s="176"/>
      <c r="N723" s="176"/>
      <c r="O723" s="176"/>
      <c r="P723" s="91"/>
      <c r="Q723" s="91"/>
      <c r="R723" s="91"/>
      <c r="S723" s="205"/>
      <c r="T723" s="205"/>
    </row>
    <row r="724" spans="7:20" ht="14.25" customHeight="1">
      <c r="G724" s="91"/>
      <c r="H724" s="91"/>
      <c r="I724" s="91"/>
      <c r="J724" s="91"/>
      <c r="K724" s="91"/>
      <c r="L724" s="177"/>
      <c r="M724" s="176"/>
      <c r="N724" s="176"/>
      <c r="O724" s="176"/>
      <c r="P724" s="91"/>
      <c r="Q724" s="91"/>
      <c r="R724" s="91"/>
      <c r="S724" s="205"/>
      <c r="T724" s="205"/>
    </row>
    <row r="725" spans="7:20" ht="14.25" customHeight="1">
      <c r="G725" s="91"/>
      <c r="H725" s="91"/>
      <c r="I725" s="91"/>
      <c r="J725" s="91"/>
      <c r="K725" s="91"/>
      <c r="L725" s="177"/>
      <c r="M725" s="176"/>
      <c r="N725" s="176"/>
      <c r="O725" s="176"/>
      <c r="P725" s="91"/>
      <c r="Q725" s="91"/>
      <c r="R725" s="91"/>
      <c r="S725" s="205"/>
      <c r="T725" s="205"/>
    </row>
    <row r="726" spans="7:20" ht="14.25" customHeight="1">
      <c r="G726" s="91"/>
      <c r="H726" s="91"/>
      <c r="I726" s="91"/>
      <c r="J726" s="91"/>
      <c r="K726" s="91"/>
      <c r="L726" s="177"/>
      <c r="M726" s="176"/>
      <c r="N726" s="176"/>
      <c r="O726" s="176"/>
      <c r="P726" s="91"/>
      <c r="Q726" s="91"/>
      <c r="R726" s="91"/>
      <c r="S726" s="205"/>
      <c r="T726" s="205"/>
    </row>
    <row r="727" spans="7:20" ht="14.25" customHeight="1">
      <c r="G727" s="91"/>
      <c r="H727" s="91"/>
      <c r="I727" s="91"/>
      <c r="J727" s="91"/>
      <c r="K727" s="91"/>
      <c r="L727" s="177"/>
      <c r="M727" s="176"/>
      <c r="N727" s="176"/>
      <c r="O727" s="176"/>
      <c r="P727" s="91"/>
      <c r="Q727" s="91"/>
      <c r="R727" s="91"/>
      <c r="S727" s="205"/>
      <c r="T727" s="205"/>
    </row>
    <row r="728" spans="7:20" ht="14.25" customHeight="1">
      <c r="G728" s="91"/>
      <c r="H728" s="91"/>
      <c r="I728" s="91"/>
      <c r="J728" s="91"/>
      <c r="K728" s="91"/>
      <c r="L728" s="177"/>
      <c r="M728" s="176"/>
      <c r="N728" s="176"/>
      <c r="O728" s="176"/>
      <c r="P728" s="91"/>
      <c r="Q728" s="91"/>
      <c r="R728" s="91"/>
      <c r="S728" s="205"/>
      <c r="T728" s="205"/>
    </row>
    <row r="729" spans="7:20" ht="14.25" customHeight="1">
      <c r="G729" s="91"/>
      <c r="H729" s="91"/>
      <c r="I729" s="91"/>
      <c r="J729" s="91"/>
      <c r="K729" s="91"/>
      <c r="L729" s="177"/>
      <c r="M729" s="176"/>
      <c r="N729" s="176"/>
      <c r="O729" s="176"/>
      <c r="P729" s="91"/>
      <c r="Q729" s="91"/>
      <c r="R729" s="91"/>
      <c r="S729" s="205"/>
      <c r="T729" s="205"/>
    </row>
    <row r="730" spans="7:20" ht="14.25" customHeight="1">
      <c r="G730" s="91"/>
      <c r="H730" s="91"/>
      <c r="I730" s="91"/>
      <c r="J730" s="91"/>
      <c r="K730" s="91"/>
      <c r="L730" s="177"/>
      <c r="M730" s="176"/>
      <c r="N730" s="176"/>
      <c r="O730" s="176"/>
      <c r="P730" s="91"/>
      <c r="Q730" s="91"/>
      <c r="R730" s="91"/>
      <c r="S730" s="205"/>
      <c r="T730" s="205"/>
    </row>
    <row r="731" spans="7:20" ht="14.25" customHeight="1">
      <c r="G731" s="91"/>
      <c r="H731" s="91"/>
      <c r="I731" s="91"/>
      <c r="J731" s="91"/>
      <c r="K731" s="91"/>
      <c r="L731" s="177"/>
      <c r="M731" s="176"/>
      <c r="N731" s="176"/>
      <c r="O731" s="176"/>
      <c r="P731" s="91"/>
      <c r="Q731" s="91"/>
      <c r="R731" s="91"/>
      <c r="S731" s="205"/>
      <c r="T731" s="205"/>
    </row>
    <row r="732" spans="7:20" ht="14.25" customHeight="1">
      <c r="G732" s="91"/>
      <c r="H732" s="91"/>
      <c r="I732" s="91"/>
      <c r="J732" s="91"/>
      <c r="K732" s="91"/>
      <c r="L732" s="177"/>
      <c r="M732" s="176"/>
      <c r="N732" s="176"/>
      <c r="O732" s="176"/>
      <c r="P732" s="91"/>
      <c r="Q732" s="91"/>
      <c r="R732" s="91"/>
      <c r="S732" s="205"/>
      <c r="T732" s="205"/>
    </row>
    <row r="733" spans="7:20" ht="14.25" customHeight="1">
      <c r="G733" s="91"/>
      <c r="H733" s="91"/>
      <c r="I733" s="91"/>
      <c r="J733" s="91"/>
      <c r="K733" s="91"/>
      <c r="L733" s="177"/>
      <c r="M733" s="176"/>
      <c r="N733" s="176"/>
      <c r="O733" s="176"/>
      <c r="P733" s="91"/>
      <c r="Q733" s="91"/>
      <c r="R733" s="91"/>
      <c r="S733" s="205"/>
      <c r="T733" s="205"/>
    </row>
    <row r="734" spans="7:20" ht="14.25" customHeight="1">
      <c r="G734" s="91"/>
      <c r="H734" s="91"/>
      <c r="I734" s="91"/>
      <c r="J734" s="91"/>
      <c r="K734" s="91"/>
      <c r="L734" s="177"/>
      <c r="M734" s="176"/>
      <c r="N734" s="176"/>
      <c r="O734" s="176"/>
      <c r="P734" s="91"/>
      <c r="Q734" s="91"/>
      <c r="R734" s="91"/>
      <c r="S734" s="205"/>
      <c r="T734" s="205"/>
    </row>
    <row r="735" spans="7:20" ht="14.25" customHeight="1">
      <c r="G735" s="91"/>
      <c r="H735" s="91"/>
      <c r="I735" s="91"/>
      <c r="J735" s="91"/>
      <c r="K735" s="91"/>
      <c r="L735" s="177"/>
      <c r="M735" s="176"/>
      <c r="N735" s="176"/>
      <c r="O735" s="176"/>
      <c r="P735" s="91"/>
      <c r="Q735" s="91"/>
      <c r="R735" s="91"/>
      <c r="S735" s="205"/>
      <c r="T735" s="205"/>
    </row>
    <row r="736" spans="7:20" ht="14.25" customHeight="1">
      <c r="G736" s="91"/>
      <c r="H736" s="91"/>
      <c r="I736" s="91"/>
      <c r="J736" s="91"/>
      <c r="K736" s="91"/>
      <c r="L736" s="177"/>
      <c r="M736" s="176"/>
      <c r="N736" s="176"/>
      <c r="O736" s="176"/>
      <c r="P736" s="91"/>
      <c r="Q736" s="91"/>
      <c r="R736" s="91"/>
      <c r="S736" s="205"/>
      <c r="T736" s="205"/>
    </row>
    <row r="737" spans="7:20" ht="14.25" customHeight="1">
      <c r="G737" s="91"/>
      <c r="H737" s="91"/>
      <c r="I737" s="91"/>
      <c r="J737" s="91"/>
      <c r="K737" s="91"/>
      <c r="L737" s="177"/>
      <c r="M737" s="176"/>
      <c r="N737" s="176"/>
      <c r="O737" s="176"/>
      <c r="P737" s="91"/>
      <c r="Q737" s="91"/>
      <c r="R737" s="91"/>
      <c r="S737" s="205"/>
      <c r="T737" s="205"/>
    </row>
    <row r="738" spans="7:20" ht="14.25" customHeight="1">
      <c r="G738" s="91"/>
      <c r="H738" s="91"/>
      <c r="I738" s="91"/>
      <c r="J738" s="91"/>
      <c r="K738" s="91"/>
      <c r="L738" s="177"/>
      <c r="M738" s="176"/>
      <c r="N738" s="176"/>
      <c r="O738" s="176"/>
      <c r="P738" s="91"/>
      <c r="Q738" s="91"/>
      <c r="R738" s="91"/>
      <c r="S738" s="205"/>
      <c r="T738" s="205"/>
    </row>
    <row r="739" spans="7:20" ht="14.25" customHeight="1">
      <c r="G739" s="91"/>
      <c r="H739" s="91"/>
      <c r="I739" s="91"/>
      <c r="J739" s="91"/>
      <c r="K739" s="91"/>
      <c r="L739" s="177"/>
      <c r="M739" s="176"/>
      <c r="N739" s="176"/>
      <c r="O739" s="176"/>
      <c r="P739" s="91"/>
      <c r="Q739" s="91"/>
      <c r="R739" s="91"/>
      <c r="S739" s="205"/>
      <c r="T739" s="205"/>
    </row>
    <row r="740" spans="7:20" ht="14.25" customHeight="1">
      <c r="G740" s="91"/>
      <c r="H740" s="91"/>
      <c r="I740" s="91"/>
      <c r="J740" s="91"/>
      <c r="K740" s="91"/>
      <c r="L740" s="177"/>
      <c r="M740" s="176"/>
      <c r="N740" s="176"/>
      <c r="O740" s="176"/>
      <c r="P740" s="91"/>
      <c r="Q740" s="91"/>
      <c r="R740" s="91"/>
      <c r="S740" s="205"/>
      <c r="T740" s="205"/>
    </row>
    <row r="741" spans="7:20" ht="14.25" customHeight="1">
      <c r="G741" s="91"/>
      <c r="H741" s="91"/>
      <c r="I741" s="91"/>
      <c r="J741" s="91"/>
      <c r="K741" s="91"/>
      <c r="L741" s="177"/>
      <c r="M741" s="176"/>
      <c r="N741" s="176"/>
      <c r="O741" s="176"/>
      <c r="P741" s="91"/>
      <c r="Q741" s="91"/>
      <c r="R741" s="91"/>
      <c r="S741" s="205"/>
      <c r="T741" s="205"/>
    </row>
    <row r="742" spans="7:20" ht="14.25" customHeight="1">
      <c r="G742" s="91"/>
      <c r="H742" s="91"/>
      <c r="I742" s="91"/>
      <c r="J742" s="91"/>
      <c r="K742" s="91"/>
      <c r="L742" s="177"/>
      <c r="M742" s="176"/>
      <c r="N742" s="176"/>
      <c r="O742" s="176"/>
      <c r="P742" s="91"/>
      <c r="Q742" s="91"/>
      <c r="R742" s="91"/>
      <c r="S742" s="205"/>
      <c r="T742" s="205"/>
    </row>
    <row r="743" spans="7:20" ht="14.25" customHeight="1">
      <c r="G743" s="91"/>
      <c r="H743" s="91"/>
      <c r="I743" s="91"/>
      <c r="J743" s="91"/>
      <c r="K743" s="91"/>
      <c r="L743" s="177"/>
      <c r="M743" s="176"/>
      <c r="N743" s="176"/>
      <c r="O743" s="176"/>
      <c r="P743" s="91"/>
      <c r="Q743" s="91"/>
      <c r="R743" s="91"/>
      <c r="S743" s="205"/>
      <c r="T743" s="205"/>
    </row>
    <row r="744" spans="7:20" ht="14.25" customHeight="1">
      <c r="G744" s="91"/>
      <c r="H744" s="91"/>
      <c r="I744" s="91"/>
      <c r="J744" s="91"/>
      <c r="K744" s="91"/>
      <c r="L744" s="177"/>
      <c r="M744" s="176"/>
      <c r="N744" s="176"/>
      <c r="O744" s="176"/>
      <c r="P744" s="91"/>
      <c r="Q744" s="91"/>
      <c r="R744" s="91"/>
      <c r="S744" s="205"/>
      <c r="T744" s="205"/>
    </row>
    <row r="745" spans="7:20" ht="14.25" customHeight="1">
      <c r="G745" s="91"/>
      <c r="H745" s="91"/>
      <c r="I745" s="91"/>
      <c r="J745" s="91"/>
      <c r="K745" s="91"/>
      <c r="L745" s="177"/>
      <c r="M745" s="176"/>
      <c r="N745" s="176"/>
      <c r="O745" s="176"/>
      <c r="P745" s="91"/>
      <c r="Q745" s="91"/>
      <c r="R745" s="91"/>
      <c r="S745" s="205"/>
      <c r="T745" s="205"/>
    </row>
    <row r="746" spans="7:20" ht="14.25" customHeight="1">
      <c r="G746" s="91"/>
      <c r="H746" s="91"/>
      <c r="I746" s="91"/>
      <c r="J746" s="91"/>
      <c r="K746" s="91"/>
      <c r="L746" s="177"/>
      <c r="M746" s="176"/>
      <c r="N746" s="176"/>
      <c r="O746" s="176"/>
      <c r="P746" s="91"/>
      <c r="Q746" s="91"/>
      <c r="R746" s="91"/>
      <c r="S746" s="205"/>
      <c r="T746" s="205"/>
    </row>
    <row r="747" spans="7:20" ht="14.25" customHeight="1">
      <c r="G747" s="91"/>
      <c r="H747" s="91"/>
      <c r="I747" s="91"/>
      <c r="J747" s="91"/>
      <c r="K747" s="91"/>
      <c r="L747" s="177"/>
      <c r="M747" s="176"/>
      <c r="N747" s="176"/>
      <c r="O747" s="176"/>
      <c r="P747" s="91"/>
      <c r="Q747" s="91"/>
      <c r="R747" s="91"/>
      <c r="S747" s="205"/>
      <c r="T747" s="205"/>
    </row>
    <row r="748" spans="7:20" ht="14.25" customHeight="1">
      <c r="G748" s="91"/>
      <c r="H748" s="91"/>
      <c r="I748" s="91"/>
      <c r="J748" s="91"/>
      <c r="K748" s="91"/>
      <c r="L748" s="177"/>
      <c r="M748" s="176"/>
      <c r="N748" s="176"/>
      <c r="O748" s="176"/>
      <c r="P748" s="91"/>
      <c r="Q748" s="91"/>
      <c r="R748" s="91"/>
      <c r="S748" s="205"/>
      <c r="T748" s="205"/>
    </row>
    <row r="749" spans="7:20" ht="14.25" customHeight="1">
      <c r="G749" s="91"/>
      <c r="H749" s="91"/>
      <c r="I749" s="91"/>
      <c r="J749" s="91"/>
      <c r="K749" s="91"/>
      <c r="L749" s="177"/>
      <c r="M749" s="176"/>
      <c r="N749" s="176"/>
      <c r="O749" s="176"/>
      <c r="P749" s="91"/>
      <c r="Q749" s="91"/>
      <c r="R749" s="91"/>
      <c r="S749" s="205"/>
      <c r="T749" s="205"/>
    </row>
    <row r="750" spans="7:20" ht="14.25" customHeight="1">
      <c r="G750" s="91"/>
      <c r="H750" s="91"/>
      <c r="I750" s="91"/>
      <c r="J750" s="91"/>
      <c r="K750" s="91"/>
      <c r="L750" s="177"/>
      <c r="M750" s="176"/>
      <c r="N750" s="176"/>
      <c r="O750" s="176"/>
      <c r="P750" s="91"/>
      <c r="Q750" s="91"/>
      <c r="R750" s="91"/>
      <c r="S750" s="205"/>
      <c r="T750" s="205"/>
    </row>
    <row r="751" spans="7:20" ht="14.25" customHeight="1">
      <c r="G751" s="91"/>
      <c r="H751" s="91"/>
      <c r="I751" s="91"/>
      <c r="J751" s="91"/>
      <c r="K751" s="91"/>
      <c r="L751" s="177"/>
      <c r="M751" s="176"/>
      <c r="N751" s="176"/>
      <c r="O751" s="176"/>
      <c r="P751" s="91"/>
      <c r="Q751" s="91"/>
      <c r="R751" s="91"/>
      <c r="S751" s="205"/>
      <c r="T751" s="205"/>
    </row>
    <row r="752" spans="7:20" ht="14.25" customHeight="1">
      <c r="G752" s="91"/>
      <c r="H752" s="91"/>
      <c r="I752" s="91"/>
      <c r="J752" s="91"/>
      <c r="K752" s="91"/>
      <c r="L752" s="177"/>
      <c r="M752" s="176"/>
      <c r="N752" s="176"/>
      <c r="O752" s="176"/>
      <c r="P752" s="91"/>
      <c r="Q752" s="91"/>
      <c r="R752" s="91"/>
      <c r="S752" s="205"/>
      <c r="T752" s="205"/>
    </row>
    <row r="753" spans="7:20" ht="14.25" customHeight="1">
      <c r="G753" s="91"/>
      <c r="H753" s="91"/>
      <c r="I753" s="91"/>
      <c r="J753" s="91"/>
      <c r="K753" s="91"/>
      <c r="L753" s="177"/>
      <c r="M753" s="176"/>
      <c r="N753" s="176"/>
      <c r="O753" s="176"/>
      <c r="P753" s="91"/>
      <c r="Q753" s="91"/>
      <c r="R753" s="91"/>
      <c r="S753" s="205"/>
      <c r="T753" s="205"/>
    </row>
    <row r="754" spans="7:20" ht="14.25" customHeight="1">
      <c r="G754" s="91"/>
      <c r="H754" s="91"/>
      <c r="I754" s="91"/>
      <c r="J754" s="91"/>
      <c r="K754" s="91"/>
      <c r="L754" s="177"/>
      <c r="M754" s="176"/>
      <c r="N754" s="176"/>
      <c r="O754" s="176"/>
      <c r="P754" s="91"/>
      <c r="Q754" s="91"/>
      <c r="R754" s="91"/>
      <c r="S754" s="205"/>
      <c r="T754" s="205"/>
    </row>
    <row r="755" spans="7:20" ht="14.25" customHeight="1">
      <c r="G755" s="91"/>
      <c r="H755" s="91"/>
      <c r="I755" s="91"/>
      <c r="J755" s="91"/>
      <c r="K755" s="91"/>
      <c r="L755" s="177"/>
      <c r="M755" s="176"/>
      <c r="N755" s="176"/>
      <c r="O755" s="176"/>
      <c r="P755" s="91"/>
      <c r="Q755" s="91"/>
      <c r="R755" s="91"/>
      <c r="S755" s="205"/>
      <c r="T755" s="205"/>
    </row>
    <row r="756" spans="7:20" ht="14.25" customHeight="1">
      <c r="G756" s="91"/>
      <c r="H756" s="91"/>
      <c r="I756" s="91"/>
      <c r="J756" s="91"/>
      <c r="K756" s="91"/>
      <c r="L756" s="177"/>
      <c r="M756" s="176"/>
      <c r="N756" s="176"/>
      <c r="O756" s="176"/>
      <c r="P756" s="91"/>
      <c r="Q756" s="91"/>
      <c r="R756" s="91"/>
      <c r="S756" s="205"/>
      <c r="T756" s="205"/>
    </row>
    <row r="757" spans="7:20" ht="14.25" customHeight="1">
      <c r="G757" s="91"/>
      <c r="H757" s="91"/>
      <c r="I757" s="91"/>
      <c r="J757" s="91"/>
      <c r="K757" s="91"/>
      <c r="L757" s="177"/>
      <c r="M757" s="176"/>
      <c r="N757" s="176"/>
      <c r="O757" s="176"/>
      <c r="P757" s="91"/>
      <c r="Q757" s="91"/>
      <c r="R757" s="91"/>
      <c r="S757" s="205"/>
      <c r="T757" s="205"/>
    </row>
    <row r="758" spans="7:20" ht="14.25" customHeight="1">
      <c r="G758" s="91"/>
      <c r="H758" s="91"/>
      <c r="I758" s="91"/>
      <c r="J758" s="91"/>
      <c r="K758" s="91"/>
      <c r="L758" s="177"/>
      <c r="M758" s="176"/>
      <c r="N758" s="176"/>
      <c r="O758" s="176"/>
      <c r="P758" s="91"/>
      <c r="Q758" s="91"/>
      <c r="R758" s="91"/>
      <c r="S758" s="205"/>
      <c r="T758" s="205"/>
    </row>
    <row r="759" spans="7:20" ht="14.25" customHeight="1">
      <c r="G759" s="91"/>
      <c r="H759" s="91"/>
      <c r="I759" s="91"/>
      <c r="J759" s="91"/>
      <c r="K759" s="91"/>
      <c r="L759" s="177"/>
      <c r="M759" s="176"/>
      <c r="N759" s="176"/>
      <c r="O759" s="176"/>
      <c r="P759" s="91"/>
      <c r="Q759" s="91"/>
      <c r="R759" s="91"/>
      <c r="S759" s="205"/>
      <c r="T759" s="205"/>
    </row>
    <row r="760" spans="7:20" ht="14.25" customHeight="1">
      <c r="G760" s="91"/>
      <c r="H760" s="91"/>
      <c r="I760" s="91"/>
      <c r="J760" s="91"/>
      <c r="K760" s="91"/>
      <c r="L760" s="177"/>
      <c r="M760" s="176"/>
      <c r="N760" s="176"/>
      <c r="O760" s="176"/>
      <c r="P760" s="91"/>
      <c r="Q760" s="91"/>
      <c r="R760" s="91"/>
      <c r="S760" s="205"/>
      <c r="T760" s="205"/>
    </row>
    <row r="761" spans="7:20" ht="14.25" customHeight="1">
      <c r="G761" s="91"/>
      <c r="H761" s="91"/>
      <c r="I761" s="91"/>
      <c r="J761" s="91"/>
      <c r="K761" s="91"/>
      <c r="L761" s="177"/>
      <c r="M761" s="176"/>
      <c r="N761" s="176"/>
      <c r="O761" s="176"/>
      <c r="P761" s="91"/>
      <c r="Q761" s="91"/>
      <c r="R761" s="91"/>
      <c r="S761" s="205"/>
      <c r="T761" s="205"/>
    </row>
    <row r="762" spans="7:20" ht="14.25" customHeight="1">
      <c r="G762" s="91"/>
      <c r="H762" s="91"/>
      <c r="I762" s="91"/>
      <c r="J762" s="91"/>
      <c r="K762" s="91"/>
      <c r="L762" s="177"/>
      <c r="M762" s="176"/>
      <c r="N762" s="176"/>
      <c r="O762" s="176"/>
      <c r="P762" s="91"/>
      <c r="Q762" s="91"/>
      <c r="R762" s="91"/>
      <c r="S762" s="205"/>
      <c r="T762" s="205"/>
    </row>
    <row r="763" spans="7:20" ht="14.25" customHeight="1">
      <c r="G763" s="91"/>
      <c r="H763" s="91"/>
      <c r="I763" s="91"/>
      <c r="J763" s="91"/>
      <c r="K763" s="91"/>
      <c r="L763" s="177"/>
      <c r="M763" s="176"/>
      <c r="N763" s="176"/>
      <c r="O763" s="176"/>
      <c r="P763" s="91"/>
      <c r="Q763" s="91"/>
      <c r="R763" s="91"/>
      <c r="S763" s="205"/>
      <c r="T763" s="205"/>
    </row>
    <row r="764" spans="7:20" ht="14.25" customHeight="1">
      <c r="G764" s="91"/>
      <c r="H764" s="91"/>
      <c r="I764" s="91"/>
      <c r="J764" s="91"/>
      <c r="K764" s="91"/>
      <c r="L764" s="177"/>
      <c r="M764" s="176"/>
      <c r="N764" s="176"/>
      <c r="O764" s="176"/>
      <c r="P764" s="91"/>
      <c r="Q764" s="91"/>
      <c r="R764" s="91"/>
      <c r="S764" s="205"/>
      <c r="T764" s="205"/>
    </row>
    <row r="765" spans="7:20" ht="14.25" customHeight="1">
      <c r="G765" s="91"/>
      <c r="H765" s="91"/>
      <c r="I765" s="91"/>
      <c r="J765" s="91"/>
      <c r="K765" s="91"/>
      <c r="L765" s="177"/>
      <c r="M765" s="176"/>
      <c r="N765" s="176"/>
      <c r="O765" s="176"/>
      <c r="P765" s="91"/>
      <c r="Q765" s="91"/>
      <c r="R765" s="91"/>
      <c r="S765" s="205"/>
      <c r="T765" s="205"/>
    </row>
    <row r="766" spans="7:20" ht="14.25" customHeight="1">
      <c r="G766" s="91"/>
      <c r="H766" s="91"/>
      <c r="I766" s="91"/>
      <c r="J766" s="91"/>
      <c r="K766" s="91"/>
      <c r="L766" s="177"/>
      <c r="M766" s="176"/>
      <c r="N766" s="176"/>
      <c r="O766" s="176"/>
      <c r="P766" s="91"/>
      <c r="Q766" s="91"/>
      <c r="R766" s="91"/>
      <c r="S766" s="205"/>
      <c r="T766" s="205"/>
    </row>
    <row r="767" spans="7:20" ht="14.25" customHeight="1">
      <c r="G767" s="91"/>
      <c r="H767" s="91"/>
      <c r="I767" s="91"/>
      <c r="J767" s="91"/>
      <c r="K767" s="91"/>
      <c r="L767" s="177"/>
      <c r="M767" s="176"/>
      <c r="N767" s="176"/>
      <c r="O767" s="176"/>
      <c r="P767" s="91"/>
      <c r="Q767" s="91"/>
      <c r="R767" s="91"/>
      <c r="S767" s="205"/>
      <c r="T767" s="205"/>
    </row>
    <row r="768" spans="7:20" ht="14.25" customHeight="1">
      <c r="G768" s="91"/>
      <c r="H768" s="91"/>
      <c r="I768" s="91"/>
      <c r="J768" s="91"/>
      <c r="K768" s="91"/>
      <c r="L768" s="177"/>
      <c r="M768" s="176"/>
      <c r="N768" s="176"/>
      <c r="O768" s="176"/>
      <c r="P768" s="91"/>
      <c r="Q768" s="91"/>
      <c r="R768" s="91"/>
      <c r="S768" s="205"/>
      <c r="T768" s="205"/>
    </row>
    <row r="769" spans="7:20" ht="14.25" customHeight="1">
      <c r="G769" s="91"/>
      <c r="H769" s="91"/>
      <c r="I769" s="91"/>
      <c r="J769" s="91"/>
      <c r="K769" s="91"/>
      <c r="L769" s="177"/>
      <c r="M769" s="176"/>
      <c r="N769" s="176"/>
      <c r="O769" s="176"/>
      <c r="P769" s="91"/>
      <c r="Q769" s="91"/>
      <c r="R769" s="91"/>
      <c r="S769" s="205"/>
      <c r="T769" s="205"/>
    </row>
    <row r="770" spans="7:20" ht="14.25" customHeight="1">
      <c r="G770" s="91"/>
      <c r="H770" s="91"/>
      <c r="I770" s="91"/>
      <c r="J770" s="91"/>
      <c r="K770" s="91"/>
      <c r="L770" s="177"/>
      <c r="M770" s="176"/>
      <c r="N770" s="176"/>
      <c r="O770" s="176"/>
      <c r="P770" s="91"/>
      <c r="Q770" s="91"/>
      <c r="R770" s="91"/>
      <c r="S770" s="205"/>
      <c r="T770" s="205"/>
    </row>
    <row r="771" spans="7:20" ht="14.25" customHeight="1">
      <c r="G771" s="91"/>
      <c r="H771" s="91"/>
      <c r="I771" s="91"/>
      <c r="J771" s="91"/>
      <c r="K771" s="91"/>
      <c r="L771" s="177"/>
      <c r="M771" s="176"/>
      <c r="N771" s="176"/>
      <c r="O771" s="176"/>
      <c r="P771" s="91"/>
      <c r="Q771" s="91"/>
      <c r="R771" s="91"/>
      <c r="S771" s="205"/>
      <c r="T771" s="205"/>
    </row>
    <row r="772" spans="7:20" ht="14.25" customHeight="1">
      <c r="G772" s="91"/>
      <c r="H772" s="91"/>
      <c r="I772" s="91"/>
      <c r="J772" s="91"/>
      <c r="K772" s="91"/>
      <c r="L772" s="177"/>
      <c r="M772" s="176"/>
      <c r="N772" s="176"/>
      <c r="O772" s="176"/>
      <c r="P772" s="91"/>
      <c r="Q772" s="91"/>
      <c r="R772" s="91"/>
      <c r="S772" s="205"/>
      <c r="T772" s="205"/>
    </row>
    <row r="773" spans="7:20" ht="14.25" customHeight="1">
      <c r="G773" s="91"/>
      <c r="H773" s="91"/>
      <c r="I773" s="91"/>
      <c r="J773" s="91"/>
      <c r="K773" s="91"/>
      <c r="L773" s="177"/>
      <c r="M773" s="176"/>
      <c r="N773" s="176"/>
      <c r="O773" s="176"/>
      <c r="P773" s="91"/>
      <c r="Q773" s="91"/>
      <c r="R773" s="91"/>
      <c r="S773" s="205"/>
      <c r="T773" s="205"/>
    </row>
    <row r="774" spans="7:20" ht="14.25" customHeight="1">
      <c r="G774" s="91"/>
      <c r="H774" s="91"/>
      <c r="I774" s="91"/>
      <c r="J774" s="91"/>
      <c r="K774" s="91"/>
      <c r="L774" s="177"/>
      <c r="M774" s="176"/>
      <c r="N774" s="176"/>
      <c r="O774" s="176"/>
      <c r="P774" s="91"/>
      <c r="Q774" s="91"/>
      <c r="R774" s="91"/>
      <c r="S774" s="205"/>
      <c r="T774" s="205"/>
    </row>
    <row r="775" spans="7:20" ht="14.25" customHeight="1">
      <c r="G775" s="91"/>
      <c r="H775" s="91"/>
      <c r="I775" s="91"/>
      <c r="J775" s="91"/>
      <c r="K775" s="91"/>
      <c r="L775" s="177"/>
      <c r="M775" s="176"/>
      <c r="N775" s="176"/>
      <c r="O775" s="176"/>
      <c r="P775" s="91"/>
      <c r="Q775" s="91"/>
      <c r="R775" s="91"/>
      <c r="S775" s="205"/>
      <c r="T775" s="205"/>
    </row>
    <row r="776" spans="7:20" ht="14.25" customHeight="1">
      <c r="G776" s="91"/>
      <c r="H776" s="91"/>
      <c r="I776" s="91"/>
      <c r="J776" s="91"/>
      <c r="K776" s="91"/>
      <c r="L776" s="177"/>
      <c r="M776" s="176"/>
      <c r="N776" s="176"/>
      <c r="O776" s="176"/>
      <c r="P776" s="91"/>
      <c r="Q776" s="91"/>
      <c r="R776" s="91"/>
      <c r="S776" s="205"/>
      <c r="T776" s="205"/>
    </row>
    <row r="777" spans="7:20" ht="14.25" customHeight="1">
      <c r="G777" s="91"/>
      <c r="H777" s="91"/>
      <c r="I777" s="91"/>
      <c r="J777" s="91"/>
      <c r="K777" s="91"/>
      <c r="L777" s="177"/>
      <c r="M777" s="176"/>
      <c r="N777" s="176"/>
      <c r="O777" s="176"/>
      <c r="P777" s="91"/>
      <c r="Q777" s="91"/>
      <c r="R777" s="91"/>
      <c r="S777" s="205"/>
      <c r="T777" s="205"/>
    </row>
    <row r="778" spans="7:20" ht="14.25" customHeight="1">
      <c r="G778" s="91"/>
      <c r="H778" s="91"/>
      <c r="I778" s="91"/>
      <c r="J778" s="91"/>
      <c r="K778" s="91"/>
      <c r="L778" s="177"/>
      <c r="M778" s="176"/>
      <c r="N778" s="176"/>
      <c r="O778" s="176"/>
      <c r="P778" s="91"/>
      <c r="Q778" s="91"/>
      <c r="R778" s="91"/>
      <c r="S778" s="205"/>
      <c r="T778" s="205"/>
    </row>
    <row r="779" spans="7:20" ht="14.25" customHeight="1">
      <c r="G779" s="91"/>
      <c r="H779" s="91"/>
      <c r="I779" s="91"/>
      <c r="J779" s="91"/>
      <c r="K779" s="91"/>
      <c r="L779" s="177"/>
      <c r="M779" s="176"/>
      <c r="N779" s="176"/>
      <c r="O779" s="176"/>
      <c r="P779" s="91"/>
      <c r="Q779" s="91"/>
      <c r="R779" s="91"/>
      <c r="S779" s="205"/>
      <c r="T779" s="205"/>
    </row>
    <row r="780" spans="7:20" ht="14.25" customHeight="1">
      <c r="G780" s="91"/>
      <c r="H780" s="91"/>
      <c r="I780" s="91"/>
      <c r="J780" s="91"/>
      <c r="K780" s="91"/>
      <c r="L780" s="177"/>
      <c r="M780" s="176"/>
      <c r="N780" s="176"/>
      <c r="O780" s="176"/>
      <c r="P780" s="91"/>
      <c r="Q780" s="91"/>
      <c r="R780" s="91"/>
      <c r="S780" s="205"/>
      <c r="T780" s="205"/>
    </row>
    <row r="781" spans="7:20" ht="14.25" customHeight="1">
      <c r="G781" s="91"/>
      <c r="H781" s="91"/>
      <c r="I781" s="91"/>
      <c r="J781" s="91"/>
      <c r="K781" s="91"/>
      <c r="L781" s="177"/>
      <c r="M781" s="176"/>
      <c r="N781" s="176"/>
      <c r="O781" s="176"/>
      <c r="P781" s="91"/>
      <c r="Q781" s="91"/>
      <c r="R781" s="91"/>
      <c r="S781" s="205"/>
      <c r="T781" s="205"/>
    </row>
    <row r="782" spans="7:20" ht="14.25" customHeight="1">
      <c r="G782" s="91"/>
      <c r="H782" s="91"/>
      <c r="I782" s="91"/>
      <c r="J782" s="91"/>
      <c r="K782" s="91"/>
      <c r="L782" s="177"/>
      <c r="M782" s="176"/>
      <c r="N782" s="176"/>
      <c r="O782" s="176"/>
      <c r="P782" s="91"/>
      <c r="Q782" s="91"/>
      <c r="R782" s="91"/>
      <c r="S782" s="205"/>
      <c r="T782" s="205"/>
    </row>
    <row r="783" spans="7:20" ht="14.25" customHeight="1">
      <c r="G783" s="91"/>
      <c r="H783" s="91"/>
      <c r="I783" s="91"/>
      <c r="J783" s="91"/>
      <c r="K783" s="91"/>
      <c r="L783" s="177"/>
      <c r="M783" s="176"/>
      <c r="N783" s="176"/>
      <c r="O783" s="176"/>
      <c r="P783" s="91"/>
      <c r="Q783" s="91"/>
      <c r="R783" s="91"/>
      <c r="S783" s="205"/>
      <c r="T783" s="205"/>
    </row>
    <row r="784" spans="7:20" ht="14.25" customHeight="1">
      <c r="G784" s="91"/>
      <c r="H784" s="91"/>
      <c r="I784" s="91"/>
      <c r="J784" s="91"/>
      <c r="K784" s="91"/>
      <c r="L784" s="177"/>
      <c r="M784" s="176"/>
      <c r="N784" s="176"/>
      <c r="O784" s="176"/>
      <c r="P784" s="91"/>
      <c r="Q784" s="91"/>
      <c r="R784" s="91"/>
      <c r="S784" s="205"/>
      <c r="T784" s="205"/>
    </row>
    <row r="785" spans="7:20" ht="14.25" customHeight="1">
      <c r="G785" s="91"/>
      <c r="H785" s="91"/>
      <c r="I785" s="91"/>
      <c r="J785" s="91"/>
      <c r="K785" s="91"/>
      <c r="L785" s="177"/>
      <c r="M785" s="176"/>
      <c r="N785" s="176"/>
      <c r="O785" s="176"/>
      <c r="P785" s="91"/>
      <c r="Q785" s="91"/>
      <c r="R785" s="91"/>
      <c r="S785" s="205"/>
      <c r="T785" s="205"/>
    </row>
    <row r="786" spans="7:20" ht="14.25" customHeight="1">
      <c r="G786" s="91"/>
      <c r="H786" s="91"/>
      <c r="I786" s="91"/>
      <c r="J786" s="91"/>
      <c r="K786" s="91"/>
      <c r="L786" s="177"/>
      <c r="M786" s="176"/>
      <c r="N786" s="176"/>
      <c r="O786" s="176"/>
      <c r="P786" s="91"/>
      <c r="Q786" s="91"/>
      <c r="R786" s="91"/>
      <c r="S786" s="205"/>
      <c r="T786" s="205"/>
    </row>
    <row r="787" spans="7:20" ht="14.25" customHeight="1">
      <c r="G787" s="91"/>
      <c r="H787" s="91"/>
      <c r="I787" s="91"/>
      <c r="J787" s="91"/>
      <c r="K787" s="91"/>
      <c r="L787" s="177"/>
      <c r="M787" s="176"/>
      <c r="N787" s="176"/>
      <c r="O787" s="176"/>
      <c r="P787" s="91"/>
      <c r="Q787" s="91"/>
      <c r="R787" s="91"/>
      <c r="S787" s="205"/>
      <c r="T787" s="205"/>
    </row>
    <row r="788" spans="7:20" ht="14.25" customHeight="1">
      <c r="G788" s="91"/>
      <c r="H788" s="91"/>
      <c r="I788" s="91"/>
      <c r="J788" s="91"/>
      <c r="K788" s="91"/>
      <c r="L788" s="177"/>
      <c r="M788" s="176"/>
      <c r="N788" s="176"/>
      <c r="O788" s="176"/>
      <c r="P788" s="91"/>
      <c r="Q788" s="91"/>
      <c r="R788" s="91"/>
      <c r="S788" s="205"/>
      <c r="T788" s="205"/>
    </row>
    <row r="789" spans="7:20" ht="14.25" customHeight="1">
      <c r="G789" s="91"/>
      <c r="H789" s="91"/>
      <c r="I789" s="91"/>
      <c r="J789" s="91"/>
      <c r="K789" s="91"/>
      <c r="L789" s="177"/>
      <c r="M789" s="176"/>
      <c r="N789" s="176"/>
      <c r="O789" s="176"/>
      <c r="P789" s="91"/>
      <c r="Q789" s="91"/>
      <c r="R789" s="91"/>
      <c r="S789" s="205"/>
      <c r="T789" s="205"/>
    </row>
    <row r="790" spans="7:20" ht="14.25" customHeight="1">
      <c r="G790" s="91"/>
      <c r="H790" s="91"/>
      <c r="I790" s="91"/>
      <c r="J790" s="91"/>
      <c r="K790" s="91"/>
      <c r="L790" s="177"/>
      <c r="M790" s="176"/>
      <c r="N790" s="176"/>
      <c r="O790" s="176"/>
      <c r="P790" s="91"/>
      <c r="Q790" s="91"/>
      <c r="R790" s="91"/>
      <c r="S790" s="205"/>
      <c r="T790" s="205"/>
    </row>
    <row r="791" spans="7:20" ht="14.25" customHeight="1">
      <c r="G791" s="91"/>
      <c r="H791" s="91"/>
      <c r="I791" s="91"/>
      <c r="J791" s="91"/>
      <c r="K791" s="91"/>
      <c r="L791" s="177"/>
      <c r="M791" s="176"/>
      <c r="N791" s="176"/>
      <c r="O791" s="176"/>
      <c r="P791" s="91"/>
      <c r="Q791" s="91"/>
      <c r="R791" s="91"/>
      <c r="S791" s="205"/>
      <c r="T791" s="205"/>
    </row>
    <row r="792" spans="7:20" ht="14.25" customHeight="1">
      <c r="G792" s="91"/>
      <c r="H792" s="91"/>
      <c r="I792" s="91"/>
      <c r="J792" s="91"/>
      <c r="K792" s="91"/>
      <c r="L792" s="177"/>
      <c r="M792" s="176"/>
      <c r="N792" s="176"/>
      <c r="O792" s="176"/>
      <c r="P792" s="91"/>
      <c r="Q792" s="91"/>
      <c r="R792" s="91"/>
      <c r="S792" s="205"/>
      <c r="T792" s="205"/>
    </row>
    <row r="793" spans="7:20" ht="14.25" customHeight="1">
      <c r="G793" s="91"/>
      <c r="H793" s="91"/>
      <c r="I793" s="91"/>
      <c r="J793" s="91"/>
      <c r="K793" s="91"/>
      <c r="L793" s="177"/>
      <c r="M793" s="176"/>
      <c r="N793" s="176"/>
      <c r="O793" s="176"/>
      <c r="P793" s="91"/>
      <c r="Q793" s="91"/>
      <c r="R793" s="91"/>
      <c r="S793" s="205"/>
      <c r="T793" s="205"/>
    </row>
    <row r="794" spans="7:20" ht="14.25" customHeight="1">
      <c r="G794" s="91"/>
      <c r="H794" s="91"/>
      <c r="I794" s="91"/>
      <c r="J794" s="91"/>
      <c r="K794" s="91"/>
      <c r="L794" s="177"/>
      <c r="M794" s="176"/>
      <c r="N794" s="176"/>
      <c r="O794" s="176"/>
      <c r="P794" s="91"/>
      <c r="Q794" s="91"/>
      <c r="R794" s="91"/>
      <c r="S794" s="205"/>
      <c r="T794" s="205"/>
    </row>
    <row r="795" spans="7:20" ht="14.25" customHeight="1">
      <c r="G795" s="91"/>
      <c r="H795" s="91"/>
      <c r="I795" s="91"/>
      <c r="J795" s="91"/>
      <c r="K795" s="91"/>
      <c r="L795" s="177"/>
      <c r="M795" s="176"/>
      <c r="N795" s="176"/>
      <c r="O795" s="176"/>
      <c r="P795" s="91"/>
      <c r="Q795" s="91"/>
      <c r="R795" s="91"/>
      <c r="S795" s="205"/>
      <c r="T795" s="205"/>
    </row>
    <row r="796" spans="7:20" ht="14.25" customHeight="1">
      <c r="G796" s="91"/>
      <c r="H796" s="91"/>
      <c r="I796" s="91"/>
      <c r="J796" s="91"/>
      <c r="K796" s="91"/>
      <c r="L796" s="177"/>
      <c r="M796" s="176"/>
      <c r="N796" s="176"/>
      <c r="O796" s="176"/>
      <c r="P796" s="91"/>
      <c r="Q796" s="91"/>
      <c r="R796" s="91"/>
      <c r="S796" s="205"/>
      <c r="T796" s="205"/>
    </row>
    <row r="797" spans="7:20" ht="14.25" customHeight="1">
      <c r="G797" s="91"/>
      <c r="H797" s="91"/>
      <c r="I797" s="91"/>
      <c r="J797" s="91"/>
      <c r="K797" s="91"/>
      <c r="L797" s="177"/>
      <c r="M797" s="176"/>
      <c r="N797" s="176"/>
      <c r="O797" s="176"/>
      <c r="P797" s="91"/>
      <c r="Q797" s="91"/>
      <c r="R797" s="91"/>
      <c r="S797" s="205"/>
      <c r="T797" s="205"/>
    </row>
    <row r="798" spans="7:20" ht="14.25" customHeight="1">
      <c r="G798" s="91"/>
      <c r="H798" s="91"/>
      <c r="I798" s="91"/>
      <c r="J798" s="91"/>
      <c r="K798" s="91"/>
      <c r="L798" s="177"/>
      <c r="M798" s="176"/>
      <c r="N798" s="176"/>
      <c r="O798" s="176"/>
      <c r="P798" s="91"/>
      <c r="Q798" s="91"/>
      <c r="R798" s="91"/>
      <c r="S798" s="205"/>
      <c r="T798" s="205"/>
    </row>
    <row r="799" spans="7:20" ht="14.25" customHeight="1">
      <c r="G799" s="91"/>
      <c r="H799" s="91"/>
      <c r="I799" s="91"/>
      <c r="J799" s="91"/>
      <c r="K799" s="91"/>
      <c r="L799" s="177"/>
      <c r="M799" s="176"/>
      <c r="N799" s="176"/>
      <c r="O799" s="176"/>
      <c r="P799" s="91"/>
      <c r="Q799" s="91"/>
      <c r="R799" s="91"/>
      <c r="S799" s="205"/>
      <c r="T799" s="205"/>
    </row>
    <row r="800" spans="7:20" ht="14.25" customHeight="1">
      <c r="G800" s="91"/>
      <c r="H800" s="91"/>
      <c r="I800" s="91"/>
      <c r="J800" s="91"/>
      <c r="K800" s="91"/>
      <c r="L800" s="177"/>
      <c r="M800" s="176"/>
      <c r="N800" s="176"/>
      <c r="O800" s="176"/>
      <c r="P800" s="91"/>
      <c r="Q800" s="91"/>
      <c r="R800" s="91"/>
      <c r="S800" s="205"/>
      <c r="T800" s="205"/>
    </row>
    <row r="801" spans="7:20" ht="14.25" customHeight="1">
      <c r="G801" s="91"/>
      <c r="H801" s="91"/>
      <c r="I801" s="91"/>
      <c r="J801" s="91"/>
      <c r="K801" s="91"/>
      <c r="L801" s="177"/>
      <c r="M801" s="176"/>
      <c r="N801" s="176"/>
      <c r="O801" s="176"/>
      <c r="P801" s="91"/>
      <c r="Q801" s="91"/>
      <c r="R801" s="91"/>
      <c r="S801" s="205"/>
      <c r="T801" s="205"/>
    </row>
    <row r="802" spans="7:20" ht="14.25" customHeight="1">
      <c r="G802" s="91"/>
      <c r="H802" s="91"/>
      <c r="I802" s="91"/>
      <c r="J802" s="91"/>
      <c r="K802" s="91"/>
      <c r="L802" s="177"/>
      <c r="M802" s="176"/>
      <c r="N802" s="176"/>
      <c r="O802" s="176"/>
      <c r="P802" s="91"/>
      <c r="Q802" s="91"/>
      <c r="R802" s="91"/>
      <c r="S802" s="205"/>
      <c r="T802" s="205"/>
    </row>
    <row r="803" spans="7:20" ht="14.25" customHeight="1">
      <c r="G803" s="91"/>
      <c r="H803" s="91"/>
      <c r="I803" s="91"/>
      <c r="J803" s="91"/>
      <c r="K803" s="91"/>
      <c r="L803" s="177"/>
      <c r="M803" s="176"/>
      <c r="N803" s="176"/>
      <c r="O803" s="176"/>
      <c r="P803" s="91"/>
      <c r="Q803" s="91"/>
      <c r="R803" s="91"/>
      <c r="S803" s="205"/>
      <c r="T803" s="205"/>
    </row>
    <row r="804" spans="7:20" ht="14.25" customHeight="1">
      <c r="G804" s="91"/>
      <c r="H804" s="91"/>
      <c r="I804" s="91"/>
      <c r="J804" s="91"/>
      <c r="K804" s="91"/>
      <c r="L804" s="177"/>
      <c r="M804" s="176"/>
      <c r="N804" s="176"/>
      <c r="O804" s="176"/>
      <c r="P804" s="91"/>
      <c r="Q804" s="91"/>
      <c r="R804" s="91"/>
      <c r="S804" s="205"/>
      <c r="T804" s="205"/>
    </row>
    <row r="805" spans="7:20" ht="14.25" customHeight="1">
      <c r="G805" s="91"/>
      <c r="H805" s="91"/>
      <c r="I805" s="91"/>
      <c r="J805" s="91"/>
      <c r="K805" s="91"/>
      <c r="L805" s="177"/>
      <c r="M805" s="176"/>
      <c r="N805" s="176"/>
      <c r="O805" s="176"/>
      <c r="P805" s="91"/>
      <c r="Q805" s="91"/>
      <c r="R805" s="91"/>
      <c r="S805" s="205"/>
      <c r="T805" s="205"/>
    </row>
    <row r="806" spans="7:20" ht="14.25" customHeight="1">
      <c r="G806" s="91"/>
      <c r="H806" s="91"/>
      <c r="I806" s="91"/>
      <c r="J806" s="91"/>
      <c r="K806" s="91"/>
      <c r="L806" s="177"/>
      <c r="M806" s="176"/>
      <c r="N806" s="176"/>
      <c r="O806" s="176"/>
      <c r="P806" s="91"/>
      <c r="Q806" s="91"/>
      <c r="R806" s="91"/>
      <c r="S806" s="205"/>
      <c r="T806" s="205"/>
    </row>
    <row r="807" spans="7:20" ht="14.25" customHeight="1">
      <c r="G807" s="91"/>
      <c r="H807" s="91"/>
      <c r="I807" s="91"/>
      <c r="J807" s="91"/>
      <c r="K807" s="91"/>
      <c r="L807" s="177"/>
      <c r="M807" s="176"/>
      <c r="N807" s="176"/>
      <c r="O807" s="176"/>
      <c r="P807" s="91"/>
      <c r="Q807" s="91"/>
      <c r="R807" s="91"/>
      <c r="S807" s="205"/>
      <c r="T807" s="205"/>
    </row>
    <row r="808" spans="7:20" ht="14.25" customHeight="1">
      <c r="G808" s="91"/>
      <c r="H808" s="91"/>
      <c r="I808" s="91"/>
      <c r="J808" s="91"/>
      <c r="K808" s="91"/>
      <c r="L808" s="177"/>
      <c r="M808" s="176"/>
      <c r="N808" s="176"/>
      <c r="O808" s="176"/>
      <c r="P808" s="91"/>
      <c r="Q808" s="91"/>
      <c r="R808" s="91"/>
      <c r="S808" s="205"/>
      <c r="T808" s="205"/>
    </row>
    <row r="809" spans="7:20" ht="14.25" customHeight="1">
      <c r="G809" s="91"/>
      <c r="H809" s="91"/>
      <c r="I809" s="91"/>
      <c r="J809" s="91"/>
      <c r="K809" s="91"/>
      <c r="L809" s="177"/>
      <c r="M809" s="176"/>
      <c r="N809" s="176"/>
      <c r="O809" s="176"/>
      <c r="P809" s="91"/>
      <c r="Q809" s="91"/>
      <c r="R809" s="91"/>
      <c r="S809" s="205"/>
      <c r="T809" s="205"/>
    </row>
    <row r="810" spans="7:20" ht="14.25" customHeight="1">
      <c r="G810" s="91"/>
      <c r="H810" s="91"/>
      <c r="I810" s="91"/>
      <c r="J810" s="91"/>
      <c r="K810" s="91"/>
      <c r="L810" s="177"/>
      <c r="M810" s="176"/>
      <c r="N810" s="176"/>
      <c r="O810" s="176"/>
      <c r="P810" s="91"/>
      <c r="Q810" s="91"/>
      <c r="R810" s="91"/>
      <c r="S810" s="205"/>
      <c r="T810" s="205"/>
    </row>
    <row r="811" spans="7:20" ht="14.25" customHeight="1">
      <c r="G811" s="91"/>
      <c r="H811" s="91"/>
      <c r="I811" s="91"/>
      <c r="J811" s="91"/>
      <c r="K811" s="91"/>
      <c r="L811" s="177"/>
      <c r="M811" s="176"/>
      <c r="N811" s="176"/>
      <c r="O811" s="176"/>
      <c r="P811" s="91"/>
      <c r="Q811" s="91"/>
      <c r="R811" s="91"/>
      <c r="S811" s="205"/>
      <c r="T811" s="205"/>
    </row>
    <row r="812" spans="7:20" ht="14.25" customHeight="1">
      <c r="G812" s="91"/>
      <c r="H812" s="91"/>
      <c r="I812" s="91"/>
      <c r="J812" s="91"/>
      <c r="K812" s="91"/>
      <c r="L812" s="177"/>
      <c r="M812" s="176"/>
      <c r="N812" s="176"/>
      <c r="O812" s="176"/>
      <c r="P812" s="91"/>
      <c r="Q812" s="91"/>
      <c r="R812" s="91"/>
      <c r="S812" s="205"/>
      <c r="T812" s="205"/>
    </row>
    <row r="813" spans="7:20" ht="14.25" customHeight="1">
      <c r="G813" s="91"/>
      <c r="H813" s="91"/>
      <c r="I813" s="91"/>
      <c r="J813" s="91"/>
      <c r="K813" s="91"/>
      <c r="L813" s="177"/>
      <c r="M813" s="176"/>
      <c r="N813" s="176"/>
      <c r="O813" s="176"/>
      <c r="P813" s="91"/>
      <c r="Q813" s="91"/>
      <c r="R813" s="91"/>
      <c r="S813" s="205"/>
      <c r="T813" s="205"/>
    </row>
    <row r="814" spans="7:20" ht="14.25" customHeight="1">
      <c r="G814" s="91"/>
      <c r="H814" s="91"/>
      <c r="I814" s="91"/>
      <c r="J814" s="91"/>
      <c r="K814" s="91"/>
      <c r="L814" s="177"/>
      <c r="M814" s="176"/>
      <c r="N814" s="176"/>
      <c r="O814" s="176"/>
      <c r="P814" s="91"/>
      <c r="Q814" s="91"/>
      <c r="R814" s="91"/>
      <c r="S814" s="205"/>
      <c r="T814" s="205"/>
    </row>
    <row r="815" spans="7:20" ht="14.25" customHeight="1">
      <c r="G815" s="91"/>
      <c r="H815" s="91"/>
      <c r="I815" s="91"/>
      <c r="J815" s="91"/>
      <c r="K815" s="91"/>
      <c r="L815" s="177"/>
      <c r="M815" s="176"/>
      <c r="N815" s="176"/>
      <c r="O815" s="176"/>
      <c r="P815" s="91"/>
      <c r="Q815" s="91"/>
      <c r="R815" s="91"/>
      <c r="S815" s="205"/>
      <c r="T815" s="205"/>
    </row>
    <row r="816" spans="7:20" ht="14.25" customHeight="1">
      <c r="G816" s="91"/>
      <c r="H816" s="91"/>
      <c r="I816" s="91"/>
      <c r="J816" s="91"/>
      <c r="K816" s="91"/>
      <c r="L816" s="177"/>
      <c r="M816" s="176"/>
      <c r="N816" s="176"/>
      <c r="O816" s="176"/>
      <c r="P816" s="91"/>
      <c r="Q816" s="91"/>
      <c r="R816" s="91"/>
      <c r="S816" s="205"/>
      <c r="T816" s="205"/>
    </row>
    <row r="817" spans="7:20" ht="14.25" customHeight="1">
      <c r="G817" s="91"/>
      <c r="H817" s="91"/>
      <c r="I817" s="91"/>
      <c r="J817" s="91"/>
      <c r="K817" s="91"/>
      <c r="L817" s="177"/>
      <c r="M817" s="176"/>
      <c r="N817" s="176"/>
      <c r="O817" s="176"/>
      <c r="P817" s="91"/>
      <c r="Q817" s="91"/>
      <c r="R817" s="91"/>
      <c r="S817" s="205"/>
      <c r="T817" s="205"/>
    </row>
    <row r="818" spans="7:20" ht="14.25" customHeight="1">
      <c r="G818" s="91"/>
      <c r="H818" s="91"/>
      <c r="I818" s="91"/>
      <c r="J818" s="91"/>
      <c r="K818" s="91"/>
      <c r="L818" s="177"/>
      <c r="M818" s="176"/>
      <c r="N818" s="176"/>
      <c r="O818" s="176"/>
      <c r="P818" s="91"/>
      <c r="Q818" s="91"/>
      <c r="R818" s="91"/>
      <c r="S818" s="205"/>
      <c r="T818" s="205"/>
    </row>
    <row r="819" spans="7:20" ht="14.25" customHeight="1">
      <c r="G819" s="91"/>
      <c r="H819" s="91"/>
      <c r="I819" s="91"/>
      <c r="J819" s="91"/>
      <c r="K819" s="91"/>
      <c r="L819" s="177"/>
      <c r="M819" s="176"/>
      <c r="N819" s="176"/>
      <c r="O819" s="176"/>
      <c r="P819" s="91"/>
      <c r="Q819" s="91"/>
      <c r="R819" s="91"/>
      <c r="S819" s="205"/>
      <c r="T819" s="205"/>
    </row>
    <row r="820" spans="7:20" ht="14.25" customHeight="1">
      <c r="G820" s="91"/>
      <c r="H820" s="91"/>
      <c r="I820" s="91"/>
      <c r="J820" s="91"/>
      <c r="K820" s="91"/>
      <c r="L820" s="177"/>
      <c r="M820" s="176"/>
      <c r="N820" s="176"/>
      <c r="O820" s="176"/>
      <c r="P820" s="91"/>
      <c r="Q820" s="91"/>
      <c r="R820" s="91"/>
      <c r="S820" s="205"/>
      <c r="T820" s="205"/>
    </row>
    <row r="821" spans="7:20" ht="14.25" customHeight="1">
      <c r="G821" s="91"/>
      <c r="H821" s="91"/>
      <c r="I821" s="91"/>
      <c r="J821" s="91"/>
      <c r="K821" s="91"/>
      <c r="L821" s="177"/>
      <c r="M821" s="176"/>
      <c r="N821" s="176"/>
      <c r="O821" s="176"/>
      <c r="P821" s="91"/>
      <c r="Q821" s="91"/>
      <c r="R821" s="91"/>
      <c r="S821" s="205"/>
      <c r="T821" s="205"/>
    </row>
    <row r="822" spans="7:20" ht="14.25" customHeight="1">
      <c r="G822" s="91"/>
      <c r="H822" s="91"/>
      <c r="I822" s="91"/>
      <c r="J822" s="91"/>
      <c r="K822" s="91"/>
      <c r="L822" s="177"/>
      <c r="M822" s="176"/>
      <c r="N822" s="176"/>
      <c r="O822" s="176"/>
      <c r="P822" s="91"/>
      <c r="Q822" s="91"/>
      <c r="R822" s="91"/>
      <c r="S822" s="205"/>
      <c r="T822" s="205"/>
    </row>
    <row r="823" spans="7:20" ht="14.25" customHeight="1">
      <c r="G823" s="91"/>
      <c r="H823" s="91"/>
      <c r="I823" s="91"/>
      <c r="J823" s="91"/>
      <c r="K823" s="91"/>
      <c r="L823" s="177"/>
      <c r="M823" s="176"/>
      <c r="N823" s="176"/>
      <c r="O823" s="176"/>
      <c r="P823" s="91"/>
      <c r="Q823" s="91"/>
      <c r="R823" s="91"/>
      <c r="S823" s="205"/>
      <c r="T823" s="205"/>
    </row>
    <row r="824" spans="7:20" ht="14.25" customHeight="1">
      <c r="G824" s="91"/>
      <c r="H824" s="91"/>
      <c r="I824" s="91"/>
      <c r="J824" s="91"/>
      <c r="K824" s="91"/>
      <c r="L824" s="177"/>
      <c r="M824" s="176"/>
      <c r="N824" s="176"/>
      <c r="O824" s="176"/>
      <c r="P824" s="91"/>
      <c r="Q824" s="91"/>
      <c r="R824" s="91"/>
      <c r="S824" s="205"/>
      <c r="T824" s="205"/>
    </row>
    <row r="825" spans="7:20" ht="14.25" customHeight="1">
      <c r="G825" s="91"/>
      <c r="H825" s="91"/>
      <c r="I825" s="91"/>
      <c r="J825" s="91"/>
      <c r="K825" s="91"/>
      <c r="L825" s="177"/>
      <c r="M825" s="176"/>
      <c r="N825" s="176"/>
      <c r="O825" s="176"/>
      <c r="P825" s="91"/>
      <c r="Q825" s="91"/>
      <c r="R825" s="91"/>
      <c r="S825" s="205"/>
      <c r="T825" s="205"/>
    </row>
    <row r="826" spans="7:20" ht="14.25" customHeight="1">
      <c r="G826" s="91"/>
      <c r="H826" s="91"/>
      <c r="I826" s="91"/>
      <c r="J826" s="91"/>
      <c r="K826" s="91"/>
      <c r="L826" s="177"/>
      <c r="M826" s="176"/>
      <c r="N826" s="176"/>
      <c r="O826" s="176"/>
      <c r="P826" s="91"/>
      <c r="Q826" s="91"/>
      <c r="R826" s="91"/>
      <c r="S826" s="205"/>
      <c r="T826" s="205"/>
    </row>
    <row r="827" spans="7:20" ht="14.25" customHeight="1">
      <c r="G827" s="91"/>
      <c r="H827" s="91"/>
      <c r="I827" s="91"/>
      <c r="J827" s="91"/>
      <c r="K827" s="91"/>
      <c r="L827" s="177"/>
      <c r="M827" s="176"/>
      <c r="N827" s="176"/>
      <c r="O827" s="176"/>
      <c r="P827" s="91"/>
      <c r="Q827" s="91"/>
      <c r="R827" s="91"/>
      <c r="S827" s="205"/>
      <c r="T827" s="205"/>
    </row>
    <row r="828" spans="7:20" ht="14.25" customHeight="1">
      <c r="G828" s="91"/>
      <c r="H828" s="91"/>
      <c r="I828" s="91"/>
      <c r="J828" s="91"/>
      <c r="K828" s="91"/>
      <c r="L828" s="177"/>
      <c r="M828" s="176"/>
      <c r="N828" s="176"/>
      <c r="O828" s="176"/>
      <c r="P828" s="91"/>
      <c r="Q828" s="91"/>
      <c r="R828" s="91"/>
      <c r="S828" s="205"/>
      <c r="T828" s="205"/>
    </row>
    <row r="829" spans="7:20" ht="14.25" customHeight="1">
      <c r="G829" s="91"/>
      <c r="H829" s="91"/>
      <c r="I829" s="91"/>
      <c r="J829" s="91"/>
      <c r="K829" s="91"/>
      <c r="L829" s="177"/>
      <c r="M829" s="176"/>
      <c r="N829" s="176"/>
      <c r="O829" s="176"/>
      <c r="P829" s="91"/>
      <c r="Q829" s="91"/>
      <c r="R829" s="91"/>
      <c r="S829" s="205"/>
      <c r="T829" s="205"/>
    </row>
    <row r="830" spans="7:20" ht="14.25" customHeight="1">
      <c r="G830" s="91"/>
      <c r="H830" s="91"/>
      <c r="I830" s="91"/>
      <c r="J830" s="91"/>
      <c r="K830" s="91"/>
      <c r="L830" s="177"/>
      <c r="M830" s="176"/>
      <c r="N830" s="176"/>
      <c r="O830" s="176"/>
      <c r="P830" s="91"/>
      <c r="Q830" s="91"/>
      <c r="R830" s="91"/>
      <c r="S830" s="205"/>
      <c r="T830" s="205"/>
    </row>
    <row r="831" spans="7:20" ht="14.25" customHeight="1">
      <c r="G831" s="91"/>
      <c r="H831" s="91"/>
      <c r="I831" s="91"/>
      <c r="J831" s="91"/>
      <c r="K831" s="91"/>
      <c r="L831" s="177"/>
      <c r="M831" s="176"/>
      <c r="N831" s="176"/>
      <c r="O831" s="176"/>
      <c r="P831" s="91"/>
      <c r="Q831" s="91"/>
      <c r="R831" s="91"/>
      <c r="S831" s="205"/>
      <c r="T831" s="205"/>
    </row>
    <row r="832" spans="7:20" ht="14.25" customHeight="1">
      <c r="G832" s="91"/>
      <c r="H832" s="91"/>
      <c r="I832" s="91"/>
      <c r="J832" s="91"/>
      <c r="K832" s="91"/>
      <c r="L832" s="177"/>
      <c r="M832" s="176"/>
      <c r="N832" s="176"/>
      <c r="O832" s="176"/>
      <c r="P832" s="91"/>
      <c r="Q832" s="91"/>
      <c r="R832" s="91"/>
      <c r="S832" s="205"/>
      <c r="T832" s="205"/>
    </row>
    <row r="833" spans="7:20" ht="14.25" customHeight="1">
      <c r="G833" s="91"/>
      <c r="H833" s="91"/>
      <c r="I833" s="91"/>
      <c r="J833" s="91"/>
      <c r="K833" s="91"/>
      <c r="L833" s="177"/>
      <c r="M833" s="176"/>
      <c r="N833" s="176"/>
      <c r="O833" s="176"/>
      <c r="P833" s="91"/>
      <c r="Q833" s="91"/>
      <c r="R833" s="91"/>
      <c r="S833" s="205"/>
      <c r="T833" s="205"/>
    </row>
    <row r="834" spans="7:20" ht="14.25" customHeight="1">
      <c r="G834" s="91"/>
      <c r="H834" s="91"/>
      <c r="I834" s="91"/>
      <c r="J834" s="91"/>
      <c r="K834" s="91"/>
      <c r="L834" s="177"/>
      <c r="M834" s="176"/>
      <c r="N834" s="176"/>
      <c r="O834" s="176"/>
      <c r="P834" s="91"/>
      <c r="Q834" s="91"/>
      <c r="R834" s="91"/>
      <c r="S834" s="205"/>
      <c r="T834" s="205"/>
    </row>
    <row r="835" spans="7:20" ht="14.25" customHeight="1">
      <c r="G835" s="91"/>
      <c r="H835" s="91"/>
      <c r="I835" s="91"/>
      <c r="J835" s="91"/>
      <c r="K835" s="91"/>
      <c r="L835" s="177"/>
      <c r="M835" s="176"/>
      <c r="N835" s="176"/>
      <c r="O835" s="176"/>
      <c r="P835" s="91"/>
      <c r="Q835" s="91"/>
      <c r="R835" s="91"/>
      <c r="S835" s="205"/>
      <c r="T835" s="205"/>
    </row>
    <row r="836" spans="7:20" ht="14.25" customHeight="1">
      <c r="G836" s="91"/>
      <c r="H836" s="91"/>
      <c r="I836" s="91"/>
      <c r="J836" s="91"/>
      <c r="K836" s="91"/>
      <c r="L836" s="177"/>
      <c r="M836" s="176"/>
      <c r="N836" s="176"/>
      <c r="O836" s="176"/>
      <c r="P836" s="91"/>
      <c r="Q836" s="91"/>
      <c r="R836" s="91"/>
      <c r="S836" s="205"/>
      <c r="T836" s="205"/>
    </row>
    <row r="837" spans="7:20" ht="14.25" customHeight="1">
      <c r="G837" s="91"/>
      <c r="H837" s="91"/>
      <c r="I837" s="91"/>
      <c r="J837" s="91"/>
      <c r="K837" s="91"/>
      <c r="L837" s="177"/>
      <c r="M837" s="176"/>
      <c r="N837" s="176"/>
      <c r="O837" s="176"/>
      <c r="P837" s="91"/>
      <c r="Q837" s="91"/>
      <c r="R837" s="91"/>
      <c r="S837" s="205"/>
      <c r="T837" s="205"/>
    </row>
    <row r="838" spans="7:20" ht="14.25" customHeight="1">
      <c r="G838" s="91"/>
      <c r="H838" s="91"/>
      <c r="I838" s="91"/>
      <c r="J838" s="91"/>
      <c r="K838" s="91"/>
      <c r="L838" s="177"/>
      <c r="M838" s="176"/>
      <c r="N838" s="176"/>
      <c r="O838" s="176"/>
      <c r="P838" s="91"/>
      <c r="Q838" s="91"/>
      <c r="R838" s="91"/>
      <c r="S838" s="205"/>
      <c r="T838" s="205"/>
    </row>
    <row r="839" spans="7:20" ht="14.25" customHeight="1">
      <c r="G839" s="91"/>
      <c r="H839" s="91"/>
      <c r="I839" s="91"/>
      <c r="J839" s="91"/>
      <c r="K839" s="91"/>
      <c r="L839" s="177"/>
      <c r="M839" s="176"/>
      <c r="N839" s="176"/>
      <c r="O839" s="176"/>
      <c r="P839" s="91"/>
      <c r="Q839" s="91"/>
      <c r="R839" s="91"/>
      <c r="S839" s="205"/>
      <c r="T839" s="205"/>
    </row>
    <row r="840" spans="7:20" ht="14.25" customHeight="1">
      <c r="G840" s="91"/>
      <c r="H840" s="91"/>
      <c r="I840" s="91"/>
      <c r="J840" s="91"/>
      <c r="K840" s="91"/>
      <c r="L840" s="177"/>
      <c r="M840" s="176"/>
      <c r="N840" s="176"/>
      <c r="O840" s="176"/>
      <c r="P840" s="91"/>
      <c r="Q840" s="91"/>
      <c r="R840" s="91"/>
      <c r="S840" s="205"/>
      <c r="T840" s="205"/>
    </row>
    <row r="841" spans="7:20" ht="14.25" customHeight="1">
      <c r="G841" s="91"/>
      <c r="H841" s="91"/>
      <c r="I841" s="91"/>
      <c r="J841" s="91"/>
      <c r="K841" s="91"/>
      <c r="L841" s="177"/>
      <c r="M841" s="176"/>
      <c r="N841" s="176"/>
      <c r="O841" s="176"/>
      <c r="P841" s="91"/>
      <c r="Q841" s="91"/>
      <c r="R841" s="91"/>
      <c r="S841" s="205"/>
      <c r="T841" s="205"/>
    </row>
    <row r="842" spans="7:20" ht="14.25" customHeight="1">
      <c r="G842" s="91"/>
      <c r="H842" s="91"/>
      <c r="I842" s="91"/>
      <c r="J842" s="91"/>
      <c r="K842" s="91"/>
      <c r="L842" s="177"/>
      <c r="M842" s="176"/>
      <c r="N842" s="176"/>
      <c r="O842" s="176"/>
      <c r="P842" s="91"/>
      <c r="Q842" s="91"/>
      <c r="R842" s="91"/>
      <c r="S842" s="205"/>
      <c r="T842" s="205"/>
    </row>
    <row r="843" spans="7:20" ht="14.25" customHeight="1">
      <c r="G843" s="91"/>
      <c r="H843" s="91"/>
      <c r="I843" s="91"/>
      <c r="J843" s="91"/>
      <c r="K843" s="91"/>
      <c r="L843" s="177"/>
      <c r="M843" s="176"/>
      <c r="N843" s="176"/>
      <c r="O843" s="176"/>
      <c r="P843" s="91"/>
      <c r="Q843" s="91"/>
      <c r="R843" s="91"/>
      <c r="S843" s="205"/>
      <c r="T843" s="205"/>
    </row>
    <row r="844" spans="7:20" ht="14.25" customHeight="1">
      <c r="G844" s="91"/>
      <c r="H844" s="91"/>
      <c r="I844" s="91"/>
      <c r="J844" s="91"/>
      <c r="K844" s="91"/>
      <c r="L844" s="177"/>
      <c r="M844" s="176"/>
      <c r="N844" s="176"/>
      <c r="O844" s="176"/>
      <c r="P844" s="91"/>
      <c r="Q844" s="91"/>
      <c r="R844" s="91"/>
      <c r="S844" s="205"/>
      <c r="T844" s="205"/>
    </row>
    <row r="845" spans="7:20" ht="14.25" customHeight="1">
      <c r="G845" s="91"/>
      <c r="H845" s="91"/>
      <c r="I845" s="91"/>
      <c r="J845" s="91"/>
      <c r="K845" s="91"/>
      <c r="L845" s="177"/>
      <c r="M845" s="176"/>
      <c r="N845" s="176"/>
      <c r="O845" s="176"/>
      <c r="P845" s="91"/>
      <c r="Q845" s="91"/>
      <c r="R845" s="91"/>
      <c r="S845" s="205"/>
      <c r="T845" s="205"/>
    </row>
    <row r="846" spans="7:20" ht="14.25" customHeight="1">
      <c r="G846" s="91"/>
      <c r="H846" s="91"/>
      <c r="I846" s="91"/>
      <c r="J846" s="91"/>
      <c r="K846" s="91"/>
      <c r="L846" s="177"/>
      <c r="M846" s="176"/>
      <c r="N846" s="176"/>
      <c r="O846" s="176"/>
      <c r="P846" s="91"/>
      <c r="Q846" s="91"/>
      <c r="R846" s="91"/>
      <c r="S846" s="205"/>
      <c r="T846" s="205"/>
    </row>
    <row r="847" spans="7:20" ht="14.25" customHeight="1">
      <c r="G847" s="91"/>
      <c r="H847" s="91"/>
      <c r="I847" s="91"/>
      <c r="J847" s="91"/>
      <c r="K847" s="91"/>
      <c r="L847" s="177"/>
      <c r="M847" s="176"/>
      <c r="N847" s="176"/>
      <c r="O847" s="176"/>
      <c r="P847" s="91"/>
      <c r="Q847" s="91"/>
      <c r="R847" s="91"/>
      <c r="S847" s="205"/>
      <c r="T847" s="205"/>
    </row>
    <row r="848" spans="7:20" ht="14.25" customHeight="1">
      <c r="G848" s="91"/>
      <c r="H848" s="91"/>
      <c r="I848" s="91"/>
      <c r="J848" s="91"/>
      <c r="K848" s="91"/>
      <c r="L848" s="177"/>
      <c r="M848" s="176"/>
      <c r="N848" s="176"/>
      <c r="O848" s="176"/>
      <c r="P848" s="91"/>
      <c r="Q848" s="91"/>
      <c r="R848" s="91"/>
      <c r="S848" s="205"/>
      <c r="T848" s="205"/>
    </row>
    <row r="849" spans="7:20" ht="14.25" customHeight="1">
      <c r="G849" s="91"/>
      <c r="H849" s="91"/>
      <c r="I849" s="91"/>
      <c r="J849" s="91"/>
      <c r="K849" s="91"/>
      <c r="L849" s="177"/>
      <c r="M849" s="176"/>
      <c r="N849" s="176"/>
      <c r="O849" s="176"/>
      <c r="P849" s="91"/>
      <c r="Q849" s="91"/>
      <c r="R849" s="91"/>
      <c r="S849" s="205"/>
      <c r="T849" s="205"/>
    </row>
    <row r="850" spans="7:20" ht="14.25" customHeight="1">
      <c r="G850" s="91"/>
      <c r="H850" s="91"/>
      <c r="I850" s="91"/>
      <c r="J850" s="91"/>
      <c r="K850" s="91"/>
      <c r="L850" s="177"/>
      <c r="M850" s="176"/>
      <c r="N850" s="176"/>
      <c r="O850" s="176"/>
      <c r="P850" s="91"/>
      <c r="Q850" s="91"/>
      <c r="R850" s="91"/>
      <c r="S850" s="205"/>
      <c r="T850" s="205"/>
    </row>
    <row r="851" spans="7:20" ht="14.25" customHeight="1">
      <c r="G851" s="91"/>
      <c r="H851" s="91"/>
      <c r="I851" s="91"/>
      <c r="J851" s="91"/>
      <c r="K851" s="91"/>
      <c r="L851" s="177"/>
      <c r="M851" s="176"/>
      <c r="N851" s="176"/>
      <c r="O851" s="176"/>
      <c r="P851" s="91"/>
      <c r="Q851" s="91"/>
      <c r="R851" s="91"/>
      <c r="S851" s="205"/>
      <c r="T851" s="205"/>
    </row>
    <row r="852" spans="7:20" ht="14.25" customHeight="1">
      <c r="G852" s="91"/>
      <c r="H852" s="91"/>
      <c r="I852" s="91"/>
      <c r="J852" s="91"/>
      <c r="K852" s="91"/>
      <c r="L852" s="177"/>
      <c r="M852" s="176"/>
      <c r="N852" s="176"/>
      <c r="O852" s="176"/>
      <c r="P852" s="91"/>
      <c r="Q852" s="91"/>
      <c r="R852" s="91"/>
      <c r="S852" s="205"/>
      <c r="T852" s="205"/>
    </row>
    <row r="853" spans="7:20" ht="14.25" customHeight="1">
      <c r="G853" s="91"/>
      <c r="H853" s="91"/>
      <c r="I853" s="91"/>
      <c r="J853" s="91"/>
      <c r="K853" s="91"/>
      <c r="L853" s="177"/>
      <c r="M853" s="176"/>
      <c r="N853" s="176"/>
      <c r="O853" s="176"/>
      <c r="P853" s="91"/>
      <c r="Q853" s="91"/>
      <c r="R853" s="91"/>
      <c r="S853" s="205"/>
      <c r="T853" s="205"/>
    </row>
    <row r="854" spans="7:20" ht="14.25" customHeight="1">
      <c r="G854" s="91"/>
      <c r="H854" s="91"/>
      <c r="I854" s="91"/>
      <c r="J854" s="91"/>
      <c r="K854" s="91"/>
      <c r="L854" s="177"/>
      <c r="M854" s="176"/>
      <c r="N854" s="176"/>
      <c r="O854" s="176"/>
      <c r="P854" s="91"/>
      <c r="Q854" s="91"/>
      <c r="R854" s="91"/>
      <c r="S854" s="205"/>
      <c r="T854" s="205"/>
    </row>
    <row r="855" spans="7:20" ht="14.25" customHeight="1">
      <c r="G855" s="91"/>
      <c r="H855" s="91"/>
      <c r="I855" s="91"/>
      <c r="J855" s="91"/>
      <c r="K855" s="91"/>
      <c r="L855" s="177"/>
      <c r="M855" s="176"/>
      <c r="N855" s="176"/>
      <c r="O855" s="176"/>
      <c r="P855" s="91"/>
      <c r="Q855" s="91"/>
      <c r="R855" s="91"/>
      <c r="S855" s="205"/>
      <c r="T855" s="205"/>
    </row>
    <row r="856" spans="7:20" ht="14.25" customHeight="1">
      <c r="G856" s="91"/>
      <c r="H856" s="91"/>
      <c r="I856" s="91"/>
      <c r="J856" s="91"/>
      <c r="K856" s="91"/>
      <c r="L856" s="177"/>
      <c r="M856" s="176"/>
      <c r="N856" s="176"/>
      <c r="O856" s="176"/>
      <c r="P856" s="91"/>
      <c r="Q856" s="91"/>
      <c r="R856" s="91"/>
      <c r="S856" s="205"/>
      <c r="T856" s="205"/>
    </row>
    <row r="857" spans="7:20" ht="14.25" customHeight="1">
      <c r="G857" s="91"/>
      <c r="H857" s="91"/>
      <c r="I857" s="91"/>
      <c r="J857" s="91"/>
      <c r="K857" s="91"/>
      <c r="L857" s="177"/>
      <c r="M857" s="176"/>
      <c r="N857" s="176"/>
      <c r="O857" s="176"/>
      <c r="P857" s="91"/>
      <c r="Q857" s="91"/>
      <c r="R857" s="91"/>
      <c r="S857" s="205"/>
      <c r="T857" s="205"/>
    </row>
    <row r="858" spans="7:20" ht="14.25" customHeight="1">
      <c r="G858" s="91"/>
      <c r="H858" s="91"/>
      <c r="I858" s="91"/>
      <c r="J858" s="91"/>
      <c r="K858" s="91"/>
      <c r="L858" s="177"/>
      <c r="M858" s="176"/>
      <c r="N858" s="176"/>
      <c r="O858" s="176"/>
      <c r="P858" s="91"/>
      <c r="Q858" s="91"/>
      <c r="R858" s="91"/>
      <c r="S858" s="205"/>
      <c r="T858" s="205"/>
    </row>
    <row r="859" spans="7:20" ht="14.25" customHeight="1">
      <c r="G859" s="91"/>
      <c r="H859" s="91"/>
      <c r="I859" s="91"/>
      <c r="J859" s="91"/>
      <c r="K859" s="91"/>
      <c r="L859" s="177"/>
      <c r="M859" s="176"/>
      <c r="N859" s="176"/>
      <c r="O859" s="176"/>
      <c r="P859" s="91"/>
      <c r="Q859" s="91"/>
      <c r="R859" s="91"/>
      <c r="S859" s="205"/>
      <c r="T859" s="205"/>
    </row>
    <row r="860" spans="7:20" ht="14.25" customHeight="1">
      <c r="G860" s="91"/>
      <c r="H860" s="91"/>
      <c r="I860" s="91"/>
      <c r="J860" s="91"/>
      <c r="K860" s="91"/>
      <c r="L860" s="177"/>
      <c r="M860" s="176"/>
      <c r="N860" s="176"/>
      <c r="O860" s="176"/>
      <c r="P860" s="91"/>
      <c r="Q860" s="91"/>
      <c r="R860" s="91"/>
      <c r="S860" s="205"/>
      <c r="T860" s="205"/>
    </row>
    <row r="861" spans="7:20" ht="14.25" customHeight="1">
      <c r="G861" s="91"/>
      <c r="H861" s="91"/>
      <c r="I861" s="91"/>
      <c r="J861" s="91"/>
      <c r="K861" s="91"/>
      <c r="L861" s="177"/>
      <c r="M861" s="176"/>
      <c r="N861" s="176"/>
      <c r="O861" s="176"/>
      <c r="P861" s="91"/>
      <c r="Q861" s="91"/>
      <c r="R861" s="91"/>
      <c r="S861" s="205"/>
      <c r="T861" s="205"/>
    </row>
    <row r="862" spans="7:20" ht="14.25" customHeight="1">
      <c r="G862" s="91"/>
      <c r="H862" s="91"/>
      <c r="I862" s="91"/>
      <c r="J862" s="91"/>
      <c r="K862" s="91"/>
      <c r="L862" s="177"/>
      <c r="M862" s="176"/>
      <c r="N862" s="176"/>
      <c r="O862" s="176"/>
      <c r="P862" s="91"/>
      <c r="Q862" s="91"/>
      <c r="R862" s="91"/>
      <c r="S862" s="205"/>
      <c r="T862" s="205"/>
    </row>
    <row r="863" spans="7:20" ht="14.25" customHeight="1">
      <c r="G863" s="91"/>
      <c r="H863" s="91"/>
      <c r="I863" s="91"/>
      <c r="J863" s="91"/>
      <c r="K863" s="91"/>
      <c r="L863" s="177"/>
      <c r="M863" s="176"/>
      <c r="N863" s="176"/>
      <c r="O863" s="176"/>
      <c r="P863" s="91"/>
      <c r="Q863" s="91"/>
      <c r="R863" s="91"/>
      <c r="S863" s="205"/>
      <c r="T863" s="205"/>
    </row>
    <row r="864" spans="7:20" ht="14.25" customHeight="1">
      <c r="G864" s="91"/>
      <c r="H864" s="91"/>
      <c r="I864" s="91"/>
      <c r="J864" s="91"/>
      <c r="K864" s="91"/>
      <c r="L864" s="177"/>
      <c r="M864" s="176"/>
      <c r="N864" s="176"/>
      <c r="O864" s="176"/>
      <c r="P864" s="91"/>
      <c r="Q864" s="91"/>
      <c r="R864" s="91"/>
      <c r="S864" s="205"/>
      <c r="T864" s="205"/>
    </row>
    <row r="865" spans="7:20" ht="14.25" customHeight="1">
      <c r="G865" s="91"/>
      <c r="H865" s="91"/>
      <c r="I865" s="91"/>
      <c r="J865" s="91"/>
      <c r="K865" s="91"/>
      <c r="L865" s="177"/>
      <c r="M865" s="176"/>
      <c r="N865" s="176"/>
      <c r="O865" s="176"/>
      <c r="P865" s="91"/>
      <c r="Q865" s="91"/>
      <c r="R865" s="91"/>
      <c r="S865" s="205"/>
      <c r="T865" s="205"/>
    </row>
    <row r="866" spans="7:20" ht="14.25" customHeight="1">
      <c r="G866" s="91"/>
      <c r="H866" s="91"/>
      <c r="I866" s="91"/>
      <c r="J866" s="91"/>
      <c r="K866" s="91"/>
      <c r="L866" s="177"/>
      <c r="M866" s="176"/>
      <c r="N866" s="176"/>
      <c r="O866" s="176"/>
      <c r="P866" s="91"/>
      <c r="Q866" s="91"/>
      <c r="R866" s="91"/>
      <c r="S866" s="205"/>
      <c r="T866" s="205"/>
    </row>
    <row r="867" spans="7:20" ht="14.25" customHeight="1">
      <c r="G867" s="91"/>
      <c r="H867" s="91"/>
      <c r="I867" s="91"/>
      <c r="J867" s="91"/>
      <c r="K867" s="91"/>
      <c r="L867" s="177"/>
      <c r="M867" s="176"/>
      <c r="N867" s="176"/>
      <c r="O867" s="176"/>
      <c r="P867" s="91"/>
      <c r="Q867" s="91"/>
      <c r="R867" s="91"/>
      <c r="S867" s="205"/>
      <c r="T867" s="205"/>
    </row>
    <row r="868" spans="7:20" ht="14.25" customHeight="1">
      <c r="G868" s="91"/>
      <c r="H868" s="91"/>
      <c r="I868" s="91"/>
      <c r="J868" s="91"/>
      <c r="K868" s="91"/>
      <c r="L868" s="177"/>
      <c r="M868" s="176"/>
      <c r="N868" s="176"/>
      <c r="O868" s="176"/>
      <c r="P868" s="91"/>
      <c r="Q868" s="91"/>
      <c r="R868" s="91"/>
      <c r="S868" s="205"/>
      <c r="T868" s="205"/>
    </row>
    <row r="869" spans="7:20" ht="14.25" customHeight="1">
      <c r="G869" s="91"/>
      <c r="H869" s="91"/>
      <c r="I869" s="91"/>
      <c r="J869" s="91"/>
      <c r="K869" s="91"/>
      <c r="L869" s="177"/>
      <c r="M869" s="176"/>
      <c r="N869" s="176"/>
      <c r="O869" s="176"/>
      <c r="P869" s="91"/>
      <c r="Q869" s="91"/>
      <c r="R869" s="91"/>
      <c r="S869" s="205"/>
      <c r="T869" s="205"/>
    </row>
    <row r="870" spans="7:20" ht="14.25" customHeight="1">
      <c r="G870" s="91"/>
      <c r="H870" s="91"/>
      <c r="I870" s="91"/>
      <c r="J870" s="91"/>
      <c r="K870" s="91"/>
      <c r="L870" s="177"/>
      <c r="M870" s="176"/>
      <c r="N870" s="176"/>
      <c r="O870" s="176"/>
      <c r="P870" s="91"/>
      <c r="Q870" s="91"/>
      <c r="R870" s="91"/>
      <c r="S870" s="205"/>
      <c r="T870" s="205"/>
    </row>
    <row r="871" spans="7:20" ht="14.25" customHeight="1">
      <c r="G871" s="91"/>
      <c r="H871" s="91"/>
      <c r="I871" s="91"/>
      <c r="J871" s="91"/>
      <c r="K871" s="91"/>
      <c r="L871" s="177"/>
      <c r="M871" s="176"/>
      <c r="N871" s="176"/>
      <c r="O871" s="176"/>
      <c r="P871" s="91"/>
      <c r="Q871" s="91"/>
      <c r="R871" s="91"/>
      <c r="S871" s="205"/>
      <c r="T871" s="205"/>
    </row>
    <row r="872" spans="7:20" ht="14.25" customHeight="1">
      <c r="G872" s="91"/>
      <c r="H872" s="91"/>
      <c r="I872" s="91"/>
      <c r="J872" s="91"/>
      <c r="K872" s="91"/>
      <c r="L872" s="177"/>
      <c r="M872" s="176"/>
      <c r="N872" s="176"/>
      <c r="O872" s="176"/>
      <c r="P872" s="91"/>
      <c r="Q872" s="91"/>
      <c r="R872" s="91"/>
      <c r="S872" s="205"/>
      <c r="T872" s="205"/>
    </row>
    <row r="873" spans="7:20" ht="14.25" customHeight="1">
      <c r="G873" s="91"/>
      <c r="H873" s="91"/>
      <c r="I873" s="91"/>
      <c r="J873" s="91"/>
      <c r="K873" s="91"/>
      <c r="L873" s="177"/>
      <c r="M873" s="176"/>
      <c r="N873" s="176"/>
      <c r="O873" s="176"/>
      <c r="P873" s="91"/>
      <c r="Q873" s="91"/>
      <c r="R873" s="91"/>
      <c r="S873" s="205"/>
      <c r="T873" s="205"/>
    </row>
    <row r="874" spans="7:20" ht="14.25" customHeight="1">
      <c r="G874" s="91"/>
      <c r="H874" s="91"/>
      <c r="I874" s="91"/>
      <c r="J874" s="91"/>
      <c r="K874" s="91"/>
      <c r="L874" s="177"/>
      <c r="M874" s="176"/>
      <c r="N874" s="176"/>
      <c r="O874" s="176"/>
      <c r="P874" s="91"/>
      <c r="Q874" s="91"/>
      <c r="R874" s="91"/>
      <c r="S874" s="205"/>
      <c r="T874" s="205"/>
    </row>
    <row r="875" spans="7:20" ht="14.25" customHeight="1">
      <c r="G875" s="91"/>
      <c r="H875" s="91"/>
      <c r="I875" s="91"/>
      <c r="J875" s="91"/>
      <c r="K875" s="91"/>
      <c r="L875" s="177"/>
      <c r="M875" s="176"/>
      <c r="N875" s="176"/>
      <c r="O875" s="176"/>
      <c r="P875" s="91"/>
      <c r="Q875" s="91"/>
      <c r="R875" s="91"/>
      <c r="S875" s="205"/>
      <c r="T875" s="205"/>
    </row>
    <row r="876" spans="7:20" ht="14.25" customHeight="1">
      <c r="G876" s="91"/>
      <c r="H876" s="91"/>
      <c r="I876" s="91"/>
      <c r="J876" s="91"/>
      <c r="K876" s="91"/>
      <c r="L876" s="177"/>
      <c r="M876" s="176"/>
      <c r="N876" s="176"/>
      <c r="O876" s="176"/>
      <c r="P876" s="91"/>
      <c r="Q876" s="91"/>
      <c r="R876" s="91"/>
      <c r="S876" s="205"/>
      <c r="T876" s="205"/>
    </row>
    <row r="877" spans="7:20" ht="14.25" customHeight="1">
      <c r="G877" s="91"/>
      <c r="H877" s="91"/>
      <c r="I877" s="91"/>
      <c r="J877" s="91"/>
      <c r="K877" s="91"/>
      <c r="L877" s="177"/>
      <c r="M877" s="176"/>
      <c r="N877" s="176"/>
      <c r="O877" s="176"/>
      <c r="P877" s="91"/>
      <c r="Q877" s="91"/>
      <c r="R877" s="91"/>
      <c r="S877" s="205"/>
      <c r="T877" s="205"/>
    </row>
    <row r="878" spans="7:20" ht="14.25" customHeight="1">
      <c r="G878" s="91"/>
      <c r="H878" s="91"/>
      <c r="I878" s="91"/>
      <c r="J878" s="91"/>
      <c r="K878" s="91"/>
      <c r="L878" s="177"/>
      <c r="M878" s="176"/>
      <c r="N878" s="176"/>
      <c r="O878" s="176"/>
      <c r="P878" s="91"/>
      <c r="Q878" s="91"/>
      <c r="R878" s="91"/>
      <c r="S878" s="205"/>
      <c r="T878" s="205"/>
    </row>
    <row r="879" spans="7:20" ht="14.25" customHeight="1">
      <c r="G879" s="91"/>
      <c r="H879" s="91"/>
      <c r="I879" s="91"/>
      <c r="J879" s="91"/>
      <c r="K879" s="91"/>
      <c r="L879" s="177"/>
      <c r="M879" s="176"/>
      <c r="N879" s="176"/>
      <c r="O879" s="176"/>
      <c r="P879" s="91"/>
      <c r="Q879" s="91"/>
      <c r="R879" s="91"/>
      <c r="S879" s="205"/>
      <c r="T879" s="205"/>
    </row>
    <row r="880" spans="7:20" ht="14.25" customHeight="1">
      <c r="G880" s="91"/>
      <c r="H880" s="91"/>
      <c r="I880" s="91"/>
      <c r="J880" s="91"/>
      <c r="K880" s="91"/>
      <c r="L880" s="177"/>
      <c r="M880" s="176"/>
      <c r="N880" s="176"/>
      <c r="O880" s="176"/>
      <c r="P880" s="91"/>
      <c r="Q880" s="91"/>
      <c r="R880" s="91"/>
      <c r="S880" s="205"/>
      <c r="T880" s="205"/>
    </row>
    <row r="881" spans="7:20" ht="14.25" customHeight="1">
      <c r="G881" s="91"/>
      <c r="H881" s="91"/>
      <c r="I881" s="91"/>
      <c r="J881" s="91"/>
      <c r="K881" s="91"/>
      <c r="L881" s="177"/>
      <c r="M881" s="176"/>
      <c r="N881" s="176"/>
      <c r="O881" s="176"/>
      <c r="P881" s="91"/>
      <c r="Q881" s="91"/>
      <c r="R881" s="91"/>
      <c r="S881" s="205"/>
      <c r="T881" s="205"/>
    </row>
    <row r="882" spans="7:20" ht="14.25" customHeight="1">
      <c r="G882" s="91"/>
      <c r="H882" s="91"/>
      <c r="I882" s="91"/>
      <c r="J882" s="91"/>
      <c r="K882" s="91"/>
      <c r="L882" s="177"/>
      <c r="M882" s="176"/>
      <c r="N882" s="176"/>
      <c r="O882" s="176"/>
      <c r="P882" s="91"/>
      <c r="Q882" s="91"/>
      <c r="R882" s="91"/>
      <c r="S882" s="205"/>
      <c r="T882" s="205"/>
    </row>
    <row r="883" spans="7:20" ht="14.25" customHeight="1">
      <c r="G883" s="91"/>
      <c r="H883" s="91"/>
      <c r="I883" s="91"/>
      <c r="J883" s="91"/>
      <c r="K883" s="91"/>
      <c r="L883" s="177"/>
      <c r="M883" s="176"/>
      <c r="N883" s="176"/>
      <c r="O883" s="176"/>
      <c r="P883" s="91"/>
      <c r="Q883" s="91"/>
      <c r="R883" s="91"/>
      <c r="S883" s="205"/>
      <c r="T883" s="205"/>
    </row>
    <row r="884" spans="7:20" ht="14.25" customHeight="1">
      <c r="G884" s="91"/>
      <c r="H884" s="91"/>
      <c r="I884" s="91"/>
      <c r="J884" s="91"/>
      <c r="K884" s="91"/>
      <c r="L884" s="177"/>
      <c r="M884" s="176"/>
      <c r="N884" s="176"/>
      <c r="O884" s="176"/>
      <c r="P884" s="91"/>
      <c r="Q884" s="91"/>
      <c r="R884" s="91"/>
      <c r="S884" s="205"/>
      <c r="T884" s="205"/>
    </row>
    <row r="885" spans="7:20" ht="14.25" customHeight="1">
      <c r="G885" s="91"/>
      <c r="H885" s="91"/>
      <c r="I885" s="91"/>
      <c r="J885" s="91"/>
      <c r="K885" s="91"/>
      <c r="L885" s="177"/>
      <c r="M885" s="176"/>
      <c r="N885" s="176"/>
      <c r="O885" s="176"/>
      <c r="P885" s="91"/>
      <c r="Q885" s="91"/>
      <c r="R885" s="91"/>
      <c r="S885" s="205"/>
      <c r="T885" s="205"/>
    </row>
    <row r="886" spans="7:20" ht="14.25" customHeight="1">
      <c r="G886" s="91"/>
      <c r="H886" s="91"/>
      <c r="I886" s="91"/>
      <c r="J886" s="91"/>
      <c r="K886" s="91"/>
      <c r="L886" s="177"/>
      <c r="M886" s="176"/>
      <c r="N886" s="176"/>
      <c r="O886" s="176"/>
      <c r="P886" s="91"/>
      <c r="Q886" s="91"/>
      <c r="R886" s="91"/>
      <c r="S886" s="205"/>
      <c r="T886" s="205"/>
    </row>
    <row r="887" spans="7:20" ht="14.25" customHeight="1">
      <c r="G887" s="91"/>
      <c r="H887" s="91"/>
      <c r="I887" s="91"/>
      <c r="J887" s="91"/>
      <c r="K887" s="91"/>
      <c r="L887" s="177"/>
      <c r="M887" s="176"/>
      <c r="N887" s="176"/>
      <c r="O887" s="176"/>
      <c r="P887" s="91"/>
      <c r="Q887" s="91"/>
      <c r="R887" s="91"/>
      <c r="S887" s="205"/>
      <c r="T887" s="205"/>
    </row>
    <row r="888" spans="7:20" ht="14.25" customHeight="1">
      <c r="G888" s="91"/>
      <c r="H888" s="91"/>
      <c r="I888" s="91"/>
      <c r="J888" s="91"/>
      <c r="K888" s="91"/>
      <c r="L888" s="177"/>
      <c r="M888" s="176"/>
      <c r="N888" s="176"/>
      <c r="O888" s="176"/>
      <c r="P888" s="91"/>
      <c r="Q888" s="91"/>
      <c r="R888" s="91"/>
      <c r="S888" s="205"/>
      <c r="T888" s="205"/>
    </row>
    <row r="889" spans="7:20" ht="14.25" customHeight="1">
      <c r="G889" s="91"/>
      <c r="H889" s="91"/>
      <c r="I889" s="91"/>
      <c r="J889" s="91"/>
      <c r="K889" s="91"/>
      <c r="L889" s="177"/>
      <c r="M889" s="176"/>
      <c r="N889" s="176"/>
      <c r="O889" s="176"/>
      <c r="P889" s="91"/>
      <c r="Q889" s="91"/>
      <c r="R889" s="91"/>
      <c r="S889" s="205"/>
      <c r="T889" s="205"/>
    </row>
    <row r="890" spans="7:20" ht="14.25" customHeight="1">
      <c r="G890" s="91"/>
      <c r="H890" s="91"/>
      <c r="I890" s="91"/>
      <c r="J890" s="91"/>
      <c r="K890" s="91"/>
      <c r="L890" s="177"/>
      <c r="M890" s="176"/>
      <c r="N890" s="176"/>
      <c r="O890" s="176"/>
      <c r="P890" s="91"/>
      <c r="Q890" s="91"/>
      <c r="R890" s="91"/>
      <c r="S890" s="205"/>
      <c r="T890" s="205"/>
    </row>
    <row r="891" spans="7:20" ht="14.25" customHeight="1">
      <c r="G891" s="91"/>
      <c r="H891" s="91"/>
      <c r="I891" s="91"/>
      <c r="J891" s="91"/>
      <c r="K891" s="91"/>
      <c r="L891" s="177"/>
      <c r="M891" s="176"/>
      <c r="N891" s="176"/>
      <c r="O891" s="176"/>
      <c r="P891" s="91"/>
      <c r="Q891" s="91"/>
      <c r="R891" s="91"/>
      <c r="S891" s="205"/>
      <c r="T891" s="205"/>
    </row>
    <row r="892" spans="7:20" ht="14.25" customHeight="1">
      <c r="G892" s="91"/>
      <c r="H892" s="91"/>
      <c r="I892" s="91"/>
      <c r="J892" s="91"/>
      <c r="K892" s="91"/>
      <c r="L892" s="177"/>
      <c r="M892" s="176"/>
      <c r="N892" s="176"/>
      <c r="O892" s="176"/>
      <c r="P892" s="91"/>
      <c r="Q892" s="91"/>
      <c r="R892" s="91"/>
      <c r="S892" s="205"/>
      <c r="T892" s="205"/>
    </row>
    <row r="893" spans="7:20" ht="14.25" customHeight="1">
      <c r="G893" s="91"/>
      <c r="H893" s="91"/>
      <c r="I893" s="91"/>
      <c r="J893" s="91"/>
      <c r="K893" s="91"/>
      <c r="L893" s="177"/>
      <c r="M893" s="176"/>
      <c r="N893" s="176"/>
      <c r="O893" s="176"/>
      <c r="P893" s="91"/>
      <c r="Q893" s="91"/>
      <c r="R893" s="91"/>
      <c r="S893" s="205"/>
      <c r="T893" s="205"/>
    </row>
    <row r="894" spans="7:20" ht="14.25" customHeight="1">
      <c r="G894" s="91"/>
      <c r="H894" s="91"/>
      <c r="I894" s="91"/>
      <c r="J894" s="91"/>
      <c r="K894" s="91"/>
      <c r="L894" s="177"/>
      <c r="M894" s="176"/>
      <c r="N894" s="176"/>
      <c r="O894" s="176"/>
      <c r="P894" s="91"/>
      <c r="Q894" s="91"/>
      <c r="R894" s="91"/>
      <c r="S894" s="205"/>
      <c r="T894" s="205"/>
    </row>
    <row r="895" spans="7:20" ht="14.25" customHeight="1">
      <c r="G895" s="91"/>
      <c r="H895" s="91"/>
      <c r="I895" s="91"/>
      <c r="J895" s="91"/>
      <c r="K895" s="91"/>
      <c r="L895" s="177"/>
      <c r="M895" s="176"/>
      <c r="N895" s="176"/>
      <c r="O895" s="176"/>
      <c r="P895" s="91"/>
      <c r="Q895" s="91"/>
      <c r="R895" s="91"/>
      <c r="S895" s="205"/>
      <c r="T895" s="205"/>
    </row>
    <row r="896" spans="7:20" ht="14.25" customHeight="1">
      <c r="G896" s="91"/>
      <c r="H896" s="91"/>
      <c r="I896" s="91"/>
      <c r="J896" s="91"/>
      <c r="K896" s="91"/>
      <c r="L896" s="177"/>
      <c r="M896" s="176"/>
      <c r="N896" s="176"/>
      <c r="O896" s="176"/>
      <c r="P896" s="91"/>
      <c r="Q896" s="91"/>
      <c r="R896" s="91"/>
      <c r="S896" s="205"/>
      <c r="T896" s="205"/>
    </row>
    <row r="897" spans="7:20" ht="14.25" customHeight="1">
      <c r="G897" s="91"/>
      <c r="H897" s="91"/>
      <c r="I897" s="91"/>
      <c r="J897" s="91"/>
      <c r="K897" s="91"/>
      <c r="L897" s="177"/>
      <c r="M897" s="176"/>
      <c r="N897" s="176"/>
      <c r="O897" s="176"/>
      <c r="P897" s="91"/>
      <c r="Q897" s="91"/>
      <c r="R897" s="91"/>
      <c r="S897" s="205"/>
      <c r="T897" s="205"/>
    </row>
    <row r="898" spans="7:20" ht="14.25" customHeight="1">
      <c r="G898" s="91"/>
      <c r="H898" s="91"/>
      <c r="I898" s="91"/>
      <c r="J898" s="91"/>
      <c r="K898" s="91"/>
      <c r="L898" s="177"/>
      <c r="M898" s="176"/>
      <c r="N898" s="176"/>
      <c r="O898" s="176"/>
      <c r="P898" s="91"/>
      <c r="Q898" s="91"/>
      <c r="R898" s="91"/>
      <c r="S898" s="205"/>
      <c r="T898" s="205"/>
    </row>
    <row r="899" spans="7:20" ht="14.25" customHeight="1">
      <c r="G899" s="91"/>
      <c r="H899" s="91"/>
      <c r="I899" s="91"/>
      <c r="J899" s="91"/>
      <c r="K899" s="91"/>
      <c r="L899" s="177"/>
      <c r="M899" s="176"/>
      <c r="N899" s="176"/>
      <c r="O899" s="176"/>
      <c r="P899" s="91"/>
      <c r="Q899" s="91"/>
      <c r="R899" s="91"/>
      <c r="S899" s="205"/>
      <c r="T899" s="205"/>
    </row>
    <row r="900" spans="7:20" ht="14.25" customHeight="1">
      <c r="G900" s="91"/>
      <c r="H900" s="91"/>
      <c r="I900" s="91"/>
      <c r="J900" s="91"/>
      <c r="K900" s="91"/>
      <c r="L900" s="177"/>
      <c r="M900" s="176"/>
      <c r="N900" s="176"/>
      <c r="O900" s="176"/>
      <c r="P900" s="91"/>
      <c r="Q900" s="91"/>
      <c r="R900" s="91"/>
      <c r="S900" s="205"/>
      <c r="T900" s="205"/>
    </row>
    <row r="901" spans="7:20" ht="14.25" customHeight="1">
      <c r="G901" s="91"/>
      <c r="H901" s="91"/>
      <c r="I901" s="91"/>
      <c r="J901" s="91"/>
      <c r="K901" s="91"/>
      <c r="L901" s="177"/>
      <c r="M901" s="176"/>
      <c r="N901" s="176"/>
      <c r="O901" s="176"/>
      <c r="P901" s="91"/>
      <c r="Q901" s="91"/>
      <c r="R901" s="91"/>
      <c r="S901" s="205"/>
      <c r="T901" s="205"/>
    </row>
    <row r="902" spans="7:20" ht="14.25" customHeight="1">
      <c r="G902" s="91"/>
      <c r="H902" s="91"/>
      <c r="I902" s="91"/>
      <c r="J902" s="91"/>
      <c r="K902" s="91"/>
      <c r="L902" s="177"/>
      <c r="M902" s="176"/>
      <c r="N902" s="176"/>
      <c r="O902" s="176"/>
      <c r="P902" s="91"/>
      <c r="Q902" s="91"/>
      <c r="R902" s="91"/>
      <c r="S902" s="205"/>
      <c r="T902" s="205"/>
    </row>
    <row r="903" spans="7:20" ht="14.25" customHeight="1">
      <c r="G903" s="91"/>
      <c r="H903" s="91"/>
      <c r="I903" s="91"/>
      <c r="J903" s="91"/>
      <c r="K903" s="91"/>
      <c r="L903" s="177"/>
      <c r="M903" s="176"/>
      <c r="N903" s="176"/>
      <c r="O903" s="176"/>
      <c r="P903" s="91"/>
      <c r="Q903" s="91"/>
      <c r="R903" s="91"/>
      <c r="S903" s="205"/>
      <c r="T903" s="205"/>
    </row>
    <row r="904" spans="7:20" ht="14.25" customHeight="1">
      <c r="G904" s="91"/>
      <c r="H904" s="91"/>
      <c r="I904" s="91"/>
      <c r="J904" s="91"/>
      <c r="K904" s="91"/>
      <c r="L904" s="177"/>
      <c r="M904" s="176"/>
      <c r="N904" s="176"/>
      <c r="O904" s="176"/>
      <c r="P904" s="91"/>
      <c r="Q904" s="91"/>
      <c r="R904" s="91"/>
      <c r="S904" s="205"/>
      <c r="T904" s="205"/>
    </row>
    <row r="905" spans="7:20" ht="14.25" customHeight="1">
      <c r="G905" s="91"/>
      <c r="H905" s="91"/>
      <c r="I905" s="91"/>
      <c r="J905" s="91"/>
      <c r="K905" s="91"/>
      <c r="L905" s="177"/>
      <c r="M905" s="176"/>
      <c r="N905" s="176"/>
      <c r="O905" s="176"/>
      <c r="P905" s="91"/>
      <c r="Q905" s="91"/>
      <c r="R905" s="91"/>
      <c r="S905" s="205"/>
      <c r="T905" s="205"/>
    </row>
    <row r="906" spans="7:20" ht="14.25" customHeight="1">
      <c r="G906" s="91"/>
      <c r="H906" s="91"/>
      <c r="I906" s="91"/>
      <c r="J906" s="91"/>
      <c r="K906" s="91"/>
      <c r="L906" s="177"/>
      <c r="M906" s="176"/>
      <c r="N906" s="176"/>
      <c r="O906" s="176"/>
      <c r="P906" s="91"/>
      <c r="Q906" s="91"/>
      <c r="R906" s="91"/>
      <c r="S906" s="205"/>
      <c r="T906" s="205"/>
    </row>
    <row r="907" spans="7:20" ht="14.25" customHeight="1">
      <c r="G907" s="91"/>
      <c r="H907" s="91"/>
      <c r="I907" s="91"/>
      <c r="J907" s="91"/>
      <c r="K907" s="91"/>
      <c r="L907" s="177"/>
      <c r="M907" s="176"/>
      <c r="N907" s="176"/>
      <c r="O907" s="176"/>
      <c r="P907" s="91"/>
      <c r="Q907" s="91"/>
      <c r="R907" s="91"/>
      <c r="S907" s="205"/>
      <c r="T907" s="205"/>
    </row>
    <row r="908" spans="7:20" ht="14.25" customHeight="1">
      <c r="G908" s="91"/>
      <c r="H908" s="91"/>
      <c r="I908" s="91"/>
      <c r="J908" s="91"/>
      <c r="K908" s="91"/>
      <c r="L908" s="177"/>
      <c r="M908" s="176"/>
      <c r="N908" s="176"/>
      <c r="O908" s="176"/>
      <c r="P908" s="91"/>
      <c r="Q908" s="91"/>
      <c r="R908" s="91"/>
      <c r="S908" s="205"/>
      <c r="T908" s="205"/>
    </row>
    <row r="909" spans="7:20" ht="14.25" customHeight="1">
      <c r="G909" s="91"/>
      <c r="H909" s="91"/>
      <c r="I909" s="91"/>
      <c r="J909" s="91"/>
      <c r="K909" s="91"/>
      <c r="L909" s="177"/>
      <c r="M909" s="176"/>
      <c r="N909" s="176"/>
      <c r="O909" s="176"/>
      <c r="P909" s="91"/>
      <c r="Q909" s="91"/>
      <c r="R909" s="91"/>
      <c r="S909" s="205"/>
      <c r="T909" s="205"/>
    </row>
    <row r="910" spans="7:20" ht="14.25" customHeight="1">
      <c r="G910" s="91"/>
      <c r="H910" s="91"/>
      <c r="I910" s="91"/>
      <c r="J910" s="91"/>
      <c r="K910" s="91"/>
      <c r="L910" s="177"/>
      <c r="M910" s="176"/>
      <c r="N910" s="176"/>
      <c r="O910" s="176"/>
      <c r="P910" s="91"/>
      <c r="Q910" s="91"/>
      <c r="R910" s="91"/>
      <c r="S910" s="205"/>
      <c r="T910" s="205"/>
    </row>
    <row r="911" spans="7:20" ht="14.25" customHeight="1">
      <c r="G911" s="91"/>
      <c r="H911" s="91"/>
      <c r="I911" s="91"/>
      <c r="J911" s="91"/>
      <c r="K911" s="91"/>
      <c r="L911" s="177"/>
      <c r="M911" s="176"/>
      <c r="N911" s="176"/>
      <c r="O911" s="176"/>
      <c r="P911" s="91"/>
      <c r="Q911" s="91"/>
      <c r="R911" s="91"/>
      <c r="S911" s="205"/>
      <c r="T911" s="205"/>
    </row>
    <row r="912" spans="7:20" ht="14.25" customHeight="1">
      <c r="G912" s="91"/>
      <c r="H912" s="91"/>
      <c r="I912" s="91"/>
      <c r="J912" s="91"/>
      <c r="K912" s="91"/>
      <c r="L912" s="177"/>
      <c r="M912" s="176"/>
      <c r="N912" s="176"/>
      <c r="O912" s="176"/>
      <c r="P912" s="91"/>
      <c r="Q912" s="91"/>
      <c r="R912" s="91"/>
      <c r="S912" s="205"/>
      <c r="T912" s="205"/>
    </row>
    <row r="913" spans="7:20" ht="14.25" customHeight="1">
      <c r="G913" s="91"/>
      <c r="H913" s="91"/>
      <c r="I913" s="91"/>
      <c r="J913" s="91"/>
      <c r="K913" s="91"/>
      <c r="L913" s="177"/>
      <c r="M913" s="176"/>
      <c r="N913" s="176"/>
      <c r="O913" s="176"/>
      <c r="P913" s="91"/>
      <c r="Q913" s="91"/>
      <c r="R913" s="91"/>
      <c r="S913" s="205"/>
      <c r="T913" s="205"/>
    </row>
    <row r="914" spans="7:20" ht="14.25" customHeight="1">
      <c r="G914" s="91"/>
      <c r="H914" s="91"/>
      <c r="I914" s="91"/>
      <c r="J914" s="91"/>
      <c r="K914" s="91"/>
      <c r="L914" s="177"/>
      <c r="M914" s="176"/>
      <c r="N914" s="176"/>
      <c r="O914" s="176"/>
      <c r="P914" s="91"/>
      <c r="Q914" s="91"/>
      <c r="R914" s="91"/>
      <c r="S914" s="205"/>
      <c r="T914" s="205"/>
    </row>
    <row r="915" spans="7:20" ht="14.25" customHeight="1">
      <c r="G915" s="91"/>
      <c r="H915" s="91"/>
      <c r="I915" s="91"/>
      <c r="J915" s="91"/>
      <c r="K915" s="91"/>
      <c r="L915" s="177"/>
      <c r="M915" s="176"/>
      <c r="N915" s="176"/>
      <c r="O915" s="176"/>
      <c r="P915" s="91"/>
      <c r="Q915" s="91"/>
      <c r="R915" s="91"/>
      <c r="S915" s="205"/>
      <c r="T915" s="205"/>
    </row>
    <row r="916" spans="7:20" ht="14.25" customHeight="1">
      <c r="G916" s="91"/>
      <c r="H916" s="91"/>
      <c r="I916" s="91"/>
      <c r="J916" s="91"/>
      <c r="K916" s="91"/>
      <c r="L916" s="177"/>
      <c r="M916" s="176"/>
      <c r="N916" s="176"/>
      <c r="O916" s="176"/>
      <c r="P916" s="91"/>
      <c r="Q916" s="91"/>
      <c r="R916" s="91"/>
      <c r="S916" s="205"/>
      <c r="T916" s="205"/>
    </row>
    <row r="917" spans="7:20" ht="14.25" customHeight="1">
      <c r="G917" s="91"/>
      <c r="H917" s="91"/>
      <c r="I917" s="91"/>
      <c r="J917" s="91"/>
      <c r="K917" s="91"/>
      <c r="L917" s="177"/>
      <c r="M917" s="176"/>
      <c r="N917" s="176"/>
      <c r="O917" s="176"/>
      <c r="P917" s="91"/>
      <c r="Q917" s="91"/>
      <c r="R917" s="91"/>
      <c r="S917" s="205"/>
      <c r="T917" s="205"/>
    </row>
    <row r="918" spans="7:20" ht="14.25" customHeight="1">
      <c r="G918" s="91"/>
      <c r="H918" s="91"/>
      <c r="I918" s="91"/>
      <c r="J918" s="91"/>
      <c r="K918" s="91"/>
      <c r="L918" s="177"/>
      <c r="M918" s="176"/>
      <c r="N918" s="176"/>
      <c r="O918" s="176"/>
      <c r="P918" s="91"/>
      <c r="Q918" s="91"/>
      <c r="R918" s="91"/>
      <c r="S918" s="205"/>
      <c r="T918" s="205"/>
    </row>
    <row r="919" spans="7:20" ht="14.25" customHeight="1">
      <c r="G919" s="91"/>
      <c r="H919" s="91"/>
      <c r="I919" s="91"/>
      <c r="J919" s="91"/>
      <c r="K919" s="91"/>
      <c r="L919" s="177"/>
      <c r="M919" s="176"/>
      <c r="N919" s="176"/>
      <c r="O919" s="176"/>
      <c r="P919" s="91"/>
      <c r="Q919" s="91"/>
      <c r="R919" s="91"/>
      <c r="S919" s="205"/>
      <c r="T919" s="205"/>
    </row>
    <row r="920" spans="7:20" ht="14.25" customHeight="1">
      <c r="G920" s="91"/>
      <c r="H920" s="91"/>
      <c r="I920" s="91"/>
      <c r="J920" s="91"/>
      <c r="K920" s="91"/>
      <c r="L920" s="177"/>
      <c r="M920" s="176"/>
      <c r="N920" s="176"/>
      <c r="O920" s="176"/>
      <c r="P920" s="91"/>
      <c r="Q920" s="91"/>
      <c r="R920" s="91"/>
      <c r="S920" s="205"/>
      <c r="T920" s="205"/>
    </row>
    <row r="921" spans="7:20" ht="14.25" customHeight="1">
      <c r="G921" s="91"/>
      <c r="H921" s="91"/>
      <c r="I921" s="91"/>
      <c r="J921" s="91"/>
      <c r="K921" s="91"/>
      <c r="L921" s="177"/>
      <c r="M921" s="176"/>
      <c r="N921" s="176"/>
      <c r="O921" s="176"/>
      <c r="P921" s="91"/>
      <c r="Q921" s="91"/>
      <c r="R921" s="91"/>
      <c r="S921" s="205"/>
      <c r="T921" s="205"/>
    </row>
    <row r="922" spans="7:20" ht="14.25" customHeight="1">
      <c r="G922" s="91"/>
      <c r="H922" s="91"/>
      <c r="I922" s="91"/>
      <c r="J922" s="91"/>
      <c r="K922" s="91"/>
      <c r="L922" s="177"/>
      <c r="M922" s="176"/>
      <c r="N922" s="176"/>
      <c r="O922" s="176"/>
      <c r="P922" s="91"/>
      <c r="Q922" s="91"/>
      <c r="R922" s="91"/>
      <c r="S922" s="205"/>
      <c r="T922" s="205"/>
    </row>
    <row r="923" spans="7:20" ht="14.25" customHeight="1">
      <c r="G923" s="91"/>
      <c r="H923" s="91"/>
      <c r="I923" s="91"/>
      <c r="J923" s="91"/>
      <c r="K923" s="91"/>
      <c r="L923" s="177"/>
      <c r="M923" s="176"/>
      <c r="N923" s="176"/>
      <c r="O923" s="176"/>
      <c r="P923" s="91"/>
      <c r="Q923" s="91"/>
      <c r="R923" s="91"/>
      <c r="S923" s="205"/>
      <c r="T923" s="205"/>
    </row>
    <row r="924" spans="7:20" ht="14.25" customHeight="1">
      <c r="G924" s="91"/>
      <c r="H924" s="91"/>
      <c r="I924" s="91"/>
      <c r="J924" s="91"/>
      <c r="K924" s="91"/>
      <c r="L924" s="177"/>
      <c r="M924" s="176"/>
      <c r="N924" s="176"/>
      <c r="O924" s="176"/>
      <c r="P924" s="91"/>
      <c r="Q924" s="91"/>
      <c r="R924" s="91"/>
      <c r="S924" s="205"/>
      <c r="T924" s="205"/>
    </row>
    <row r="925" spans="7:20" ht="14.25" customHeight="1">
      <c r="G925" s="91"/>
      <c r="H925" s="91"/>
      <c r="I925" s="91"/>
      <c r="J925" s="91"/>
      <c r="K925" s="91"/>
      <c r="L925" s="177"/>
      <c r="M925" s="176"/>
      <c r="N925" s="176"/>
      <c r="O925" s="176"/>
      <c r="P925" s="91"/>
      <c r="Q925" s="91"/>
      <c r="R925" s="91"/>
      <c r="S925" s="205"/>
      <c r="T925" s="205"/>
    </row>
    <row r="926" spans="7:20" ht="14.25" customHeight="1">
      <c r="G926" s="91"/>
      <c r="H926" s="91"/>
      <c r="I926" s="91"/>
      <c r="J926" s="91"/>
      <c r="K926" s="91"/>
      <c r="L926" s="177"/>
      <c r="M926" s="176"/>
      <c r="N926" s="176"/>
      <c r="O926" s="176"/>
      <c r="P926" s="91"/>
      <c r="Q926" s="91"/>
      <c r="R926" s="91"/>
      <c r="S926" s="205"/>
      <c r="T926" s="205"/>
    </row>
    <row r="927" spans="7:20" ht="14.25" customHeight="1">
      <c r="G927" s="91"/>
      <c r="H927" s="91"/>
      <c r="I927" s="91"/>
      <c r="J927" s="91"/>
      <c r="K927" s="91"/>
      <c r="L927" s="177"/>
      <c r="M927" s="176"/>
      <c r="N927" s="176"/>
      <c r="O927" s="176"/>
      <c r="P927" s="91"/>
      <c r="Q927" s="91"/>
      <c r="R927" s="91"/>
      <c r="S927" s="205"/>
      <c r="T927" s="205"/>
    </row>
    <row r="928" spans="7:20" ht="14.25" customHeight="1">
      <c r="G928" s="91"/>
      <c r="H928" s="91"/>
      <c r="I928" s="91"/>
      <c r="J928" s="91"/>
      <c r="K928" s="91"/>
      <c r="L928" s="177"/>
      <c r="M928" s="176"/>
      <c r="N928" s="176"/>
      <c r="O928" s="176"/>
      <c r="P928" s="91"/>
      <c r="Q928" s="91"/>
      <c r="R928" s="91"/>
      <c r="S928" s="205"/>
      <c r="T928" s="205"/>
    </row>
    <row r="929" spans="7:20" ht="14.25" customHeight="1">
      <c r="G929" s="91"/>
      <c r="H929" s="91"/>
      <c r="I929" s="91"/>
      <c r="J929" s="91"/>
      <c r="K929" s="91"/>
      <c r="L929" s="177"/>
      <c r="M929" s="176"/>
      <c r="N929" s="176"/>
      <c r="O929" s="176"/>
      <c r="P929" s="91"/>
      <c r="Q929" s="91"/>
      <c r="R929" s="91"/>
      <c r="S929" s="205"/>
      <c r="T929" s="205"/>
    </row>
    <row r="930" spans="7:20" ht="14.25" customHeight="1">
      <c r="G930" s="91"/>
      <c r="H930" s="91"/>
      <c r="I930" s="91"/>
      <c r="J930" s="91"/>
      <c r="K930" s="91"/>
      <c r="L930" s="177"/>
      <c r="M930" s="176"/>
      <c r="N930" s="176"/>
      <c r="O930" s="176"/>
      <c r="P930" s="91"/>
      <c r="Q930" s="91"/>
      <c r="R930" s="91"/>
      <c r="S930" s="205"/>
      <c r="T930" s="205"/>
    </row>
    <row r="931" spans="7:20" ht="14.25" customHeight="1">
      <c r="G931" s="91"/>
      <c r="H931" s="91"/>
      <c r="I931" s="91"/>
      <c r="J931" s="91"/>
      <c r="K931" s="91"/>
      <c r="L931" s="177"/>
      <c r="M931" s="176"/>
      <c r="N931" s="176"/>
      <c r="O931" s="176"/>
      <c r="P931" s="91"/>
      <c r="Q931" s="91"/>
      <c r="R931" s="91"/>
      <c r="S931" s="205"/>
      <c r="T931" s="205"/>
    </row>
    <row r="932" spans="7:20" ht="14.25" customHeight="1">
      <c r="G932" s="91"/>
      <c r="H932" s="91"/>
      <c r="I932" s="91"/>
      <c r="J932" s="91"/>
      <c r="K932" s="91"/>
      <c r="L932" s="177"/>
      <c r="M932" s="176"/>
      <c r="N932" s="176"/>
      <c r="O932" s="176"/>
      <c r="P932" s="91"/>
      <c r="Q932" s="91"/>
      <c r="R932" s="91"/>
      <c r="S932" s="205"/>
      <c r="T932" s="205"/>
    </row>
    <row r="933" spans="7:20" ht="14.25" customHeight="1">
      <c r="G933" s="91"/>
      <c r="H933" s="91"/>
      <c r="I933" s="91"/>
      <c r="J933" s="91"/>
      <c r="K933" s="91"/>
      <c r="L933" s="177"/>
      <c r="M933" s="176"/>
      <c r="N933" s="176"/>
      <c r="O933" s="176"/>
      <c r="P933" s="91"/>
      <c r="Q933" s="91"/>
      <c r="R933" s="91"/>
      <c r="S933" s="205"/>
      <c r="T933" s="205"/>
    </row>
    <row r="934" spans="7:20" ht="14.25" customHeight="1">
      <c r="G934" s="91"/>
      <c r="H934" s="91"/>
      <c r="I934" s="91"/>
      <c r="J934" s="91"/>
      <c r="K934" s="91"/>
      <c r="L934" s="177"/>
      <c r="M934" s="176"/>
      <c r="N934" s="176"/>
      <c r="O934" s="176"/>
      <c r="P934" s="91"/>
      <c r="Q934" s="91"/>
      <c r="R934" s="91"/>
      <c r="S934" s="205"/>
      <c r="T934" s="205"/>
    </row>
    <row r="935" spans="7:20" ht="14.25" customHeight="1">
      <c r="G935" s="91"/>
      <c r="H935" s="91"/>
      <c r="I935" s="91"/>
      <c r="J935" s="91"/>
      <c r="K935" s="91"/>
      <c r="L935" s="177"/>
      <c r="M935" s="176"/>
      <c r="N935" s="176"/>
      <c r="O935" s="176"/>
      <c r="P935" s="91"/>
      <c r="Q935" s="91"/>
      <c r="R935" s="91"/>
      <c r="S935" s="205"/>
      <c r="T935" s="205"/>
    </row>
    <row r="936" spans="7:20" ht="14.25" customHeight="1">
      <c r="G936" s="91"/>
      <c r="H936" s="91"/>
      <c r="I936" s="91"/>
      <c r="J936" s="91"/>
      <c r="K936" s="91"/>
      <c r="L936" s="177"/>
      <c r="M936" s="176"/>
      <c r="N936" s="176"/>
      <c r="O936" s="176"/>
      <c r="P936" s="91"/>
      <c r="Q936" s="91"/>
      <c r="R936" s="91"/>
      <c r="S936" s="205"/>
      <c r="T936" s="205"/>
    </row>
    <row r="937" spans="7:20" ht="14.25" customHeight="1">
      <c r="G937" s="91"/>
      <c r="H937" s="91"/>
      <c r="I937" s="91"/>
      <c r="J937" s="91"/>
      <c r="K937" s="91"/>
      <c r="L937" s="177"/>
      <c r="M937" s="176"/>
      <c r="N937" s="176"/>
      <c r="O937" s="176"/>
      <c r="P937" s="91"/>
      <c r="Q937" s="91"/>
      <c r="R937" s="91"/>
      <c r="S937" s="205"/>
      <c r="T937" s="205"/>
    </row>
    <row r="938" spans="7:20" ht="14.25" customHeight="1">
      <c r="G938" s="91"/>
      <c r="H938" s="91"/>
      <c r="I938" s="91"/>
      <c r="J938" s="91"/>
      <c r="K938" s="91"/>
      <c r="L938" s="177"/>
      <c r="M938" s="176"/>
      <c r="N938" s="176"/>
      <c r="O938" s="176"/>
      <c r="P938" s="91"/>
      <c r="Q938" s="91"/>
      <c r="R938" s="91"/>
      <c r="S938" s="205"/>
      <c r="T938" s="205"/>
    </row>
    <row r="939" spans="7:20" ht="14.25" customHeight="1">
      <c r="G939" s="91"/>
      <c r="H939" s="91"/>
      <c r="I939" s="91"/>
      <c r="J939" s="91"/>
      <c r="K939" s="91"/>
      <c r="L939" s="177"/>
      <c r="M939" s="176"/>
      <c r="N939" s="176"/>
      <c r="O939" s="176"/>
      <c r="P939" s="91"/>
      <c r="Q939" s="91"/>
      <c r="R939" s="91"/>
      <c r="S939" s="205"/>
      <c r="T939" s="205"/>
    </row>
    <row r="940" spans="7:20" ht="14.25" customHeight="1">
      <c r="G940" s="91"/>
      <c r="H940" s="91"/>
      <c r="I940" s="91"/>
      <c r="J940" s="91"/>
      <c r="K940" s="91"/>
      <c r="L940" s="177"/>
      <c r="M940" s="176"/>
      <c r="N940" s="176"/>
      <c r="O940" s="176"/>
      <c r="P940" s="91"/>
      <c r="Q940" s="91"/>
      <c r="R940" s="91"/>
      <c r="S940" s="205"/>
      <c r="T940" s="205"/>
    </row>
    <row r="941" spans="7:20" ht="14.25" customHeight="1">
      <c r="G941" s="91"/>
      <c r="H941" s="91"/>
      <c r="I941" s="91"/>
      <c r="J941" s="91"/>
      <c r="K941" s="91"/>
      <c r="L941" s="177"/>
      <c r="M941" s="176"/>
      <c r="N941" s="176"/>
      <c r="O941" s="176"/>
      <c r="P941" s="91"/>
      <c r="Q941" s="91"/>
      <c r="R941" s="91"/>
      <c r="S941" s="205"/>
      <c r="T941" s="205"/>
    </row>
    <row r="942" spans="7:20" ht="14.25" customHeight="1">
      <c r="G942" s="91"/>
      <c r="H942" s="91"/>
      <c r="I942" s="91"/>
      <c r="J942" s="91"/>
      <c r="K942" s="91"/>
      <c r="L942" s="177"/>
      <c r="M942" s="176"/>
      <c r="N942" s="176"/>
      <c r="O942" s="176"/>
      <c r="P942" s="91"/>
      <c r="Q942" s="91"/>
      <c r="R942" s="91"/>
      <c r="S942" s="205"/>
      <c r="T942" s="205"/>
    </row>
    <row r="943" spans="7:20" ht="14.25" customHeight="1">
      <c r="G943" s="91"/>
      <c r="H943" s="91"/>
      <c r="I943" s="91"/>
      <c r="J943" s="91"/>
      <c r="K943" s="91"/>
      <c r="L943" s="177"/>
      <c r="M943" s="176"/>
      <c r="N943" s="176"/>
      <c r="O943" s="176"/>
      <c r="P943" s="91"/>
      <c r="Q943" s="91"/>
      <c r="R943" s="91"/>
      <c r="S943" s="205"/>
      <c r="T943" s="205"/>
    </row>
    <row r="944" spans="7:20" ht="14.25" customHeight="1">
      <c r="G944" s="91"/>
      <c r="H944" s="91"/>
      <c r="I944" s="91"/>
      <c r="J944" s="91"/>
      <c r="K944" s="91"/>
      <c r="L944" s="177"/>
      <c r="M944" s="176"/>
      <c r="N944" s="176"/>
      <c r="O944" s="176"/>
      <c r="P944" s="91"/>
      <c r="Q944" s="91"/>
      <c r="R944" s="91"/>
      <c r="S944" s="205"/>
      <c r="T944" s="205"/>
    </row>
    <row r="945" spans="7:20" ht="14.25" customHeight="1">
      <c r="G945" s="91"/>
      <c r="H945" s="91"/>
      <c r="I945" s="91"/>
      <c r="J945" s="91"/>
      <c r="K945" s="91"/>
      <c r="L945" s="177"/>
      <c r="M945" s="176"/>
      <c r="N945" s="176"/>
      <c r="O945" s="176"/>
      <c r="P945" s="91"/>
      <c r="Q945" s="91"/>
      <c r="R945" s="91"/>
      <c r="S945" s="205"/>
      <c r="T945" s="205"/>
    </row>
    <row r="946" spans="7:20" ht="14.25" customHeight="1">
      <c r="G946" s="91"/>
      <c r="H946" s="91"/>
      <c r="I946" s="91"/>
      <c r="J946" s="91"/>
      <c r="K946" s="91"/>
      <c r="L946" s="177"/>
      <c r="M946" s="176"/>
      <c r="N946" s="176"/>
      <c r="O946" s="176"/>
      <c r="P946" s="91"/>
      <c r="Q946" s="91"/>
      <c r="R946" s="91"/>
      <c r="S946" s="205"/>
      <c r="T946" s="205"/>
    </row>
    <row r="947" spans="7:20" ht="14.25" customHeight="1">
      <c r="G947" s="91"/>
      <c r="H947" s="91"/>
      <c r="I947" s="91"/>
      <c r="J947" s="91"/>
      <c r="K947" s="91"/>
      <c r="L947" s="177"/>
      <c r="M947" s="176"/>
      <c r="N947" s="176"/>
      <c r="O947" s="176"/>
      <c r="P947" s="91"/>
      <c r="Q947" s="91"/>
      <c r="R947" s="91"/>
      <c r="S947" s="205"/>
      <c r="T947" s="205"/>
    </row>
    <row r="948" spans="7:20" ht="14.25" customHeight="1">
      <c r="G948" s="91"/>
      <c r="H948" s="91"/>
      <c r="I948" s="91"/>
      <c r="J948" s="91"/>
      <c r="K948" s="91"/>
      <c r="L948" s="177"/>
      <c r="M948" s="176"/>
      <c r="N948" s="176"/>
      <c r="O948" s="176"/>
      <c r="P948" s="91"/>
      <c r="Q948" s="91"/>
      <c r="R948" s="91"/>
      <c r="S948" s="205"/>
      <c r="T948" s="205"/>
    </row>
    <row r="949" spans="7:20" ht="14.25" customHeight="1">
      <c r="G949" s="91"/>
      <c r="H949" s="91"/>
      <c r="I949" s="91"/>
      <c r="J949" s="91"/>
      <c r="K949" s="91"/>
      <c r="L949" s="177"/>
      <c r="M949" s="176"/>
      <c r="N949" s="176"/>
      <c r="O949" s="176"/>
      <c r="P949" s="91"/>
      <c r="Q949" s="91"/>
      <c r="R949" s="91"/>
      <c r="S949" s="205"/>
      <c r="T949" s="205"/>
    </row>
    <row r="950" spans="7:20" ht="14.25" customHeight="1">
      <c r="G950" s="91"/>
      <c r="H950" s="91"/>
      <c r="I950" s="91"/>
      <c r="J950" s="91"/>
      <c r="K950" s="91"/>
      <c r="L950" s="177"/>
      <c r="M950" s="176"/>
      <c r="N950" s="176"/>
      <c r="O950" s="176"/>
      <c r="P950" s="91"/>
      <c r="Q950" s="91"/>
      <c r="R950" s="91"/>
      <c r="S950" s="205"/>
      <c r="T950" s="205"/>
    </row>
    <row r="951" spans="7:20" ht="14.25" customHeight="1">
      <c r="G951" s="91"/>
      <c r="H951" s="91"/>
      <c r="I951" s="91"/>
      <c r="J951" s="91"/>
      <c r="K951" s="91"/>
      <c r="L951" s="177"/>
      <c r="M951" s="176"/>
      <c r="N951" s="176"/>
      <c r="O951" s="176"/>
      <c r="P951" s="91"/>
      <c r="Q951" s="91"/>
      <c r="R951" s="91"/>
      <c r="S951" s="205"/>
      <c r="T951" s="205"/>
    </row>
    <row r="952" spans="7:20" ht="14.25" customHeight="1">
      <c r="G952" s="91"/>
      <c r="H952" s="91"/>
      <c r="I952" s="91"/>
      <c r="J952" s="91"/>
      <c r="K952" s="91"/>
      <c r="L952" s="177"/>
      <c r="M952" s="176"/>
      <c r="N952" s="176"/>
      <c r="O952" s="176"/>
      <c r="P952" s="91"/>
      <c r="Q952" s="91"/>
      <c r="R952" s="91"/>
      <c r="S952" s="205"/>
      <c r="T952" s="205"/>
    </row>
    <row r="953" spans="7:20" ht="14.25" customHeight="1">
      <c r="G953" s="91"/>
      <c r="H953" s="91"/>
      <c r="I953" s="91"/>
      <c r="J953" s="91"/>
      <c r="K953" s="91"/>
      <c r="L953" s="177"/>
      <c r="M953" s="176"/>
      <c r="N953" s="176"/>
      <c r="O953" s="176"/>
      <c r="P953" s="91"/>
      <c r="Q953" s="91"/>
      <c r="R953" s="91"/>
      <c r="S953" s="205"/>
      <c r="T953" s="205"/>
    </row>
    <row r="954" spans="7:20" ht="14.25" customHeight="1">
      <c r="G954" s="91"/>
      <c r="H954" s="91"/>
      <c r="I954" s="91"/>
      <c r="J954" s="91"/>
      <c r="K954" s="91"/>
      <c r="L954" s="177"/>
      <c r="M954" s="176"/>
      <c r="N954" s="176"/>
      <c r="O954" s="176"/>
      <c r="P954" s="91"/>
      <c r="Q954" s="91"/>
      <c r="R954" s="91"/>
      <c r="S954" s="205"/>
      <c r="T954" s="205"/>
    </row>
    <row r="955" spans="7:20" ht="14.25" customHeight="1">
      <c r="G955" s="91"/>
      <c r="H955" s="91"/>
      <c r="I955" s="91"/>
      <c r="J955" s="91"/>
      <c r="K955" s="91"/>
      <c r="L955" s="177"/>
      <c r="M955" s="176"/>
      <c r="N955" s="176"/>
      <c r="O955" s="176"/>
      <c r="P955" s="91"/>
      <c r="Q955" s="91"/>
      <c r="R955" s="91"/>
      <c r="S955" s="205"/>
      <c r="T955" s="205"/>
    </row>
    <row r="956" spans="7:20" ht="14.25" customHeight="1">
      <c r="G956" s="91"/>
      <c r="H956" s="91"/>
      <c r="I956" s="91"/>
      <c r="J956" s="91"/>
      <c r="K956" s="91"/>
      <c r="L956" s="177"/>
      <c r="M956" s="176"/>
      <c r="N956" s="176"/>
      <c r="O956" s="176"/>
      <c r="P956" s="91"/>
      <c r="Q956" s="91"/>
      <c r="R956" s="91"/>
      <c r="S956" s="205"/>
      <c r="T956" s="205"/>
    </row>
    <row r="957" spans="7:20" ht="14.25" customHeight="1">
      <c r="G957" s="91"/>
      <c r="H957" s="91"/>
      <c r="I957" s="91"/>
      <c r="J957" s="91"/>
      <c r="K957" s="91"/>
      <c r="L957" s="177"/>
      <c r="M957" s="176"/>
      <c r="N957" s="176"/>
      <c r="O957" s="176"/>
      <c r="P957" s="91"/>
      <c r="Q957" s="91"/>
      <c r="R957" s="91"/>
      <c r="S957" s="205"/>
      <c r="T957" s="205"/>
    </row>
    <row r="958" spans="7:20" ht="14.25" customHeight="1">
      <c r="G958" s="91"/>
      <c r="H958" s="91"/>
      <c r="I958" s="91"/>
      <c r="J958" s="91"/>
      <c r="K958" s="91"/>
      <c r="L958" s="177"/>
      <c r="M958" s="176"/>
      <c r="N958" s="176"/>
      <c r="O958" s="176"/>
      <c r="P958" s="91"/>
      <c r="Q958" s="91"/>
      <c r="R958" s="91"/>
      <c r="S958" s="205"/>
      <c r="T958" s="205"/>
    </row>
    <row r="959" spans="7:20" ht="14.25" customHeight="1">
      <c r="G959" s="91"/>
      <c r="H959" s="91"/>
      <c r="I959" s="91"/>
      <c r="J959" s="91"/>
      <c r="K959" s="91"/>
      <c r="L959" s="177"/>
      <c r="M959" s="176"/>
      <c r="N959" s="176"/>
      <c r="O959" s="176"/>
      <c r="P959" s="91"/>
      <c r="Q959" s="91"/>
      <c r="R959" s="91"/>
      <c r="S959" s="205"/>
      <c r="T959" s="205"/>
    </row>
    <row r="960" spans="7:20" ht="14.25" customHeight="1">
      <c r="G960" s="91"/>
      <c r="H960" s="91"/>
      <c r="I960" s="91"/>
      <c r="J960" s="91"/>
      <c r="K960" s="91"/>
      <c r="L960" s="177"/>
      <c r="M960" s="176"/>
      <c r="N960" s="176"/>
      <c r="O960" s="176"/>
      <c r="P960" s="91"/>
      <c r="Q960" s="91"/>
      <c r="R960" s="91"/>
      <c r="S960" s="205"/>
      <c r="T960" s="205"/>
    </row>
    <row r="961" spans="7:20" ht="14.25" customHeight="1">
      <c r="G961" s="91"/>
      <c r="H961" s="91"/>
      <c r="I961" s="91"/>
      <c r="J961" s="91"/>
      <c r="K961" s="91"/>
      <c r="L961" s="177"/>
      <c r="M961" s="176"/>
      <c r="N961" s="176"/>
      <c r="O961" s="176"/>
      <c r="P961" s="91"/>
      <c r="Q961" s="91"/>
      <c r="R961" s="91"/>
      <c r="S961" s="205"/>
      <c r="T961" s="205"/>
    </row>
    <row r="962" spans="7:20" ht="14.25" customHeight="1">
      <c r="G962" s="91"/>
      <c r="H962" s="91"/>
      <c r="I962" s="91"/>
      <c r="J962" s="91"/>
      <c r="K962" s="91"/>
      <c r="L962" s="177"/>
      <c r="M962" s="176"/>
      <c r="N962" s="176"/>
      <c r="O962" s="176"/>
      <c r="P962" s="91"/>
      <c r="Q962" s="91"/>
      <c r="R962" s="91"/>
      <c r="S962" s="205"/>
      <c r="T962" s="205"/>
    </row>
    <row r="963" spans="7:20" ht="14.25" customHeight="1">
      <c r="G963" s="91"/>
      <c r="H963" s="91"/>
      <c r="I963" s="91"/>
      <c r="J963" s="91"/>
      <c r="K963" s="91"/>
      <c r="L963" s="177"/>
      <c r="M963" s="176"/>
      <c r="N963" s="176"/>
      <c r="O963" s="176"/>
      <c r="P963" s="91"/>
      <c r="Q963" s="91"/>
      <c r="R963" s="91"/>
      <c r="S963" s="205"/>
      <c r="T963" s="205"/>
    </row>
    <row r="964" spans="7:20" ht="14.25" customHeight="1">
      <c r="G964" s="91"/>
      <c r="H964" s="91"/>
      <c r="I964" s="91"/>
      <c r="J964" s="91"/>
      <c r="K964" s="91"/>
      <c r="L964" s="177"/>
      <c r="M964" s="176"/>
      <c r="N964" s="176"/>
      <c r="O964" s="176"/>
      <c r="P964" s="91"/>
      <c r="Q964" s="91"/>
      <c r="R964" s="91"/>
      <c r="S964" s="205"/>
      <c r="T964" s="205"/>
    </row>
    <row r="965" spans="7:20" ht="14.25" customHeight="1">
      <c r="G965" s="91"/>
      <c r="H965" s="91"/>
      <c r="I965" s="91"/>
      <c r="J965" s="91"/>
      <c r="K965" s="91"/>
      <c r="L965" s="177"/>
      <c r="M965" s="176"/>
      <c r="N965" s="176"/>
      <c r="O965" s="176"/>
      <c r="P965" s="91"/>
      <c r="Q965" s="91"/>
      <c r="R965" s="91"/>
      <c r="S965" s="205"/>
      <c r="T965" s="205"/>
    </row>
    <row r="966" spans="7:20" ht="14.25" customHeight="1">
      <c r="G966" s="91"/>
      <c r="H966" s="91"/>
      <c r="I966" s="91"/>
      <c r="J966" s="91"/>
      <c r="K966" s="91"/>
      <c r="L966" s="177"/>
      <c r="M966" s="176"/>
      <c r="N966" s="176"/>
      <c r="O966" s="176"/>
      <c r="P966" s="91"/>
      <c r="Q966" s="91"/>
      <c r="R966" s="91"/>
      <c r="S966" s="205"/>
      <c r="T966" s="205"/>
    </row>
    <row r="967" spans="7:20" ht="14.25" customHeight="1">
      <c r="G967" s="91"/>
      <c r="H967" s="91"/>
      <c r="I967" s="91"/>
      <c r="J967" s="91"/>
      <c r="K967" s="91"/>
      <c r="L967" s="177"/>
      <c r="M967" s="176"/>
      <c r="N967" s="176"/>
      <c r="O967" s="176"/>
      <c r="P967" s="91"/>
      <c r="Q967" s="91"/>
      <c r="R967" s="91"/>
      <c r="S967" s="205"/>
      <c r="T967" s="205"/>
    </row>
    <row r="968" spans="7:20" ht="14.25" customHeight="1">
      <c r="G968" s="91"/>
      <c r="H968" s="91"/>
      <c r="I968" s="91"/>
      <c r="J968" s="91"/>
      <c r="K968" s="91"/>
      <c r="L968" s="177"/>
      <c r="M968" s="176"/>
      <c r="N968" s="176"/>
      <c r="O968" s="176"/>
      <c r="P968" s="91"/>
      <c r="Q968" s="91"/>
      <c r="R968" s="91"/>
      <c r="S968" s="205"/>
      <c r="T968" s="205"/>
    </row>
    <row r="969" spans="7:20" ht="14.25" customHeight="1">
      <c r="G969" s="91"/>
      <c r="H969" s="91"/>
      <c r="I969" s="91"/>
      <c r="J969" s="91"/>
      <c r="K969" s="91"/>
      <c r="L969" s="177"/>
      <c r="M969" s="176"/>
      <c r="N969" s="176"/>
      <c r="O969" s="176"/>
      <c r="P969" s="91"/>
      <c r="Q969" s="91"/>
      <c r="R969" s="91"/>
      <c r="S969" s="205"/>
      <c r="T969" s="205"/>
    </row>
    <row r="970" spans="7:20" ht="14.25" customHeight="1">
      <c r="G970" s="91"/>
      <c r="H970" s="91"/>
      <c r="I970" s="91"/>
      <c r="J970" s="91"/>
      <c r="K970" s="91"/>
      <c r="L970" s="177"/>
      <c r="M970" s="176"/>
      <c r="N970" s="176"/>
      <c r="O970" s="176"/>
      <c r="P970" s="91"/>
      <c r="Q970" s="91"/>
      <c r="R970" s="91"/>
      <c r="S970" s="205"/>
      <c r="T970" s="205"/>
    </row>
    <row r="971" spans="7:20" ht="14.25" customHeight="1">
      <c r="G971" s="91"/>
      <c r="H971" s="91"/>
      <c r="I971" s="91"/>
      <c r="J971" s="91"/>
      <c r="K971" s="91"/>
      <c r="L971" s="177"/>
      <c r="M971" s="176"/>
      <c r="N971" s="176"/>
      <c r="O971" s="176"/>
      <c r="P971" s="91"/>
      <c r="Q971" s="91"/>
      <c r="R971" s="91"/>
      <c r="S971" s="205"/>
      <c r="T971" s="205"/>
    </row>
    <row r="972" spans="7:20" ht="14.25" customHeight="1">
      <c r="G972" s="91"/>
      <c r="H972" s="91"/>
      <c r="I972" s="91"/>
      <c r="J972" s="91"/>
      <c r="K972" s="91"/>
      <c r="L972" s="177"/>
      <c r="M972" s="176"/>
      <c r="N972" s="176"/>
      <c r="O972" s="176"/>
      <c r="P972" s="91"/>
      <c r="Q972" s="91"/>
      <c r="R972" s="91"/>
      <c r="S972" s="205"/>
      <c r="T972" s="205"/>
    </row>
    <row r="973" spans="7:20" ht="14.25" customHeight="1">
      <c r="G973" s="91"/>
      <c r="H973" s="91"/>
      <c r="I973" s="91"/>
      <c r="J973" s="91"/>
      <c r="K973" s="91"/>
      <c r="L973" s="177"/>
      <c r="M973" s="176"/>
      <c r="N973" s="176"/>
      <c r="O973" s="176"/>
      <c r="P973" s="91"/>
      <c r="Q973" s="91"/>
      <c r="R973" s="91"/>
      <c r="S973" s="205"/>
      <c r="T973" s="205"/>
    </row>
    <row r="974" spans="7:20" ht="14.25" customHeight="1">
      <c r="G974" s="91"/>
      <c r="H974" s="91"/>
      <c r="I974" s="91"/>
      <c r="J974" s="91"/>
      <c r="K974" s="91"/>
      <c r="L974" s="177"/>
      <c r="M974" s="176"/>
      <c r="N974" s="176"/>
      <c r="O974" s="176"/>
      <c r="P974" s="91"/>
      <c r="Q974" s="91"/>
      <c r="R974" s="91"/>
      <c r="S974" s="205"/>
      <c r="T974" s="205"/>
    </row>
    <row r="975" spans="7:20" ht="14.25" customHeight="1">
      <c r="G975" s="91"/>
      <c r="H975" s="91"/>
      <c r="I975" s="91"/>
      <c r="J975" s="91"/>
      <c r="K975" s="91"/>
      <c r="L975" s="177"/>
      <c r="M975" s="176"/>
      <c r="N975" s="176"/>
      <c r="O975" s="176"/>
      <c r="P975" s="91"/>
      <c r="Q975" s="91"/>
      <c r="R975" s="91"/>
      <c r="S975" s="205"/>
      <c r="T975" s="205"/>
    </row>
    <row r="976" spans="7:20" ht="14.25" customHeight="1">
      <c r="G976" s="91"/>
      <c r="H976" s="91"/>
      <c r="I976" s="91"/>
      <c r="J976" s="91"/>
      <c r="K976" s="91"/>
      <c r="L976" s="177"/>
      <c r="M976" s="176"/>
      <c r="N976" s="176"/>
      <c r="O976" s="176"/>
      <c r="P976" s="91"/>
      <c r="Q976" s="91"/>
      <c r="R976" s="91"/>
      <c r="S976" s="205"/>
      <c r="T976" s="205"/>
    </row>
    <row r="977" spans="7:20" ht="14.25" customHeight="1">
      <c r="G977" s="91"/>
      <c r="H977" s="91"/>
      <c r="I977" s="91"/>
      <c r="J977" s="91"/>
      <c r="K977" s="91"/>
      <c r="L977" s="177"/>
      <c r="M977" s="176"/>
      <c r="N977" s="176"/>
      <c r="O977" s="176"/>
      <c r="P977" s="91"/>
      <c r="Q977" s="91"/>
      <c r="R977" s="91"/>
      <c r="S977" s="205"/>
      <c r="T977" s="205"/>
    </row>
    <row r="978" spans="7:20" ht="14.25" customHeight="1">
      <c r="G978" s="91"/>
      <c r="H978" s="91"/>
      <c r="I978" s="91"/>
      <c r="J978" s="91"/>
      <c r="K978" s="91"/>
      <c r="L978" s="177"/>
      <c r="M978" s="176"/>
      <c r="N978" s="176"/>
      <c r="O978" s="176"/>
      <c r="P978" s="91"/>
      <c r="Q978" s="91"/>
      <c r="R978" s="91"/>
      <c r="S978" s="205"/>
      <c r="T978" s="205"/>
    </row>
    <row r="979" spans="7:20" ht="14.25" customHeight="1">
      <c r="G979" s="91"/>
      <c r="H979" s="91"/>
      <c r="I979" s="91"/>
      <c r="J979" s="91"/>
      <c r="K979" s="91"/>
      <c r="L979" s="177"/>
      <c r="M979" s="176"/>
      <c r="N979" s="176"/>
      <c r="O979" s="176"/>
      <c r="P979" s="91"/>
      <c r="Q979" s="91"/>
      <c r="R979" s="91"/>
      <c r="S979" s="205"/>
      <c r="T979" s="205"/>
    </row>
    <row r="980" spans="7:20" ht="14.25" customHeight="1">
      <c r="G980" s="91"/>
      <c r="H980" s="91"/>
      <c r="I980" s="91"/>
      <c r="J980" s="91"/>
      <c r="K980" s="91"/>
      <c r="L980" s="177"/>
      <c r="M980" s="176"/>
      <c r="N980" s="176"/>
      <c r="O980" s="176"/>
      <c r="P980" s="91"/>
      <c r="Q980" s="91"/>
      <c r="R980" s="91"/>
      <c r="S980" s="205"/>
      <c r="T980" s="205"/>
    </row>
    <row r="981" spans="7:20" ht="14.25" customHeight="1">
      <c r="G981" s="91"/>
      <c r="H981" s="91"/>
      <c r="I981" s="91"/>
      <c r="J981" s="91"/>
      <c r="K981" s="91"/>
      <c r="L981" s="177"/>
      <c r="M981" s="176"/>
      <c r="N981" s="176"/>
      <c r="O981" s="176"/>
      <c r="P981" s="91"/>
      <c r="Q981" s="91"/>
      <c r="R981" s="91"/>
      <c r="S981" s="205"/>
      <c r="T981" s="205"/>
    </row>
    <row r="982" spans="7:20" ht="14.25" customHeight="1">
      <c r="G982" s="91"/>
      <c r="H982" s="91"/>
      <c r="I982" s="91"/>
      <c r="J982" s="91"/>
      <c r="K982" s="91"/>
      <c r="L982" s="177"/>
      <c r="M982" s="176"/>
      <c r="N982" s="176"/>
      <c r="O982" s="176"/>
      <c r="P982" s="91"/>
      <c r="Q982" s="91"/>
      <c r="R982" s="91"/>
      <c r="S982" s="205"/>
      <c r="T982" s="205"/>
    </row>
    <row r="983" spans="7:20" ht="14.25" customHeight="1">
      <c r="G983" s="91"/>
      <c r="H983" s="91"/>
      <c r="I983" s="91"/>
      <c r="J983" s="91"/>
      <c r="K983" s="91"/>
      <c r="L983" s="177"/>
      <c r="M983" s="176"/>
      <c r="N983" s="176"/>
      <c r="O983" s="176"/>
      <c r="P983" s="91"/>
      <c r="Q983" s="91"/>
      <c r="R983" s="91"/>
      <c r="S983" s="205"/>
      <c r="T983" s="205"/>
    </row>
    <row r="984" spans="7:20" ht="14.25" customHeight="1">
      <c r="G984" s="91"/>
      <c r="H984" s="91"/>
      <c r="I984" s="91"/>
      <c r="J984" s="91"/>
      <c r="K984" s="91"/>
      <c r="L984" s="177"/>
      <c r="M984" s="176"/>
      <c r="N984" s="176"/>
      <c r="O984" s="176"/>
      <c r="P984" s="91"/>
      <c r="Q984" s="91"/>
      <c r="R984" s="91"/>
      <c r="S984" s="205"/>
      <c r="T984" s="205"/>
    </row>
    <row r="985" spans="7:20" ht="14.25" customHeight="1">
      <c r="G985" s="91"/>
      <c r="H985" s="91"/>
      <c r="I985" s="91"/>
      <c r="J985" s="91"/>
      <c r="K985" s="91"/>
      <c r="L985" s="177"/>
      <c r="M985" s="176"/>
      <c r="N985" s="176"/>
      <c r="O985" s="176"/>
      <c r="P985" s="91"/>
      <c r="Q985" s="91"/>
      <c r="R985" s="91"/>
      <c r="S985" s="205"/>
      <c r="T985" s="205"/>
    </row>
    <row r="986" spans="7:20" ht="14.25" customHeight="1">
      <c r="G986" s="91"/>
      <c r="H986" s="91"/>
      <c r="I986" s="91"/>
      <c r="J986" s="91"/>
      <c r="K986" s="91"/>
      <c r="L986" s="177"/>
      <c r="M986" s="176"/>
      <c r="N986" s="176"/>
      <c r="O986" s="176"/>
      <c r="P986" s="91"/>
      <c r="Q986" s="91"/>
      <c r="R986" s="91"/>
      <c r="S986" s="205"/>
      <c r="T986" s="205"/>
    </row>
    <row r="987" spans="7:20" ht="14.25" customHeight="1">
      <c r="G987" s="91"/>
      <c r="H987" s="91"/>
      <c r="I987" s="91"/>
      <c r="J987" s="91"/>
      <c r="K987" s="91"/>
      <c r="L987" s="177"/>
      <c r="M987" s="176"/>
      <c r="N987" s="176"/>
      <c r="O987" s="176"/>
      <c r="P987" s="91"/>
      <c r="Q987" s="91"/>
      <c r="R987" s="91"/>
      <c r="S987" s="205"/>
      <c r="T987" s="205"/>
    </row>
    <row r="988" spans="7:20" ht="14.25" customHeight="1">
      <c r="G988" s="91"/>
      <c r="H988" s="91"/>
      <c r="I988" s="91"/>
      <c r="J988" s="91"/>
      <c r="K988" s="91"/>
      <c r="L988" s="177"/>
      <c r="M988" s="176"/>
      <c r="N988" s="176"/>
      <c r="O988" s="176"/>
      <c r="P988" s="91"/>
      <c r="Q988" s="91"/>
      <c r="R988" s="91"/>
      <c r="S988" s="205"/>
      <c r="T988" s="205"/>
    </row>
    <row r="989" spans="7:20" ht="14.25" customHeight="1">
      <c r="G989" s="91"/>
      <c r="H989" s="91"/>
      <c r="I989" s="91"/>
      <c r="J989" s="91"/>
      <c r="K989" s="91"/>
      <c r="L989" s="177"/>
      <c r="M989" s="176"/>
      <c r="N989" s="176"/>
      <c r="O989" s="176"/>
      <c r="P989" s="91"/>
      <c r="Q989" s="91"/>
      <c r="R989" s="91"/>
      <c r="S989" s="205"/>
      <c r="T989" s="205"/>
    </row>
    <row r="990" spans="7:20" ht="14.25" customHeight="1">
      <c r="G990" s="91"/>
      <c r="H990" s="91"/>
      <c r="I990" s="91"/>
      <c r="J990" s="91"/>
      <c r="K990" s="91"/>
      <c r="L990" s="177"/>
      <c r="M990" s="176"/>
      <c r="N990" s="176"/>
      <c r="O990" s="176"/>
      <c r="P990" s="91"/>
      <c r="Q990" s="91"/>
      <c r="R990" s="91"/>
      <c r="S990" s="205"/>
      <c r="T990" s="205"/>
    </row>
    <row r="991" spans="7:20" ht="14.25" customHeight="1">
      <c r="G991" s="91"/>
      <c r="H991" s="91"/>
      <c r="I991" s="91"/>
      <c r="J991" s="91"/>
      <c r="K991" s="91"/>
      <c r="L991" s="177"/>
      <c r="M991" s="176"/>
      <c r="N991" s="176"/>
      <c r="O991" s="176"/>
      <c r="P991" s="91"/>
      <c r="Q991" s="91"/>
      <c r="R991" s="91"/>
      <c r="S991" s="205"/>
      <c r="T991" s="205"/>
    </row>
    <row r="992" spans="7:20" ht="14.25" customHeight="1">
      <c r="G992" s="91"/>
      <c r="H992" s="91"/>
      <c r="I992" s="91"/>
      <c r="J992" s="91"/>
      <c r="K992" s="91"/>
      <c r="L992" s="177"/>
      <c r="M992" s="176"/>
      <c r="N992" s="176"/>
      <c r="O992" s="176"/>
      <c r="P992" s="91"/>
      <c r="Q992" s="91"/>
      <c r="R992" s="91"/>
      <c r="S992" s="205"/>
      <c r="T992" s="205"/>
    </row>
    <row r="993" spans="7:20" ht="14.25" customHeight="1">
      <c r="G993" s="91"/>
      <c r="H993" s="91"/>
      <c r="I993" s="91"/>
      <c r="J993" s="91"/>
      <c r="K993" s="91"/>
      <c r="L993" s="177"/>
      <c r="M993" s="176"/>
      <c r="N993" s="176"/>
      <c r="O993" s="176"/>
      <c r="P993" s="91"/>
      <c r="Q993" s="91"/>
      <c r="R993" s="91"/>
      <c r="S993" s="205"/>
      <c r="T993" s="205"/>
    </row>
    <row r="994" spans="7:20" ht="14.25" customHeight="1">
      <c r="G994" s="91"/>
      <c r="H994" s="91"/>
      <c r="I994" s="91"/>
      <c r="J994" s="91"/>
      <c r="K994" s="91"/>
      <c r="L994" s="177"/>
      <c r="M994" s="176"/>
      <c r="N994" s="176"/>
      <c r="O994" s="176"/>
      <c r="P994" s="91"/>
      <c r="Q994" s="91"/>
      <c r="R994" s="91"/>
      <c r="S994" s="205"/>
      <c r="T994" s="205"/>
    </row>
    <row r="995" spans="7:20" ht="14.25" customHeight="1">
      <c r="G995" s="91"/>
      <c r="H995" s="91"/>
      <c r="I995" s="91"/>
      <c r="J995" s="91"/>
      <c r="K995" s="91"/>
      <c r="L995" s="177"/>
      <c r="M995" s="176"/>
      <c r="N995" s="176"/>
      <c r="O995" s="176"/>
      <c r="P995" s="91"/>
      <c r="Q995" s="91"/>
      <c r="R995" s="91"/>
      <c r="S995" s="205"/>
      <c r="T995" s="205"/>
    </row>
    <row r="996" spans="7:20" ht="14.25" customHeight="1">
      <c r="G996" s="91"/>
      <c r="H996" s="91"/>
      <c r="I996" s="91"/>
      <c r="J996" s="91"/>
      <c r="K996" s="91"/>
      <c r="L996" s="177"/>
      <c r="M996" s="176"/>
      <c r="N996" s="176"/>
      <c r="O996" s="176"/>
      <c r="P996" s="91"/>
      <c r="Q996" s="91"/>
      <c r="R996" s="91"/>
      <c r="S996" s="205"/>
      <c r="T996" s="205"/>
    </row>
    <row r="997" spans="7:20" ht="14.25" customHeight="1">
      <c r="G997" s="91"/>
      <c r="H997" s="91"/>
      <c r="I997" s="91"/>
      <c r="J997" s="91"/>
      <c r="K997" s="91"/>
      <c r="L997" s="177"/>
      <c r="M997" s="176"/>
      <c r="N997" s="176"/>
      <c r="O997" s="176"/>
      <c r="P997" s="91"/>
      <c r="Q997" s="91"/>
      <c r="R997" s="91"/>
      <c r="S997" s="205"/>
      <c r="T997" s="205"/>
    </row>
    <row r="998" spans="7:20" ht="14.25" customHeight="1">
      <c r="G998" s="91"/>
      <c r="H998" s="91"/>
      <c r="I998" s="91"/>
      <c r="J998" s="91"/>
      <c r="K998" s="91"/>
      <c r="L998" s="177"/>
      <c r="M998" s="176"/>
      <c r="N998" s="176"/>
      <c r="O998" s="176"/>
      <c r="P998" s="91"/>
      <c r="Q998" s="91"/>
      <c r="R998" s="91"/>
      <c r="S998" s="205"/>
      <c r="T998" s="205"/>
    </row>
    <row r="999" spans="7:20" ht="14.25" customHeight="1">
      <c r="G999" s="91"/>
      <c r="H999" s="91"/>
      <c r="I999" s="91"/>
      <c r="J999" s="91"/>
      <c r="K999" s="91"/>
      <c r="L999" s="177"/>
      <c r="M999" s="176"/>
      <c r="N999" s="176"/>
      <c r="O999" s="176"/>
      <c r="P999" s="91"/>
      <c r="Q999" s="91"/>
      <c r="R999" s="91"/>
      <c r="S999" s="205"/>
      <c r="T999" s="205"/>
    </row>
    <row r="1000" spans="7:20" ht="14.25" customHeight="1">
      <c r="G1000" s="91"/>
      <c r="H1000" s="91"/>
      <c r="I1000" s="91"/>
      <c r="J1000" s="91"/>
      <c r="K1000" s="91"/>
      <c r="L1000" s="177"/>
      <c r="M1000" s="176"/>
      <c r="N1000" s="176"/>
      <c r="O1000" s="176"/>
      <c r="P1000" s="91"/>
      <c r="Q1000" s="91"/>
      <c r="R1000" s="91"/>
      <c r="S1000" s="205"/>
      <c r="T1000" s="205"/>
    </row>
  </sheetData>
  <sheetProtection password="DE00" sheet="1" objects="1" scenarios="1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4"/>
  <sheetViews>
    <sheetView workbookViewId="0">
      <selection activeCell="J4" sqref="J4"/>
    </sheetView>
  </sheetViews>
  <sheetFormatPr defaultRowHeight="18" customHeight="1"/>
  <cols>
    <col min="1" max="2" width="9.140625" style="80"/>
    <col min="3" max="3" width="10.42578125" style="80" bestFit="1" customWidth="1"/>
    <col min="4" max="4" width="9.140625" style="80"/>
    <col min="5" max="5" width="9.7109375" style="80" bestFit="1" customWidth="1"/>
    <col min="6" max="7" width="9.140625" style="80"/>
    <col min="8" max="8" width="10.28515625" style="80" bestFit="1" customWidth="1"/>
    <col min="9" max="9" width="9.140625" style="80"/>
    <col min="10" max="10" width="10.85546875" style="80" bestFit="1" customWidth="1"/>
    <col min="11" max="11" width="9.140625" style="80"/>
    <col min="12" max="12" width="11.28515625" style="80" bestFit="1" customWidth="1"/>
    <col min="13" max="14" width="9.140625" style="80"/>
    <col min="15" max="15" width="10.28515625" style="80" bestFit="1" customWidth="1"/>
    <col min="16" max="16384" width="9.140625" style="80"/>
  </cols>
  <sheetData>
    <row r="1" spans="1:18" ht="12.75" customHeight="1" thickBot="1"/>
    <row r="2" spans="1:18" ht="24" customHeight="1" thickBot="1">
      <c r="A2" s="489" t="s">
        <v>321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80"/>
    </row>
    <row r="4" spans="1:18" ht="18" customHeight="1" thickBot="1"/>
    <row r="5" spans="1:18" ht="18" customHeight="1" thickTop="1" thickBot="1">
      <c r="C5" s="313" t="s">
        <v>322</v>
      </c>
      <c r="D5" s="316">
        <f>linteaux!C6</f>
        <v>1.2</v>
      </c>
      <c r="L5" s="324" t="s">
        <v>358</v>
      </c>
      <c r="M5" s="325">
        <f>0.06*D9</f>
        <v>1.5</v>
      </c>
    </row>
    <row r="6" spans="1:18" ht="18" customHeight="1" thickTop="1" thickBot="1">
      <c r="C6" s="313" t="s">
        <v>1</v>
      </c>
      <c r="D6" s="316">
        <f>linteaux!C7</f>
        <v>1.3</v>
      </c>
      <c r="L6" s="313" t="s">
        <v>328</v>
      </c>
      <c r="M6" s="316">
        <f>IF($D$13&lt;=$M$5,$D$17,$I$17)</f>
        <v>3.9000000000000004</v>
      </c>
    </row>
    <row r="7" spans="1:18" ht="18" customHeight="1" thickTop="1" thickBot="1">
      <c r="C7" s="313" t="s">
        <v>299</v>
      </c>
      <c r="D7" s="316">
        <f>linteaux!C8</f>
        <v>0.2</v>
      </c>
      <c r="L7" s="313" t="s">
        <v>331</v>
      </c>
      <c r="M7" s="316">
        <f>$D$19</f>
        <v>4.0199999999999996</v>
      </c>
    </row>
    <row r="8" spans="1:18" ht="18" customHeight="1" thickTop="1" thickBot="1">
      <c r="C8" s="313" t="s">
        <v>324</v>
      </c>
      <c r="D8" s="321">
        <f>linteaux!C9</f>
        <v>2.5000000000000001E-2</v>
      </c>
      <c r="L8" s="313" t="s">
        <v>340</v>
      </c>
      <c r="M8" s="316">
        <f>MIN(IF($D$20&gt;1,$D$24,$D$31),$D$6*10^2/4)</f>
        <v>10.967510428404127</v>
      </c>
    </row>
    <row r="9" spans="1:18" ht="18" customHeight="1" thickTop="1" thickBot="1">
      <c r="C9" s="313" t="s">
        <v>304</v>
      </c>
      <c r="D9" s="316">
        <f>linteaux!C10</f>
        <v>25</v>
      </c>
      <c r="L9" s="313" t="s">
        <v>347</v>
      </c>
      <c r="M9" s="316">
        <f>$D$32</f>
        <v>10</v>
      </c>
    </row>
    <row r="10" spans="1:18" ht="18" customHeight="1" thickTop="1" thickBot="1">
      <c r="C10" s="313" t="s">
        <v>31</v>
      </c>
      <c r="D10" s="316">
        <f>linteaux!C11</f>
        <v>500</v>
      </c>
      <c r="L10" s="313" t="s">
        <v>348</v>
      </c>
      <c r="M10" s="316">
        <f>IF(D13&lt;=0.025*D9,0.15%*D7*10^2*D32,0.25%*D7*10^2*D32)</f>
        <v>0.5</v>
      </c>
    </row>
    <row r="11" spans="1:18" ht="18" customHeight="1" thickTop="1" thickBot="1">
      <c r="C11" s="313" t="s">
        <v>323</v>
      </c>
      <c r="D11" s="316">
        <f>ABS(linteaux!C12)</f>
        <v>600</v>
      </c>
      <c r="L11" s="317" t="s">
        <v>339</v>
      </c>
      <c r="M11" s="316">
        <f>$D$22</f>
        <v>1.0053096491487339</v>
      </c>
    </row>
    <row r="12" spans="1:18" ht="18" customHeight="1" thickTop="1" thickBot="1">
      <c r="C12" s="313" t="s">
        <v>329</v>
      </c>
      <c r="D12" s="316">
        <f>ABS(linteaux!C13)</f>
        <v>368</v>
      </c>
      <c r="L12" s="313" t="s">
        <v>349</v>
      </c>
      <c r="M12" s="316">
        <f>IF($D$13&lt;=$M$5,$D$33,$I$19)</f>
        <v>5.2000000000000011</v>
      </c>
    </row>
    <row r="13" spans="1:18" ht="18" customHeight="1" thickTop="1" thickBot="1">
      <c r="C13" s="313" t="s">
        <v>325</v>
      </c>
      <c r="D13" s="316">
        <f>(1.4*D11)/((D7*0.9*D6)*10^3)</f>
        <v>3.5897435897435894</v>
      </c>
      <c r="L13" s="313" t="s">
        <v>361</v>
      </c>
      <c r="M13" s="316">
        <f>linteaux!$R$15</f>
        <v>6.03</v>
      </c>
    </row>
    <row r="14" spans="1:18" ht="18" customHeight="1" thickTop="1" thickBot="1">
      <c r="C14" s="313" t="s">
        <v>326</v>
      </c>
      <c r="D14" s="316">
        <f>0.2*D9</f>
        <v>5</v>
      </c>
      <c r="E14" s="538" t="str">
        <f>IF($D$13&lt;=$D$14,"Pas de rupture par cisaillement","Rupture par cisaillement")</f>
        <v>Pas de rupture par cisaillement</v>
      </c>
      <c r="F14" s="543"/>
      <c r="G14" s="543"/>
      <c r="H14" s="543"/>
      <c r="L14" s="313" t="s">
        <v>354</v>
      </c>
      <c r="M14" s="316">
        <f>IF($D$13&lt;=$M$5,0,$I$23)</f>
        <v>7.35141334600298</v>
      </c>
    </row>
    <row r="15" spans="1:18" ht="18" customHeight="1" thickTop="1" thickBot="1">
      <c r="C15" s="313" t="s">
        <v>327</v>
      </c>
      <c r="D15" s="316">
        <f>D6-2*D8</f>
        <v>1.25</v>
      </c>
      <c r="E15" s="538" t="str">
        <f>IF($D$13&lt;=0.06*$D$9,"Pas d'armatutres diagonales","Présence d'armatures diagonales")</f>
        <v>Présence d'armatures diagonales</v>
      </c>
      <c r="F15" s="539"/>
      <c r="G15" s="539"/>
      <c r="H15" s="539"/>
      <c r="K15" s="538" t="str">
        <f>IF($D$13&lt;=0.06*$D$9,"Pas d'armatutres diagonales"," ")</f>
        <v xml:space="preserve"> </v>
      </c>
      <c r="L15" s="539"/>
      <c r="M15" s="539"/>
      <c r="N15" s="539"/>
    </row>
    <row r="16" spans="1:18" ht="18" customHeight="1" thickTop="1" thickBot="1">
      <c r="C16" s="547" t="s">
        <v>341</v>
      </c>
      <c r="D16" s="548"/>
      <c r="E16" s="318"/>
      <c r="H16" s="547" t="s">
        <v>350</v>
      </c>
      <c r="I16" s="548"/>
    </row>
    <row r="17" spans="2:9" ht="19.5" thickTop="1" thickBot="1">
      <c r="B17" s="544" t="s">
        <v>332</v>
      </c>
      <c r="C17" s="313" t="s">
        <v>328</v>
      </c>
      <c r="D17" s="316">
        <f>MAX($D$12*10^2/($D$15*$D$10),$D$18)</f>
        <v>58.88</v>
      </c>
      <c r="G17" s="323" t="s">
        <v>332</v>
      </c>
      <c r="H17" s="313" t="s">
        <v>330</v>
      </c>
      <c r="I17" s="316">
        <f>0.15%*D7*D6*10^4</f>
        <v>3.9000000000000004</v>
      </c>
    </row>
    <row r="18" spans="2:9" ht="19.5" thickTop="1" thickBot="1">
      <c r="B18" s="544"/>
      <c r="C18" s="313" t="s">
        <v>330</v>
      </c>
      <c r="D18" s="316">
        <f>0.25%*D7*D6*10^4</f>
        <v>6.5000000000000009</v>
      </c>
      <c r="G18" s="322" t="s">
        <v>333</v>
      </c>
      <c r="H18" s="313" t="s">
        <v>348</v>
      </c>
      <c r="I18" s="316">
        <f>IF(D13&lt;=0.025*D9,0.15%*D7*10^2*D32,0.25%*D7*10^2*D32)</f>
        <v>0.5</v>
      </c>
    </row>
    <row r="19" spans="2:9" ht="19.5" thickTop="1" thickBot="1">
      <c r="B19" s="544"/>
      <c r="C19" s="313" t="s">
        <v>331</v>
      </c>
      <c r="D19" s="316">
        <f>linteaux!$R$8</f>
        <v>4.0199999999999996</v>
      </c>
      <c r="G19" s="319" t="s">
        <v>33</v>
      </c>
      <c r="H19" s="313" t="s">
        <v>349</v>
      </c>
      <c r="I19" s="316">
        <f>0.2%*D7*D6*10^4</f>
        <v>5.2000000000000011</v>
      </c>
    </row>
    <row r="20" spans="2:9" ht="19.5" thickTop="1" thickBot="1">
      <c r="B20" s="540" t="s">
        <v>333</v>
      </c>
      <c r="C20" s="313" t="s">
        <v>334</v>
      </c>
      <c r="D20" s="316">
        <f>D5/D6</f>
        <v>0.92307692307692302</v>
      </c>
      <c r="E20" s="541" t="str">
        <f>IF($D$20&gt;1,"Linteau long","Linteau court")</f>
        <v>Linteau court</v>
      </c>
      <c r="F20" s="542"/>
      <c r="G20" s="549" t="s">
        <v>356</v>
      </c>
      <c r="H20" s="313" t="s">
        <v>351</v>
      </c>
      <c r="I20" s="316">
        <f>(D6-2*D8)/D5</f>
        <v>1.0416666666666667</v>
      </c>
    </row>
    <row r="21" spans="2:9" ht="19.5" thickTop="1" thickBot="1">
      <c r="B21" s="540"/>
      <c r="C21" s="313" t="s">
        <v>348</v>
      </c>
      <c r="D21" s="316">
        <f>IF(D13&lt;=0.025*D9,0.15%*D7*10^2*D32,0.25%*D7*10^2*D32)</f>
        <v>0.5</v>
      </c>
      <c r="E21" s="318"/>
      <c r="G21" s="549"/>
      <c r="H21" s="320" t="s">
        <v>352</v>
      </c>
      <c r="I21" s="316">
        <f>DEGREES(ATAN(I20))</f>
        <v>46.169139327907423</v>
      </c>
    </row>
    <row r="22" spans="2:9" ht="19.5" thickTop="1" thickBot="1">
      <c r="B22" s="540"/>
      <c r="C22" s="317" t="s">
        <v>339</v>
      </c>
      <c r="D22" s="316">
        <f>linteaux!$Q$13</f>
        <v>1.0053096491487339</v>
      </c>
      <c r="G22" s="549"/>
      <c r="H22" s="313" t="s">
        <v>353</v>
      </c>
      <c r="I22" s="316">
        <f>SIN(I21)</f>
        <v>0.81616958775175474</v>
      </c>
    </row>
    <row r="23" spans="2:9" ht="18" customHeight="1" thickTop="1" thickBot="1">
      <c r="B23" s="540"/>
      <c r="C23" s="545" t="s">
        <v>335</v>
      </c>
      <c r="D23" s="546"/>
      <c r="E23" s="541" t="s">
        <v>336</v>
      </c>
      <c r="F23" s="542"/>
      <c r="G23" s="549"/>
      <c r="H23" s="313" t="s">
        <v>354</v>
      </c>
      <c r="I23" s="316">
        <f>MAX($D$11*10/(2*$D$10*$I$22),$I$24)</f>
        <v>7.35141334600298</v>
      </c>
    </row>
    <row r="24" spans="2:9" ht="18" customHeight="1" thickTop="1" thickBot="1">
      <c r="B24" s="540"/>
      <c r="C24" s="313" t="s">
        <v>340</v>
      </c>
      <c r="D24" s="316">
        <f>D22*D10*D15/(1.4*D11)</f>
        <v>0.74799825085471272</v>
      </c>
      <c r="G24" s="549"/>
      <c r="H24" s="313" t="s">
        <v>355</v>
      </c>
      <c r="I24" s="316">
        <f>0.15%*D7*D6*10^4</f>
        <v>3.9000000000000004</v>
      </c>
    </row>
    <row r="25" spans="2:9" ht="16.5" thickTop="1" thickBot="1">
      <c r="B25" s="540"/>
      <c r="C25" s="545" t="s">
        <v>338</v>
      </c>
      <c r="D25" s="546"/>
      <c r="E25" s="541" t="s">
        <v>337</v>
      </c>
      <c r="F25" s="542"/>
    </row>
    <row r="26" spans="2:9" ht="19.5" thickTop="1" thickBot="1">
      <c r="B26" s="540"/>
      <c r="C26" s="313" t="s">
        <v>342</v>
      </c>
      <c r="D26" s="316">
        <f>$D$19*$D$10*$D$15*10^-2</f>
        <v>25.124999999999996</v>
      </c>
    </row>
    <row r="27" spans="2:9" ht="18" customHeight="1" thickTop="1" thickBot="1">
      <c r="B27" s="540"/>
      <c r="C27" s="313" t="s">
        <v>343</v>
      </c>
      <c r="D27" s="316">
        <f>$D$19*$D$10*$D$15*10^-2</f>
        <v>25.124999999999996</v>
      </c>
    </row>
    <row r="28" spans="2:9" ht="18" customHeight="1" thickTop="1" thickBot="1">
      <c r="B28" s="540"/>
      <c r="C28" s="313" t="s">
        <v>344</v>
      </c>
      <c r="D28" s="316">
        <f>ABS(D26+D27)/D5</f>
        <v>41.874999999999993</v>
      </c>
    </row>
    <row r="29" spans="2:9" ht="18" customHeight="1" thickTop="1" thickBot="1">
      <c r="B29" s="540"/>
      <c r="C29" s="313" t="s">
        <v>345</v>
      </c>
      <c r="D29" s="316">
        <f>2*D11</f>
        <v>1200</v>
      </c>
    </row>
    <row r="30" spans="2:9" ht="18" customHeight="1" thickTop="1" thickBot="1">
      <c r="B30" s="540"/>
      <c r="C30" s="313" t="s">
        <v>346</v>
      </c>
      <c r="D30" s="316">
        <f>MIN(D28,D29)</f>
        <v>41.874999999999993</v>
      </c>
    </row>
    <row r="31" spans="2:9" ht="18" customHeight="1" thickTop="1" thickBot="1">
      <c r="B31" s="540"/>
      <c r="C31" s="313" t="s">
        <v>340</v>
      </c>
      <c r="D31" s="316">
        <f>((D22*D10*D5)/(D30+D22*D10))*10^3/101</f>
        <v>10.967510428404127</v>
      </c>
    </row>
    <row r="32" spans="2:9" ht="18" customHeight="1" thickTop="1" thickBot="1">
      <c r="B32" s="540"/>
      <c r="C32" s="313" t="s">
        <v>347</v>
      </c>
      <c r="D32" s="316">
        <f>linteaux!$R$10</f>
        <v>10</v>
      </c>
    </row>
    <row r="33" spans="2:4" ht="18" customHeight="1" thickTop="1" thickBot="1">
      <c r="B33" s="319" t="s">
        <v>33</v>
      </c>
      <c r="C33" s="313" t="s">
        <v>349</v>
      </c>
      <c r="D33" s="316">
        <f>0.2%*D7*D6*10^4</f>
        <v>5.2000000000000011</v>
      </c>
    </row>
    <row r="34" spans="2:4" ht="18" customHeight="1" thickTop="1"/>
  </sheetData>
  <sheetProtection password="DE00" sheet="1" objects="1" scenarios="1"/>
  <mergeCells count="14">
    <mergeCell ref="A2:R2"/>
    <mergeCell ref="K15:N15"/>
    <mergeCell ref="B20:B32"/>
    <mergeCell ref="E20:F20"/>
    <mergeCell ref="E14:H14"/>
    <mergeCell ref="E15:H15"/>
    <mergeCell ref="B17:B19"/>
    <mergeCell ref="C23:D23"/>
    <mergeCell ref="E23:F23"/>
    <mergeCell ref="H16:I16"/>
    <mergeCell ref="G20:G24"/>
    <mergeCell ref="C25:D25"/>
    <mergeCell ref="E25:F25"/>
    <mergeCell ref="C16:D16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2060"/>
  </sheetPr>
  <dimension ref="B1:S33"/>
  <sheetViews>
    <sheetView showGridLines="0" workbookViewId="0">
      <selection activeCell="D4" sqref="D4"/>
    </sheetView>
  </sheetViews>
  <sheetFormatPr defaultRowHeight="20.100000000000001" customHeight="1"/>
  <cols>
    <col min="2" max="2" width="10.5703125" customWidth="1"/>
    <col min="3" max="3" width="10.7109375" customWidth="1"/>
    <col min="17" max="17" width="14.28515625" bestFit="1" customWidth="1"/>
    <col min="18" max="18" width="12" customWidth="1"/>
    <col min="19" max="19" width="5.85546875" bestFit="1" customWidth="1"/>
  </cols>
  <sheetData>
    <row r="1" spans="2:19" ht="9.75" customHeight="1" thickBot="1"/>
    <row r="2" spans="2:19" ht="20.100000000000001" customHeight="1" thickTop="1">
      <c r="B2" s="376" t="s">
        <v>357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8"/>
    </row>
    <row r="3" spans="2:19" ht="20.100000000000001" customHeight="1" thickBot="1">
      <c r="B3" s="11" t="s">
        <v>23</v>
      </c>
      <c r="C3" s="13" t="str">
        <f>Calcul!$C$2</f>
        <v>Vers 1.5.3</v>
      </c>
      <c r="D3" s="333"/>
      <c r="E3" s="333"/>
      <c r="F3" s="333"/>
      <c r="G3" s="334"/>
      <c r="H3" s="334"/>
      <c r="I3" s="334"/>
      <c r="J3" s="335"/>
      <c r="K3" s="335"/>
      <c r="L3" s="334"/>
      <c r="M3" s="334"/>
      <c r="N3" s="334"/>
      <c r="O3" s="334"/>
      <c r="P3" s="334"/>
      <c r="Q3" s="12"/>
      <c r="R3" s="217"/>
    </row>
    <row r="4" spans="2:19" ht="12" customHeight="1" thickTop="1" thickBot="1">
      <c r="D4" s="340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2"/>
    </row>
    <row r="5" spans="2:19" ht="20.100000000000001" customHeight="1" thickTop="1" thickBot="1">
      <c r="B5" s="419" t="s">
        <v>362</v>
      </c>
      <c r="C5" s="450"/>
      <c r="D5" s="343"/>
      <c r="E5" s="344"/>
      <c r="F5" s="344"/>
      <c r="G5" s="344"/>
      <c r="H5" s="344"/>
      <c r="I5" s="344"/>
      <c r="J5" s="344"/>
      <c r="K5" s="344"/>
      <c r="L5" s="344"/>
      <c r="M5" s="344"/>
      <c r="N5" s="344"/>
      <c r="O5" s="344"/>
      <c r="P5" s="345"/>
      <c r="Q5" s="315" t="s">
        <v>327</v>
      </c>
      <c r="R5" s="316">
        <f>'Calcul linteaux'!$D$15</f>
        <v>1.25</v>
      </c>
    </row>
    <row r="6" spans="2:19" ht="20.100000000000001" customHeight="1" thickTop="1" thickBot="1">
      <c r="B6" s="313" t="s">
        <v>322</v>
      </c>
      <c r="C6" s="329">
        <v>1.2</v>
      </c>
      <c r="D6" s="343"/>
      <c r="E6" s="344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5"/>
      <c r="Q6" s="552" t="str">
        <f>IF($C$14&lt;=0.06*$C$10,'Calcul linteaux'!$C$16,'Calcul linteaux'!$H$16)</f>
        <v>tb &gt; 0,06 fc28</v>
      </c>
      <c r="R6" s="548"/>
    </row>
    <row r="7" spans="2:19" ht="20.100000000000001" customHeight="1" thickTop="1" thickBot="1">
      <c r="B7" s="313" t="s">
        <v>1</v>
      </c>
      <c r="C7" s="329">
        <v>1.3</v>
      </c>
      <c r="D7" s="343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5"/>
      <c r="Q7" s="315" t="s">
        <v>328</v>
      </c>
      <c r="R7" s="336">
        <f>'Calcul linteaux'!$M$6</f>
        <v>3.9000000000000004</v>
      </c>
    </row>
    <row r="8" spans="2:19" ht="20.100000000000001" customHeight="1" thickTop="1" thickBot="1">
      <c r="B8" s="313" t="s">
        <v>299</v>
      </c>
      <c r="C8" s="329">
        <v>0.2</v>
      </c>
      <c r="D8" s="343"/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5"/>
      <c r="Q8" s="315" t="s">
        <v>331</v>
      </c>
      <c r="R8" s="337">
        <v>4.0199999999999996</v>
      </c>
    </row>
    <row r="9" spans="2:19" ht="20.100000000000001" customHeight="1" thickTop="1" thickBot="1">
      <c r="B9" s="314" t="s">
        <v>365</v>
      </c>
      <c r="C9" s="330">
        <v>2.5000000000000001E-2</v>
      </c>
      <c r="D9" s="343"/>
      <c r="E9" s="344"/>
      <c r="F9" s="344"/>
      <c r="G9" s="344"/>
      <c r="H9" s="344"/>
      <c r="I9" s="344"/>
      <c r="J9" s="344"/>
      <c r="K9" s="344"/>
      <c r="L9" s="344"/>
      <c r="M9" s="344"/>
      <c r="N9" s="344"/>
      <c r="O9" s="344"/>
      <c r="P9" s="345"/>
      <c r="Q9" s="373" t="s">
        <v>374</v>
      </c>
      <c r="R9" s="338">
        <f>'Calcul linteaux'!$M$8</f>
        <v>10.967510428404127</v>
      </c>
    </row>
    <row r="10" spans="2:19" ht="20.100000000000001" customHeight="1" thickTop="1" thickBot="1">
      <c r="B10" s="313" t="s">
        <v>304</v>
      </c>
      <c r="C10" s="329">
        <v>25</v>
      </c>
      <c r="D10" s="343"/>
      <c r="E10" s="344"/>
      <c r="F10" s="344"/>
      <c r="G10" s="344"/>
      <c r="H10" s="344"/>
      <c r="I10" s="344"/>
      <c r="J10" s="344"/>
      <c r="K10" s="344"/>
      <c r="L10" s="344"/>
      <c r="M10" s="344"/>
      <c r="N10" s="344"/>
      <c r="O10" s="344"/>
      <c r="P10" s="345"/>
      <c r="Q10" s="315" t="s">
        <v>347</v>
      </c>
      <c r="R10" s="339">
        <v>10</v>
      </c>
    </row>
    <row r="11" spans="2:19" ht="20.100000000000001" customHeight="1" thickTop="1" thickBot="1">
      <c r="B11" s="313" t="s">
        <v>31</v>
      </c>
      <c r="C11" s="329">
        <v>500</v>
      </c>
      <c r="D11" s="343"/>
      <c r="E11" s="344"/>
      <c r="F11" s="344"/>
      <c r="G11" s="344"/>
      <c r="H11" s="344"/>
      <c r="I11" s="344"/>
      <c r="J11" s="344"/>
      <c r="K11" s="344"/>
      <c r="L11" s="344"/>
      <c r="M11" s="344"/>
      <c r="N11" s="344"/>
      <c r="O11" s="344"/>
      <c r="P11" s="345"/>
      <c r="Q11" s="315" t="s">
        <v>348</v>
      </c>
      <c r="R11" s="336">
        <f>'Calcul linteaux'!$M$10</f>
        <v>0.5</v>
      </c>
    </row>
    <row r="12" spans="2:19" ht="20.100000000000001" customHeight="1" thickTop="1" thickBot="1">
      <c r="B12" s="314" t="s">
        <v>366</v>
      </c>
      <c r="C12" s="329">
        <v>600</v>
      </c>
      <c r="D12" s="343"/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4"/>
      <c r="P12" s="346"/>
      <c r="Q12" s="332" t="s">
        <v>339</v>
      </c>
      <c r="R12" s="317" t="s">
        <v>360</v>
      </c>
      <c r="S12" s="313" t="s">
        <v>359</v>
      </c>
    </row>
    <row r="13" spans="2:19" ht="20.100000000000001" customHeight="1" thickTop="1" thickBot="1">
      <c r="B13" s="313" t="s">
        <v>329</v>
      </c>
      <c r="C13" s="329">
        <v>368</v>
      </c>
      <c r="D13" s="343"/>
      <c r="E13" s="344"/>
      <c r="F13" s="344"/>
      <c r="G13" s="344"/>
      <c r="H13" s="344"/>
      <c r="I13" s="344"/>
      <c r="J13" s="344"/>
      <c r="K13" s="344"/>
      <c r="L13" s="344"/>
      <c r="M13" s="344"/>
      <c r="N13" s="344"/>
      <c r="O13" s="344"/>
      <c r="P13" s="345"/>
      <c r="Q13" s="336">
        <f>S13*R13^2*PI()/4</f>
        <v>1.0053096491487339</v>
      </c>
      <c r="R13" s="326">
        <v>0.8</v>
      </c>
      <c r="S13" s="327">
        <v>2</v>
      </c>
    </row>
    <row r="14" spans="2:19" ht="20.100000000000001" customHeight="1" thickTop="1" thickBot="1">
      <c r="B14" s="313" t="s">
        <v>325</v>
      </c>
      <c r="C14" s="331">
        <f>'Calcul linteaux'!$D$13</f>
        <v>3.5897435897435894</v>
      </c>
      <c r="D14" s="343"/>
      <c r="E14" s="344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5"/>
      <c r="Q14" s="315" t="s">
        <v>349</v>
      </c>
      <c r="R14" s="336">
        <f>'Calcul linteaux'!$M$12</f>
        <v>5.2000000000000011</v>
      </c>
    </row>
    <row r="15" spans="2:19" ht="19.5" customHeight="1" thickTop="1" thickBot="1">
      <c r="B15" s="313" t="s">
        <v>326</v>
      </c>
      <c r="C15" s="331">
        <f>'Calcul linteaux'!$D$14</f>
        <v>5</v>
      </c>
      <c r="D15" s="343"/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5"/>
      <c r="Q15" s="315" t="s">
        <v>361</v>
      </c>
      <c r="R15" s="337">
        <v>6.03</v>
      </c>
    </row>
    <row r="16" spans="2:19" ht="19.5" thickTop="1" thickBot="1">
      <c r="B16" s="555" t="s">
        <v>363</v>
      </c>
      <c r="C16" s="556"/>
      <c r="D16" s="343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5"/>
      <c r="Q16" s="315" t="s">
        <v>355</v>
      </c>
      <c r="R16" s="336">
        <f>'Calcul linteaux'!$M$14</f>
        <v>7.35141334600298</v>
      </c>
    </row>
    <row r="17" spans="2:18" ht="19.5" thickTop="1" thickBot="1">
      <c r="B17" s="557"/>
      <c r="C17" s="558"/>
      <c r="D17" s="347"/>
      <c r="E17" s="348"/>
      <c r="F17" s="348"/>
      <c r="G17" s="348"/>
      <c r="H17" s="348"/>
      <c r="I17" s="348"/>
      <c r="J17" s="348"/>
      <c r="K17" s="348"/>
      <c r="L17" s="348"/>
      <c r="M17" s="348"/>
      <c r="N17" s="348"/>
      <c r="O17" s="348"/>
      <c r="P17" s="349"/>
      <c r="Q17" s="315" t="s">
        <v>364</v>
      </c>
      <c r="R17" s="337">
        <v>9.24</v>
      </c>
    </row>
    <row r="18" spans="2:18" ht="33.75" customHeight="1" thickTop="1" thickBot="1">
      <c r="B18" s="550" t="str">
        <f>IF($C$14&lt;=$C$15,"Pas de rupture par cisaillement","Rupture par cisaillement")</f>
        <v>Pas de rupture par cisaillement</v>
      </c>
      <c r="C18" s="551"/>
      <c r="D18" s="347"/>
      <c r="E18" s="348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49"/>
      <c r="Q18" s="553" t="str">
        <f>IF(OR($R$8&lt;$R$7,$R$10&gt;$R$9,$Q$13&lt;$R$11,$R$15&lt;$R$14,$R$17&lt;$R$16),"VERIFIER LES CHOIX PARAPOUR LE MIN"," ")</f>
        <v xml:space="preserve"> </v>
      </c>
      <c r="R18" s="554"/>
    </row>
    <row r="19" spans="2:18" ht="20.100000000000001" customHeight="1" thickTop="1">
      <c r="D19" s="347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9"/>
    </row>
    <row r="20" spans="2:18" ht="20.100000000000001" customHeight="1" thickBot="1">
      <c r="D20" s="350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2"/>
    </row>
    <row r="21" spans="2:18" ht="20.100000000000001" customHeight="1">
      <c r="D21" s="340"/>
      <c r="E21" s="341"/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2"/>
    </row>
    <row r="22" spans="2:18" ht="20.100000000000001" customHeight="1">
      <c r="D22" s="347"/>
      <c r="E22" s="348"/>
      <c r="F22" s="348"/>
      <c r="G22" s="348"/>
      <c r="H22" s="348"/>
      <c r="I22" s="348"/>
      <c r="J22" s="348"/>
      <c r="K22" s="348"/>
      <c r="L22" s="348"/>
      <c r="M22" s="348"/>
      <c r="N22" s="348"/>
      <c r="O22" s="348"/>
      <c r="P22" s="349"/>
    </row>
    <row r="23" spans="2:18" ht="20.100000000000001" customHeight="1">
      <c r="D23" s="347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48"/>
      <c r="P23" s="349"/>
    </row>
    <row r="24" spans="2:18" ht="20.100000000000001" customHeight="1">
      <c r="D24" s="347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8"/>
      <c r="P24" s="349"/>
    </row>
    <row r="25" spans="2:18" ht="20.100000000000001" customHeight="1">
      <c r="D25" s="347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9"/>
    </row>
    <row r="26" spans="2:18" ht="20.100000000000001" customHeight="1">
      <c r="D26" s="347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9"/>
    </row>
    <row r="27" spans="2:18" ht="20.100000000000001" customHeight="1">
      <c r="D27" s="347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9"/>
    </row>
    <row r="28" spans="2:18" ht="20.100000000000001" customHeight="1">
      <c r="D28" s="347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9"/>
    </row>
    <row r="29" spans="2:18" ht="20.100000000000001" customHeight="1">
      <c r="D29" s="347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9"/>
    </row>
    <row r="30" spans="2:18" ht="20.100000000000001" customHeight="1">
      <c r="D30" s="347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9"/>
    </row>
    <row r="31" spans="2:18" ht="20.100000000000001" customHeight="1">
      <c r="D31" s="347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9"/>
    </row>
    <row r="32" spans="2:18" ht="20.100000000000001" customHeight="1">
      <c r="D32" s="347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9"/>
    </row>
    <row r="33" spans="4:16" ht="20.100000000000001" customHeight="1" thickBot="1">
      <c r="D33" s="350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2"/>
    </row>
  </sheetData>
  <sheetProtection password="DE00" sheet="1" objects="1" scenarios="1"/>
  <mergeCells count="6">
    <mergeCell ref="B18:C18"/>
    <mergeCell ref="Q6:R6"/>
    <mergeCell ref="B5:C5"/>
    <mergeCell ref="B2:R2"/>
    <mergeCell ref="Q18:R18"/>
    <mergeCell ref="B16:C17"/>
  </mergeCells>
  <conditionalFormatting sqref="B18:C18">
    <cfRule type="cellIs" dxfId="2" priority="4" operator="equal">
      <formula>"Rupture par cisaillement"</formula>
    </cfRule>
    <cfRule type="cellIs" dxfId="1" priority="5" operator="equal">
      <formula>"Pas de rupture par cisaillement"</formula>
    </cfRule>
  </conditionalFormatting>
  <conditionalFormatting sqref="Q18:R18">
    <cfRule type="cellIs" dxfId="0" priority="17" operator="equal">
      <formula>"VERIFIER LES CHOIX PARAPOUR LE MIN"</formula>
    </cfRule>
  </conditionalFormatting>
  <dataValidations count="4">
    <dataValidation type="custom" allowBlank="1" showInputMessage="1" showErrorMessage="1" error="Ac choisi &lt; Acmin" sqref="R15 R17">
      <formula1>$R$15&gt;=$R$14</formula1>
    </dataValidation>
    <dataValidation type="list" allowBlank="1" showErrorMessage="1" sqref="R13">
      <formula1>Calcul!$J$124:$J$127</formula1>
    </dataValidation>
    <dataValidation type="custom" allowBlank="1" showInputMessage="1" showErrorMessage="1" errorTitle="Error !!" error="St choisi &gt; Stmin" sqref="R10">
      <formula1>$R$10&lt;$R$9</formula1>
    </dataValidation>
    <dataValidation type="custom" allowBlank="1" showInputMessage="1" showErrorMessage="1" errorTitle="Error !!" error="Al choisi &lt; Almin" sqref="R8">
      <formula1>$R$8&gt;=$R$7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3">
    <tabColor rgb="FFC00000"/>
  </sheetPr>
  <dimension ref="B2:K5"/>
  <sheetViews>
    <sheetView showGridLines="0" workbookViewId="0">
      <selection activeCell="E9" sqref="E9"/>
    </sheetView>
  </sheetViews>
  <sheetFormatPr defaultRowHeight="15"/>
  <sheetData>
    <row r="2" spans="2:11" ht="15.75" thickBot="1"/>
    <row r="3" spans="2:11" ht="41.25" customHeight="1" thickTop="1" thickBot="1">
      <c r="B3" s="559" t="s">
        <v>21</v>
      </c>
      <c r="C3" s="560"/>
      <c r="D3" s="560"/>
      <c r="E3" s="560"/>
      <c r="F3" s="560"/>
      <c r="G3" s="561"/>
      <c r="H3" s="565" t="s">
        <v>22</v>
      </c>
      <c r="I3" s="566"/>
      <c r="J3" s="566"/>
      <c r="K3" s="566"/>
    </row>
    <row r="4" spans="2:11" ht="41.25" customHeight="1" thickTop="1" thickBot="1">
      <c r="B4" s="562"/>
      <c r="C4" s="563"/>
      <c r="D4" s="563"/>
      <c r="E4" s="563"/>
      <c r="F4" s="563"/>
      <c r="G4" s="564"/>
      <c r="H4" s="565" t="s">
        <v>24</v>
      </c>
      <c r="I4" s="567"/>
      <c r="J4" s="567"/>
      <c r="K4" s="567"/>
    </row>
    <row r="5" spans="2:11" ht="15.75" thickTop="1"/>
  </sheetData>
  <sheetProtection password="D799" sheet="1" objects="1" scenarios="1"/>
  <mergeCells count="3">
    <mergeCell ref="B3:G4"/>
    <mergeCell ref="H3:K3"/>
    <mergeCell ref="H4:K4"/>
  </mergeCells>
  <hyperlinks>
    <hyperlink ref="H4" r:id="rId1"/>
    <hyperlink ref="H3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 Données</vt:lpstr>
      <vt:lpstr>Enveloppe</vt:lpstr>
      <vt:lpstr>Zone critique</vt:lpstr>
      <vt:lpstr>Zone supèrieure</vt:lpstr>
      <vt:lpstr>Calcul</vt:lpstr>
      <vt:lpstr>Moment resistant</vt:lpstr>
      <vt:lpstr>CALCUL Mrd</vt:lpstr>
      <vt:lpstr>Calcul linteaux</vt:lpstr>
      <vt:lpstr>linteaux</vt:lpstr>
      <vt:lpstr>About</vt:lpstr>
      <vt:lpstr>'Zone supèrieure'!Print_Area</vt:lpstr>
    </vt:vector>
  </TitlesOfParts>
  <Manager>Morsli hammou</Manager>
  <Company>Morsli hammou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Morsli Hammou</cp:lastModifiedBy>
  <cp:revision>10052025</cp:revision>
  <dcterms:created xsi:type="dcterms:W3CDTF">2025-03-08T17:26:12Z</dcterms:created>
  <dcterms:modified xsi:type="dcterms:W3CDTF">2026-09-28T13:49:39Z</dcterms:modified>
  <cp:version>version 1.2</cp:version>
</cp:coreProperties>
</file>